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comments4.xml" ContentType="application/vnd.openxmlformats-officedocument.spreadsheetml.comments+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omments6.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brianvanlaar\Documents\PhD algemeen\"/>
    </mc:Choice>
  </mc:AlternateContent>
  <xr:revisionPtr revIDLastSave="0" documentId="8_{EA7B97CE-D55D-4FDF-B20B-4E73B0F4262C}" xr6:coauthVersionLast="47" xr6:coauthVersionMax="47" xr10:uidLastSave="{00000000-0000-0000-0000-000000000000}"/>
  <workbookProtection workbookAlgorithmName="SHA-512" workbookHashValue="GP3weuLS5GNcsf2kmdlOc0LOaETjoX2WcjjNRU5HeYIqE/2xXCfBsIJc4A1uQh+ZG5ap9BVpOK4xC36moMS8Og==" workbookSaltValue="KndoZLlHEPNkqXhUCQgbSA==" workbookSpinCount="100000" lockStructure="1"/>
  <bookViews>
    <workbookView showSheetTabs="0" xWindow="28680" yWindow="-120" windowWidth="29040" windowHeight="15840" tabRatio="830" firstSheet="18" activeTab="9" xr2:uid="{A4619D0D-F11B-49AE-83C3-C06C1EA061EA}"/>
  </bookViews>
  <sheets>
    <sheet name="Overzicht GPR Hulpmiddelen" sheetId="1" r:id="rId1"/>
    <sheet name="Wijzigingsblad" sheetId="35" r:id="rId2"/>
    <sheet name="tabellen_EMD" sheetId="7" state="veryHidden" r:id="rId3"/>
    <sheet name="ISSO75.3 naar GPR4" sheetId="127" r:id="rId4"/>
    <sheet name="NEN 7120 naar GPR4" sheetId="128" r:id="rId5"/>
    <sheet name="NTA 8800 naar GPR4" sheetId="129" r:id="rId6"/>
    <sheet name="EP naar GPR4" sheetId="52" state="veryHidden" r:id="rId7"/>
    <sheet name="CO2 warmtenetten" sheetId="34" r:id="rId8"/>
    <sheet name="QCI 1.0" sheetId="99" r:id="rId9"/>
    <sheet name="Specifieke gebouwlevensduur" sheetId="27" r:id="rId10"/>
    <sheet name="kruisjeslijst" sheetId="37" r:id="rId11"/>
    <sheet name="Hergebruikspotentie 1.9" sheetId="9" r:id="rId12"/>
    <sheet name="Hergebruikspotentie 2.0" sheetId="42" r:id="rId13"/>
    <sheet name="Tabellen hergebruikspotentie2.0" sheetId="43" state="veryHidden" r:id="rId14"/>
    <sheet name="Circulaire materialen" sheetId="26" r:id="rId15"/>
    <sheet name="BENG_1" sheetId="30" r:id="rId16"/>
    <sheet name="standaard" sheetId="31" state="veryHidden" r:id="rId17"/>
    <sheet name="Adaptief vermogen 1.0" sheetId="39" r:id="rId18"/>
    <sheet name="Indicatoren adaptief vermogen" sheetId="41" r:id="rId19"/>
    <sheet name="Combineren GPR scores" sheetId="12" r:id="rId20"/>
    <sheet name="Combineren GPR scores DPG" sheetId="32" r:id="rId21"/>
    <sheet name="CirculariteitsPrestatie CPG 1.7" sheetId="38" state="veryHidden" r:id="rId22"/>
    <sheet name="CPG 1.8 nieuwbouw" sheetId="46" r:id="rId23"/>
    <sheet name="CPG 1.8 bestaande bouw" sheetId="20" r:id="rId24"/>
    <sheet name="tabellen" sheetId="28" state="veryHidden" r:id="rId25"/>
    <sheet name="combineren" sheetId="33" r:id="rId26"/>
    <sheet name="combineren 4.3" sheetId="80" state="veryHidden" r:id="rId27"/>
    <sheet name="DPG_score" sheetId="51" state="veryHidden" r:id="rId28"/>
  </sheets>
  <definedNames>
    <definedName name="_xlnm._FilterDatabase" localSheetId="6" hidden="1">'EP naar GPR4'!$B$63:$C$221</definedName>
    <definedName name="_xlnm._FilterDatabase" localSheetId="3" hidden="1">'ISSO75.3 naar GPR4'!$B$62:$C$221</definedName>
    <definedName name="_xlnm._FilterDatabase" localSheetId="4" hidden="1">'NEN 7120 naar GPR4'!$B$62:$C$221</definedName>
    <definedName name="_xlnm._FilterDatabase" localSheetId="5" hidden="1">'NTA 8800 naar GPR4'!$B$62:$C$221</definedName>
    <definedName name="BENG1_eis_BENG1_Als_Ag_kleiner_grenswaarde1">tabellen!$C$294:$S$294</definedName>
    <definedName name="BENG1_eis_C1">tabellen!$C$296:$S$296</definedName>
    <definedName name="BENG1_eis_C2">tabellen!$C$297:$S$297</definedName>
    <definedName name="BENG1_eis_C3">tabellen!$C$298:$S$298</definedName>
    <definedName name="BENG1_eis_C4">tabellen!$C$300:$S$300</definedName>
    <definedName name="BENG1_eis_C5">tabellen!$C$301:$S$301</definedName>
    <definedName name="BENG1_eis_C6">tabellen!$C$302:$S$302</definedName>
    <definedName name="BENG1_eis_gebruiksfuncties">tabellen!$C$289:$S$289</definedName>
    <definedName name="BENG1_eis_grenswaarde1_Als_Ag">tabellen!$C$291:$S$291</definedName>
    <definedName name="BENG1_eis_grenswaarde2_Als_Ag">tabellen!$C$292:$S$292</definedName>
    <definedName name="circulair_materiaalgebruik">tabellen!$C$59:$C$63</definedName>
    <definedName name="CO2_GPR_score_6">tabellen_EMD!$D$74:$K$85</definedName>
    <definedName name="doorkruisingen_keuzes">'Tabellen hergebruikspotentie2.0'!$C$26:$C$30</definedName>
    <definedName name="doorkruisingen_scores">'Tabellen hergebruikspotentie2.0'!$E$26:$E$30</definedName>
    <definedName name="doorkruisingen_toelichting">'Tabellen hergebruikspotentie2.0'!$F$26:$F$30</definedName>
    <definedName name="DPG_D_GPR_score_10">tabellen_EMD!$M$158:$T$169</definedName>
    <definedName name="DPG_D_GPR_score_6">tabellen_EMD!$D$158:$K$169</definedName>
    <definedName name="DPG_E_GPR_score_10">tabellen_EMD!$M$126:$T$137</definedName>
    <definedName name="DPG_E_GPR_score_6">tabellen_EMD!$D$126:$K$137</definedName>
    <definedName name="DPG_M_GPR_score_10">tabellen_EMD!$M$142:$T$153</definedName>
    <definedName name="DPG_M_GPR_score_6">tabellen_EMD!$D$142:$K$153</definedName>
    <definedName name="Energie_DPG_Score_10">tabellen_EMD!$M$158:$T$169</definedName>
    <definedName name="Energie_DPG_Score_6">tabellen_EMD!$D$158:$K$169</definedName>
    <definedName name="energiedragers_EP_CO2">tabellen_EMD!$C$218:$K$226</definedName>
    <definedName name="energiedragers_EP_CO2_lijst">tabellen_EMD!$C$219:$C$226</definedName>
    <definedName name="energiedragers_EP_CO2_titel">tabellen_EMD!$C$218:$K$218</definedName>
    <definedName name="energiedragers_EP_eenheden">tabellen_EMD!$C$196:$Z$204</definedName>
    <definedName name="energiedragers_EP_eenheden_titel">tabellen_EMD!$C$196:$Z$196</definedName>
    <definedName name="energiedragers_EP_lijst">tabellen_EMD!$C$186:$C$193</definedName>
    <definedName name="energiedragers_EP_omrekenen">tabellen_EMD!$C$207:$Z$215</definedName>
    <definedName name="energiedragers_EP_omrekenen_titel">tabellen_EMD!$C$207:$Z$207</definedName>
    <definedName name="energiedragers_EP_PEF">tabellen_EMD!$C$185:$Z$193</definedName>
    <definedName name="energiedragers_EP_PEF_titel">tabellen_EMD!$C$185:$Z$185</definedName>
    <definedName name="energiedragers_GPR">tabellen_EMD!$C$301:$Z$306</definedName>
    <definedName name="energiedragers_GPR_lijst">tabellen_EMD!$C$302:$C$306</definedName>
    <definedName name="energiedragers_GPR_titel">tabellen_EMD!$C$301:$Z$301</definedName>
    <definedName name="EP_bronmethode" localSheetId="6">'EP naar GPR4'!$AY$22</definedName>
    <definedName name="EP_bronmethode" localSheetId="3">'ISSO75.3 naar GPR4'!$AY$22</definedName>
    <definedName name="EP_bronmethode" localSheetId="4">'NEN 7120 naar GPR4'!$AY$22</definedName>
    <definedName name="EP_bronmethode" localSheetId="5">'NTA 8800 naar GPR4'!$AY$22</definedName>
    <definedName name="EP_doelmethode" localSheetId="6">'EP naar GPR4'!$AY$23</definedName>
    <definedName name="EP_doelmethode" localSheetId="3">'ISSO75.3 naar GPR4'!$AY$23</definedName>
    <definedName name="EP_doelmethode" localSheetId="4">'NEN 7120 naar GPR4'!$AY$23</definedName>
    <definedName name="EP_doelmethode" localSheetId="5">'NTA 8800 naar GPR4'!$AY$23</definedName>
    <definedName name="EP_methode">tabellen_EMD!$D$16:$H$16</definedName>
    <definedName name="EP_Methode_BRON_per_GPR_Versie">tabellen_EMD!$D$41:$K$41</definedName>
    <definedName name="EP_Methode_BRON_per_GPR_Versie_Eenheid">tabellen_EMD!$D$42:$K$42</definedName>
    <definedName name="EP_Methode_DOEL_per_GPR_Versie">tabellen_EMD!$C$21:$H$29</definedName>
    <definedName name="EP_Methode_DOEL_per_GPR_Versie_titel">tabellen_EMD!$C$20:$H$20</definedName>
    <definedName name="EP_methode_eenheid">tabellen_EMD!$D$17:$H$17</definedName>
    <definedName name="EP_versie_scope_functie" localSheetId="3">'ISSO75.3 naar GPR4'!$AY$24</definedName>
    <definedName name="EP_versie_scope_functie" localSheetId="4">'NEN 7120 naar GPR4'!$AY$24</definedName>
    <definedName name="EP_versie_scope_functie" localSheetId="5">'NTA 8800 naar GPR4'!$AY$24</definedName>
    <definedName name="EP_versie_scope_functie">'EP naar GPR4'!$AY$24</definedName>
    <definedName name="EP_versie_scope_functie_methode" localSheetId="3">'ISSO75.3 naar GPR4'!$AY$25</definedName>
    <definedName name="EP_versie_scope_functie_methode" localSheetId="4">'NEN 7120 naar GPR4'!$AY$25</definedName>
    <definedName name="EP_versie_scope_functie_methode" localSheetId="5">'NTA 8800 naar GPR4'!$AY$25</definedName>
    <definedName name="EP_versie_scope_functie_methode">'EP naar GPR4'!$AY$25</definedName>
    <definedName name="Gebruiksfuncties">tabellen_EMD!$C$58:$C$69</definedName>
    <definedName name="Gebruiksfuncties_CPG">tabellen!$F$66:$O$66</definedName>
    <definedName name="Gebruiksfuncties_CPG_1.7">tabellen!$F$134:$Q$134</definedName>
    <definedName name="GPR_43_EP_methoden" localSheetId="27">tabellen_EMD!$C$314:$F$316</definedName>
    <definedName name="GPR_43_EP_methoden" localSheetId="6">tabellen_EMD!$C$314:$F$316</definedName>
    <definedName name="GPR_43_EP_methoden" localSheetId="3">tabellen_EMD!$C$314:$F$316</definedName>
    <definedName name="GPR_43_EP_methoden" localSheetId="4">tabellen_EMD!$C$314:$F$316</definedName>
    <definedName name="GPR_43_EP_methoden" localSheetId="5">tabellen_EMD!$C$314:$F$316</definedName>
    <definedName name="GPR_44_EP_methoden" localSheetId="27">tabellen_EMD!$C$318:$F$320</definedName>
    <definedName name="GPR_44_EP_methoden" localSheetId="6">tabellen_EMD!$C$318:$F$320</definedName>
    <definedName name="GPR_44_EP_methoden" localSheetId="3">tabellen_EMD!$C$318:$F$320</definedName>
    <definedName name="GPR_44_EP_methoden" localSheetId="4">tabellen_EMD!$C$318:$F$320</definedName>
    <definedName name="GPR_44_EP_methoden" localSheetId="5">tabellen_EMD!$C$318:$F$320</definedName>
    <definedName name="GPR_scope">tabellen_EMD!$D$11:$G$11</definedName>
    <definedName name="GPR_scope_keuzelijst">tabellen_EMD!$O$11</definedName>
    <definedName name="GPR_scope_W_U">tabellen_EMD!$D$12:$G$12</definedName>
    <definedName name="GPR_scope_W_U_keuzelijst">tabellen_EMD!$O$12</definedName>
    <definedName name="GPR_versie">tabellen_EMD!$D$8:$G$8</definedName>
    <definedName name="GPR_Versie_En_EP_Methode">tabellen_EMD!$D$43:$K$43</definedName>
    <definedName name="GPR_Versie_en_NMD">tabellen_EMD!$D$91:$K$91</definedName>
    <definedName name="GPR_Versie_EP_methode">tabellen_EMD!$D$38:$K$38</definedName>
    <definedName name="GPR_versie_keuzelijst">tabellen_EMD!$O$8</definedName>
    <definedName name="GPR_Versies">tabellen_EMD!$D$40:$K$40</definedName>
    <definedName name="GPR4.3">tabellen_EMD!$E$8</definedName>
    <definedName name="GPR4.4">tabellen_EMD!$F$8</definedName>
    <definedName name="grenzen_standaard_bouwjaarklassen">tabellen!$F$313:$K$313</definedName>
    <definedName name="grenzen_standaard_C1">tabellen!$F$320:$K$320</definedName>
    <definedName name="grenzen_standaard_C2">tabellen!$F$321:$K$321</definedName>
    <definedName name="grenzen_standaard_gebruiksfuncties_bouwjaarklassen">tabellen!$F$314:$K$314</definedName>
    <definedName name="grenzen_standaard_grenswaarde">tabellen!$F$316:$K$316</definedName>
    <definedName name="grenzen_standaard_standaard">tabellen!$F$318:$K$318</definedName>
    <definedName name="ISSO_75.3">tabellen_EMD!$G$16</definedName>
    <definedName name="koudebehoefte_C1">tabellen!$C$218:$S$223</definedName>
    <definedName name="koudebehoefte_C2">tabellen!$C$225:$S$230</definedName>
    <definedName name="koudebehoefte_C3">tabellen!$C$232:$S$237</definedName>
    <definedName name="koudebehoefte_C4">tabellen!$C$239:$S$244</definedName>
    <definedName name="koudebehoefte_gebruiksfuncties">tabellen!$C$209:$S$209</definedName>
    <definedName name="koudebehoefte_n1">tabellen!$C$246:$S$251</definedName>
    <definedName name="koudebehoefte_n2">tabellen!$C$253:$S$258</definedName>
    <definedName name="koudebehoefte_n3">tabellen!$C$260:$S$265</definedName>
    <definedName name="koudebehoefte_n4">tabellen!$C$267:$S$272</definedName>
    <definedName name="koudebehoefte_ondergrens">tabellen!$G$175</definedName>
    <definedName name="koudebehoefte_snijpunt">tabellen!$C$211:$S$216</definedName>
    <definedName name="kwaliteitsfactor_keuzes">'Tabellen hergebruikspotentie2.0'!$C$42:$C$46</definedName>
    <definedName name="kwaliteitsfactor_scores">'Tabellen hergebruikspotentie2.0'!$E$42:$E$46</definedName>
    <definedName name="kwaliteitsfactor_toelichting">'Tabellen hergebruikspotentie2.0'!$F$42:$F$46</definedName>
    <definedName name="Lagen_van_Brand_keuzes">'Tabellen hergebruikspotentie2.0'!$C$59:$C$64</definedName>
    <definedName name="Lagen_van_Brand_scores">'Tabellen hergebruikspotentie2.0'!$E$59:$E$64</definedName>
    <definedName name="Lagen_van_Brand_toelichting">'Tabellen hergebruikspotentie2.0'!$F$59:$F$64</definedName>
    <definedName name="Lagen_van_Brands_scores">'Tabellen hergebruikspotentie2.0'!$E$59:$E$64</definedName>
    <definedName name="marktwaarde_keuzes">'Tabellen hergebruikspotentie2.0'!$C$50:$C$55</definedName>
    <definedName name="marktwaarde_scores">'Tabellen hergebruikspotentie2.0'!$E$50:$E$55</definedName>
    <definedName name="marktwaarde_toelichting">'Tabellen hergebruikspotentie2.0'!$F$50:$F$55</definedName>
    <definedName name="MPG_factor_a">tabellen_EMD!$D$93:$K$104</definedName>
    <definedName name="MPG_factor_b">tabellen_EMD!$M$93:$T$104</definedName>
    <definedName name="MPG_punten_10">tabellen_EMD!$M$109:$T$120</definedName>
    <definedName name="MPG_punten_10_titels">tabellen_EMD!$M$108:$T$108</definedName>
    <definedName name="MPG_punten_6">tabellen_EMD!$C$107:$K$120</definedName>
    <definedName name="MPG_punten_6_titels">tabellen_EMD!$C$108:$K$108</definedName>
    <definedName name="MPG_punten_lijst">tabellen_EMD!$C$109:$C$120</definedName>
    <definedName name="NEN_7120">tabellen_EMD!$E$16</definedName>
    <definedName name="NTA_8800">tabellen_EMD!$F$16</definedName>
    <definedName name="Prim_Energie_GPR_Score_10">tabellen_EMD!$M$58:$T$69</definedName>
    <definedName name="Prim_Energie_GPR_Score_6">tabellen_EMD!$D$58:$K$69</definedName>
    <definedName name="_xlnm.Print_Area" localSheetId="14">'Circulaire materialen'!$A$1:$J$42</definedName>
    <definedName name="_xlnm.Print_Area" localSheetId="21">'CirculariteitsPrestatie CPG 1.7'!$A$1:$P$54</definedName>
    <definedName name="_xlnm.Print_Area" localSheetId="7">'CO2 warmtenetten'!$A$1:$N$39</definedName>
    <definedName name="_xlnm.Print_Area" localSheetId="25">combineren!$A$1:$L$93</definedName>
    <definedName name="_xlnm.Print_Area" localSheetId="26">'combineren 4.3'!$A$1:$Z$94</definedName>
    <definedName name="_xlnm.Print_Area" localSheetId="19">'Combineren GPR scores'!$B$16:$L$36</definedName>
    <definedName name="_xlnm.Print_Area" localSheetId="20">'Combineren GPR scores DPG'!$B$17:$L$37</definedName>
    <definedName name="_xlnm.Print_Area" localSheetId="23">'CPG 1.8 bestaande bouw'!$A$1:$P$55</definedName>
    <definedName name="_xlnm.Print_Area" localSheetId="22">'CPG 1.8 nieuwbouw'!$A$1:$P$55</definedName>
    <definedName name="_xlnm.Print_Area" localSheetId="27">DPG_score!$A$1:$Z$35</definedName>
    <definedName name="_xlnm.Print_Area" localSheetId="6">'EP naar GPR4'!$A$1:$Z$270</definedName>
    <definedName name="_xlnm.Print_Area" localSheetId="11">'Hergebruikspotentie 1.9'!$A$1:$T$46</definedName>
    <definedName name="_xlnm.Print_Area" localSheetId="3">'ISSO75.3 naar GPR4'!$A$1:$Z$270</definedName>
    <definedName name="_xlnm.Print_Area" localSheetId="10">kruisjeslijst!$A$1:$M$93</definedName>
    <definedName name="_xlnm.Print_Area" localSheetId="4">'NEN 7120 naar GPR4'!$A$1:$Z$270</definedName>
    <definedName name="_xlnm.Print_Area" localSheetId="5">'NTA 8800 naar GPR4'!$A$1:$Z$270</definedName>
    <definedName name="_xlnm.Print_Area" localSheetId="1">Wijzigingsblad!$B$1:$F$74</definedName>
    <definedName name="randopsluiting_keuzes">'Tabellen hergebruikspotentie2.0'!$C$34:$C$38</definedName>
    <definedName name="randopsluiting_score">'Tabellen hergebruikspotentie2.0'!$E$34:$E$38</definedName>
    <definedName name="randopsluiting_scores">'Tabellen hergebruikspotentie2.0'!$E$34:$E$38</definedName>
    <definedName name="randopsluiting_toelichting">'Tabellen hergebruikspotentie2.0'!$F$34:$F$38</definedName>
    <definedName name="tabel_CirculariteitsPrestatie_Gebouw_1.7">tabellen!$F$134:$Q$151</definedName>
    <definedName name="tabel_CirculariteitsPrestatie_Gebouw_1.8_BESTAAND">tabellen!$F$100:$O$131</definedName>
    <definedName name="tabel_CirculariteitsPrestatie_Gebouw_1.8_NIEUW">tabellen!$F$66:$O$97</definedName>
    <definedName name="tabel_CPG_startkolom_1.7">tabellen!$F$134:$F$151</definedName>
    <definedName name="tabel_CPG_startkolom_1.8_BESTAAND">tabellen!$F$100:$F$131</definedName>
    <definedName name="tabel_CPG_startkolom_1.8_NIEUW">tabellen!$F$66:$F$97</definedName>
    <definedName name="toegankelijkheid_verbinding_keuzes">'Tabellen hergebruikspotentie2.0'!$C$16:$C$22</definedName>
    <definedName name="toegankelijkheid_verbinding_scores">'Tabellen hergebruikspotentie2.0'!$E$16:$E$22</definedName>
    <definedName name="toegankelijkheid_verbinding_toelichting">'Tabellen hergebruikspotentie2.0'!$F$16:$F$22</definedName>
    <definedName name="type_verbinding_keuzes">'Tabellen hergebruikspotentie2.0'!$C$6:$C$12</definedName>
    <definedName name="type_verbinding_scores">'Tabellen hergebruikspotentie2.0'!$E$6:$E$12</definedName>
    <definedName name="type_verbinding_toelichting">'Tabellen hergebruikspotentie2.0'!$F$6:$F$12</definedName>
    <definedName name="ventilatiesystemen">tabellen!$C$183:$C$188</definedName>
    <definedName name="voorbeeldgebouwen">tabellen!$F$156:$CO$156</definedName>
    <definedName name="voorbeeldgebouwen_Ag">tabellen!$F$159:$CO$159</definedName>
    <definedName name="voorbeeldgebouwen_gebruiksfuncties">tabellen!$F$157:$CO$157</definedName>
    <definedName name="voorbeeldgebouwen_gestapeld">tabellen!$F$158:$CO$158</definedName>
    <definedName name="voorbeeldgebouwen_m2_bg_vloer">tabellen!$F$161:$CO$161</definedName>
    <definedName name="voorbeeldgebouwen_m2_deur">tabellen!$F$165:$CO$165</definedName>
    <definedName name="voorbeeldgebouwen_m2_dichte_gevel">tabellen!$F$162:$CO$162</definedName>
    <definedName name="voorbeeldgebouwen_m2_plat_dak">tabellen!$F$163:$CO$163</definedName>
    <definedName name="voorbeeldgebouwen_m2_raam">tabellen!$F$164:$CO$164</definedName>
    <definedName name="warmtebehoefte_plus_koudebehoefte_ventsysC1_EP1_C">tabellen!$C$281:$S$281</definedName>
    <definedName name="warmtebehoefte_plus_koudebehoefte_ventsysC1_EP1_gebruiksfuncties">tabellen!$C$279:$S$279</definedName>
    <definedName name="warmtebehoefte_plus_koudebehoefte_ventsysC1_EP1_n">tabellen!$C$282:$S$282</definedName>
    <definedName name="warmtebehoefte_plus_koudebehoefte_ventsysC1_EP1_snijpunt">tabellen!$C$280:$S$280</definedName>
    <definedName name="warmtebehoefte_verwarming_C">tabellen!$C$190:$S$195</definedName>
    <definedName name="warmtebehoefte_verwarming_gebruiksfuncties">tabellen!$C$180:$S$180</definedName>
    <definedName name="warmtebehoefte_verwarming_n">tabellen!$C$197:$S$202</definedName>
    <definedName name="warmtebehoefte_verwarming_ondergrens">tabellen!$G$174</definedName>
    <definedName name="warmtebehoefte_verwarming_snijpunt">tabellen!$C$183:$S$188</definedName>
    <definedName name="warmtebehoefte_verwarming_woning_utiliteitsgebouw">tabellen!$C$181:$S$181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P423" i="129" l="1"/>
  <c r="F417" i="129"/>
  <c r="G417" i="129" s="1"/>
  <c r="V416" i="129"/>
  <c r="F416" i="129"/>
  <c r="F415" i="129"/>
  <c r="G415" i="129" s="1"/>
  <c r="F414" i="129"/>
  <c r="G414" i="129" s="1"/>
  <c r="F413" i="129"/>
  <c r="G409" i="129"/>
  <c r="M404" i="129"/>
  <c r="C404" i="129"/>
  <c r="C402" i="129"/>
  <c r="C401" i="129"/>
  <c r="C400" i="129"/>
  <c r="C399" i="129"/>
  <c r="C398" i="129"/>
  <c r="C397" i="129"/>
  <c r="C396" i="129"/>
  <c r="C395" i="129"/>
  <c r="C394" i="129"/>
  <c r="C393" i="129"/>
  <c r="C392" i="129"/>
  <c r="C391" i="129"/>
  <c r="P385" i="129"/>
  <c r="C385" i="129"/>
  <c r="C383" i="129"/>
  <c r="C382" i="129"/>
  <c r="C381" i="129"/>
  <c r="C380" i="129"/>
  <c r="C379" i="129"/>
  <c r="C378" i="129"/>
  <c r="C377" i="129"/>
  <c r="C376" i="129"/>
  <c r="C375" i="129"/>
  <c r="C374" i="129"/>
  <c r="C373" i="129"/>
  <c r="C372" i="129"/>
  <c r="C361" i="129"/>
  <c r="C360" i="129"/>
  <c r="C359" i="129"/>
  <c r="C358" i="129"/>
  <c r="C357" i="129"/>
  <c r="C356" i="129"/>
  <c r="C355" i="129"/>
  <c r="C354" i="129"/>
  <c r="C353" i="129"/>
  <c r="C352" i="129"/>
  <c r="C351" i="129"/>
  <c r="C350" i="129"/>
  <c r="J342" i="129"/>
  <c r="C318" i="129"/>
  <c r="C317" i="129"/>
  <c r="C316" i="129"/>
  <c r="C315" i="129"/>
  <c r="C314" i="129"/>
  <c r="C313" i="129"/>
  <c r="C312" i="129"/>
  <c r="C311" i="129"/>
  <c r="C310" i="129"/>
  <c r="C309" i="129"/>
  <c r="C308" i="129"/>
  <c r="C307" i="129"/>
  <c r="E277" i="129"/>
  <c r="M273" i="129"/>
  <c r="K273" i="129"/>
  <c r="BA272" i="129"/>
  <c r="AE272" i="129"/>
  <c r="AE269" i="129"/>
  <c r="AE267" i="129"/>
  <c r="L267" i="129"/>
  <c r="I267" i="129"/>
  <c r="AE266" i="129"/>
  <c r="L266" i="129"/>
  <c r="I266" i="129"/>
  <c r="AE265" i="129"/>
  <c r="L265" i="129"/>
  <c r="I265" i="129"/>
  <c r="AE264" i="129"/>
  <c r="L264" i="129"/>
  <c r="I264" i="129"/>
  <c r="AE263" i="129"/>
  <c r="L263" i="129"/>
  <c r="I263" i="129"/>
  <c r="AE262" i="129"/>
  <c r="L262" i="129"/>
  <c r="I262" i="129"/>
  <c r="AE261" i="129"/>
  <c r="L261" i="129"/>
  <c r="I261" i="129"/>
  <c r="AE260" i="129"/>
  <c r="L260" i="129"/>
  <c r="I260" i="129"/>
  <c r="AE259" i="129"/>
  <c r="L259" i="129"/>
  <c r="I259" i="129"/>
  <c r="AE258" i="129"/>
  <c r="L258" i="129"/>
  <c r="I258" i="129"/>
  <c r="AE257" i="129"/>
  <c r="L257" i="129"/>
  <c r="I257" i="129"/>
  <c r="AE256" i="129"/>
  <c r="L256" i="129"/>
  <c r="I256" i="129"/>
  <c r="N233" i="129"/>
  <c r="G229" i="129"/>
  <c r="M226" i="129"/>
  <c r="K226" i="129"/>
  <c r="K227" i="129" s="1"/>
  <c r="J226" i="129"/>
  <c r="H226" i="129"/>
  <c r="G226" i="129"/>
  <c r="G227" i="129" s="1"/>
  <c r="AJ224" i="129"/>
  <c r="AJ222" i="129"/>
  <c r="AG222" i="129"/>
  <c r="AE222" i="129"/>
  <c r="T220" i="129"/>
  <c r="S220" i="129"/>
  <c r="Q220" i="129"/>
  <c r="P220" i="129"/>
  <c r="T219" i="129"/>
  <c r="S219" i="129"/>
  <c r="Q219" i="129"/>
  <c r="P219" i="129"/>
  <c r="T218" i="129"/>
  <c r="S218" i="129"/>
  <c r="Q218" i="129"/>
  <c r="P218" i="129"/>
  <c r="AG217" i="129"/>
  <c r="T217" i="129"/>
  <c r="S217" i="129"/>
  <c r="Q217" i="129"/>
  <c r="P217" i="129"/>
  <c r="T216" i="129"/>
  <c r="S216" i="129"/>
  <c r="Q216" i="129"/>
  <c r="P216" i="129"/>
  <c r="T215" i="129"/>
  <c r="S215" i="129"/>
  <c r="Q215" i="129"/>
  <c r="P215" i="129"/>
  <c r="T214" i="129"/>
  <c r="S214" i="129"/>
  <c r="Q214" i="129"/>
  <c r="P214" i="129"/>
  <c r="T213" i="129"/>
  <c r="S213" i="129"/>
  <c r="Q213" i="129"/>
  <c r="P213" i="129"/>
  <c r="T212" i="129"/>
  <c r="S212" i="129"/>
  <c r="Q212" i="129"/>
  <c r="P212" i="129"/>
  <c r="T211" i="129"/>
  <c r="S211" i="129"/>
  <c r="Q211" i="129"/>
  <c r="P211" i="129"/>
  <c r="T210" i="129"/>
  <c r="S210" i="129"/>
  <c r="Q210" i="129"/>
  <c r="P210" i="129"/>
  <c r="AG209" i="129"/>
  <c r="T209" i="129"/>
  <c r="S209" i="129"/>
  <c r="Q209" i="129"/>
  <c r="P209" i="129"/>
  <c r="AE208" i="129"/>
  <c r="V204" i="129"/>
  <c r="T204" i="129"/>
  <c r="S204" i="129"/>
  <c r="Q204" i="129"/>
  <c r="P204" i="129"/>
  <c r="M204" i="129"/>
  <c r="K204" i="129"/>
  <c r="J204" i="129"/>
  <c r="H204" i="129"/>
  <c r="G204" i="129"/>
  <c r="AE203" i="129"/>
  <c r="B193" i="129"/>
  <c r="B181" i="129"/>
  <c r="B182" i="129" s="1"/>
  <c r="B183" i="129" s="1"/>
  <c r="B184" i="129" s="1"/>
  <c r="AW178" i="129"/>
  <c r="AV178" i="129"/>
  <c r="AW177" i="129"/>
  <c r="AV177" i="129"/>
  <c r="AW176" i="129"/>
  <c r="AV176" i="129"/>
  <c r="AW175" i="129"/>
  <c r="AV175" i="129"/>
  <c r="AW174" i="129"/>
  <c r="AV174" i="129"/>
  <c r="AW173" i="129"/>
  <c r="AV173" i="129"/>
  <c r="AV172" i="129"/>
  <c r="AW171" i="129"/>
  <c r="AV171" i="129"/>
  <c r="BH170" i="129"/>
  <c r="BG170" i="129"/>
  <c r="BE170" i="129"/>
  <c r="BD170" i="129"/>
  <c r="BB170" i="129"/>
  <c r="AZ170" i="129"/>
  <c r="AW170" i="129"/>
  <c r="AV170" i="129"/>
  <c r="BG169" i="129"/>
  <c r="BD169" i="129"/>
  <c r="BB169" i="129"/>
  <c r="AZ169" i="129"/>
  <c r="B169" i="129"/>
  <c r="B170" i="129" s="1"/>
  <c r="B171" i="129" s="1"/>
  <c r="AW166" i="129"/>
  <c r="AV166" i="129"/>
  <c r="M166" i="129"/>
  <c r="AW165" i="129"/>
  <c r="AV165" i="129"/>
  <c r="AW164" i="129"/>
  <c r="AV164" i="129"/>
  <c r="AW163" i="129"/>
  <c r="AV163" i="129"/>
  <c r="AW162" i="129"/>
  <c r="AV162" i="129"/>
  <c r="M162" i="129"/>
  <c r="AW161" i="129"/>
  <c r="AV161" i="129"/>
  <c r="AW160" i="129"/>
  <c r="AV160" i="129"/>
  <c r="AW159" i="129"/>
  <c r="AV159" i="129"/>
  <c r="AW158" i="129"/>
  <c r="AV158" i="129"/>
  <c r="AW157" i="129"/>
  <c r="AV157" i="129"/>
  <c r="AW156" i="129"/>
  <c r="AV156" i="129"/>
  <c r="AW155" i="129"/>
  <c r="AV155" i="129"/>
  <c r="AW154" i="129"/>
  <c r="AV154" i="129"/>
  <c r="AW153" i="129"/>
  <c r="AV153" i="129"/>
  <c r="BH152" i="129"/>
  <c r="BG152" i="129"/>
  <c r="BE152" i="129"/>
  <c r="BD152" i="129"/>
  <c r="BB152" i="129"/>
  <c r="AZ152" i="129"/>
  <c r="AW152" i="129"/>
  <c r="AV152" i="129"/>
  <c r="BG151" i="129"/>
  <c r="BD151" i="129"/>
  <c r="BB151" i="129"/>
  <c r="AZ151" i="129"/>
  <c r="B151" i="129"/>
  <c r="B152" i="129" s="1"/>
  <c r="B157" i="129" s="1"/>
  <c r="AW148" i="129"/>
  <c r="AV148" i="129"/>
  <c r="AW147" i="129"/>
  <c r="AV147" i="129"/>
  <c r="AW146" i="129"/>
  <c r="AV146" i="129"/>
  <c r="AW145" i="129"/>
  <c r="AV145" i="129"/>
  <c r="AW144" i="129"/>
  <c r="AV144" i="129"/>
  <c r="AW143" i="129"/>
  <c r="AV143" i="129"/>
  <c r="AW142" i="129"/>
  <c r="AV142" i="129"/>
  <c r="AW141" i="129"/>
  <c r="AV141" i="129"/>
  <c r="AW140" i="129"/>
  <c r="AV140" i="129"/>
  <c r="AW139" i="129"/>
  <c r="AV139" i="129"/>
  <c r="AW138" i="129"/>
  <c r="AV138" i="129"/>
  <c r="BH137" i="129"/>
  <c r="BG137" i="129"/>
  <c r="BE137" i="129"/>
  <c r="BD137" i="129"/>
  <c r="BB137" i="129"/>
  <c r="AZ137" i="129"/>
  <c r="AW137" i="129"/>
  <c r="AV137" i="129"/>
  <c r="B137" i="129"/>
  <c r="B138" i="129" s="1"/>
  <c r="B139" i="129" s="1"/>
  <c r="BG136" i="129"/>
  <c r="BD136" i="129"/>
  <c r="BB136" i="129"/>
  <c r="AZ136" i="129"/>
  <c r="B136" i="129"/>
  <c r="AW133" i="129"/>
  <c r="AV133" i="129"/>
  <c r="AW132" i="129"/>
  <c r="AV132" i="129"/>
  <c r="AW131" i="129"/>
  <c r="AV131" i="129"/>
  <c r="AW130" i="129"/>
  <c r="AV130" i="129"/>
  <c r="AW129" i="129"/>
  <c r="AV129" i="129"/>
  <c r="AW128" i="129"/>
  <c r="AV128" i="129"/>
  <c r="BH127" i="129"/>
  <c r="BE127" i="129"/>
  <c r="AW127" i="129"/>
  <c r="AV127" i="129"/>
  <c r="AW126" i="129"/>
  <c r="AV126" i="129"/>
  <c r="BH125" i="129"/>
  <c r="BG125" i="129"/>
  <c r="BE125" i="129"/>
  <c r="BD125" i="129"/>
  <c r="BB125" i="129"/>
  <c r="AZ125" i="129"/>
  <c r="AW125" i="129"/>
  <c r="AV125" i="129"/>
  <c r="BG124" i="129"/>
  <c r="BD124" i="129"/>
  <c r="BB124" i="129"/>
  <c r="AZ124" i="129"/>
  <c r="B124" i="129"/>
  <c r="B125" i="129" s="1"/>
  <c r="B126" i="129" s="1"/>
  <c r="AW121" i="129"/>
  <c r="AV121" i="129"/>
  <c r="M121" i="129"/>
  <c r="AW120" i="129"/>
  <c r="AV120" i="129"/>
  <c r="AW119" i="129"/>
  <c r="AV119" i="129"/>
  <c r="AW118" i="129"/>
  <c r="AV118" i="129"/>
  <c r="AW117" i="129"/>
  <c r="AV117" i="129"/>
  <c r="AW116" i="129"/>
  <c r="AV116" i="129"/>
  <c r="AW115" i="129"/>
  <c r="AV115" i="129"/>
  <c r="AW114" i="129"/>
  <c r="AV114" i="129"/>
  <c r="AW113" i="129"/>
  <c r="AV113" i="129"/>
  <c r="AW112" i="129"/>
  <c r="AV112" i="129"/>
  <c r="AW111" i="129"/>
  <c r="AV111" i="129"/>
  <c r="AW110" i="129"/>
  <c r="AV110" i="129"/>
  <c r="AW109" i="129"/>
  <c r="AV109" i="129"/>
  <c r="BH108" i="129"/>
  <c r="BG108" i="129"/>
  <c r="BE108" i="129"/>
  <c r="BD108" i="129"/>
  <c r="BB108" i="129"/>
  <c r="AZ108" i="129"/>
  <c r="AW108" i="129"/>
  <c r="AV108" i="129"/>
  <c r="BG107" i="129"/>
  <c r="BD107" i="129"/>
  <c r="BB107" i="129"/>
  <c r="AZ107" i="129"/>
  <c r="B107" i="129"/>
  <c r="AW104" i="129"/>
  <c r="AV104" i="129"/>
  <c r="AW103" i="129"/>
  <c r="AV103" i="129"/>
  <c r="AW102" i="129"/>
  <c r="AV102" i="129"/>
  <c r="AW101" i="129"/>
  <c r="AV101" i="129"/>
  <c r="AW100" i="129"/>
  <c r="AV100" i="129"/>
  <c r="AW99" i="129"/>
  <c r="AV99" i="129"/>
  <c r="M99" i="129"/>
  <c r="M101" i="129" s="1"/>
  <c r="M104" i="129" s="1"/>
  <c r="AW98" i="129"/>
  <c r="AV98" i="129"/>
  <c r="AW97" i="129"/>
  <c r="AV97" i="129"/>
  <c r="AW96" i="129"/>
  <c r="AV96" i="129"/>
  <c r="AW95" i="129"/>
  <c r="AV95" i="129"/>
  <c r="AW94" i="129"/>
  <c r="AV94" i="129"/>
  <c r="AW93" i="129"/>
  <c r="AV93" i="129"/>
  <c r="AW92" i="129"/>
  <c r="AV92" i="129"/>
  <c r="AW91" i="129"/>
  <c r="AV91" i="129"/>
  <c r="AW90" i="129"/>
  <c r="AV90" i="129"/>
  <c r="AW89" i="129"/>
  <c r="AV89" i="129"/>
  <c r="AW88" i="129"/>
  <c r="AV88" i="129"/>
  <c r="BH87" i="129"/>
  <c r="BG87" i="129"/>
  <c r="BE87" i="129"/>
  <c r="BD87" i="129"/>
  <c r="BB87" i="129"/>
  <c r="AZ87" i="129"/>
  <c r="AW87" i="129"/>
  <c r="AV87" i="129"/>
  <c r="BG86" i="129"/>
  <c r="BD86" i="129"/>
  <c r="BB86" i="129"/>
  <c r="AZ86" i="129"/>
  <c r="B86" i="129"/>
  <c r="AW81" i="129"/>
  <c r="AV81" i="129"/>
  <c r="AW80" i="129"/>
  <c r="AV80" i="129"/>
  <c r="BH79" i="129"/>
  <c r="BG79" i="129"/>
  <c r="BE79" i="129"/>
  <c r="BD79" i="129"/>
  <c r="BB79" i="129"/>
  <c r="AZ79" i="129"/>
  <c r="AW79" i="129"/>
  <c r="AV79" i="129"/>
  <c r="BG78" i="129"/>
  <c r="BD78" i="129"/>
  <c r="BB78" i="129"/>
  <c r="AZ78" i="129"/>
  <c r="B78" i="129"/>
  <c r="AW75" i="129"/>
  <c r="AV75" i="129"/>
  <c r="M75" i="129"/>
  <c r="AW74" i="129"/>
  <c r="AV74" i="129"/>
  <c r="AW73" i="129"/>
  <c r="AV73" i="129"/>
  <c r="AW72" i="129"/>
  <c r="AV72" i="129"/>
  <c r="AW71" i="129"/>
  <c r="AV71" i="129"/>
  <c r="AW70" i="129"/>
  <c r="AV70" i="129"/>
  <c r="AW69" i="129"/>
  <c r="AV69" i="129"/>
  <c r="AW68" i="129"/>
  <c r="AV68" i="129"/>
  <c r="AW67" i="129"/>
  <c r="AV67" i="129"/>
  <c r="AW66" i="129"/>
  <c r="AV66" i="129"/>
  <c r="AW65" i="129"/>
  <c r="AV65" i="129"/>
  <c r="AW64" i="129"/>
  <c r="AV64" i="129"/>
  <c r="B64" i="129"/>
  <c r="B65" i="129" s="1"/>
  <c r="B63" i="129"/>
  <c r="J59" i="129"/>
  <c r="F59" i="129"/>
  <c r="J58" i="129"/>
  <c r="AE56" i="129"/>
  <c r="AE55" i="129"/>
  <c r="M55" i="129"/>
  <c r="AE54" i="129"/>
  <c r="M54" i="129"/>
  <c r="AE53" i="129"/>
  <c r="M53" i="129"/>
  <c r="AE52" i="129"/>
  <c r="M52" i="129"/>
  <c r="BF51" i="129"/>
  <c r="BE51" i="129"/>
  <c r="BD51" i="129"/>
  <c r="BC51" i="129"/>
  <c r="AX51" i="129"/>
  <c r="AX55" i="129" s="1"/>
  <c r="AE51" i="129"/>
  <c r="M51" i="129"/>
  <c r="AE50" i="129"/>
  <c r="M50" i="129"/>
  <c r="AE49" i="129"/>
  <c r="M49" i="129"/>
  <c r="AV48" i="129"/>
  <c r="AZ48" i="129" s="1"/>
  <c r="AE48" i="129"/>
  <c r="M48" i="129"/>
  <c r="AX47" i="129"/>
  <c r="AY47" i="129" s="1"/>
  <c r="AV47" i="129"/>
  <c r="AZ47" i="129" s="1"/>
  <c r="AE47" i="129"/>
  <c r="M47" i="129"/>
  <c r="AV46" i="129"/>
  <c r="AZ46" i="129" s="1"/>
  <c r="AE46" i="129"/>
  <c r="M46" i="129"/>
  <c r="AV45" i="129"/>
  <c r="AE45" i="129"/>
  <c r="M45" i="129"/>
  <c r="AV44" i="129"/>
  <c r="AE44" i="129"/>
  <c r="M44" i="129"/>
  <c r="AV43" i="129"/>
  <c r="AX43" i="129" s="1"/>
  <c r="AY43" i="129" s="1"/>
  <c r="AE43" i="129"/>
  <c r="AX42" i="129"/>
  <c r="AY42" i="129" s="1"/>
  <c r="AV42" i="129"/>
  <c r="AV41" i="129"/>
  <c r="AZ41" i="129" s="1"/>
  <c r="AZ40" i="129"/>
  <c r="AZ42" i="129" s="1"/>
  <c r="AE39" i="129"/>
  <c r="AV35" i="129"/>
  <c r="K35" i="129"/>
  <c r="AV34" i="129"/>
  <c r="AH34" i="129"/>
  <c r="AE34" i="129"/>
  <c r="AV33" i="129"/>
  <c r="AH33" i="129"/>
  <c r="AE33" i="129"/>
  <c r="AE31" i="129"/>
  <c r="F31" i="129"/>
  <c r="F42" i="129" s="1"/>
  <c r="R27" i="129"/>
  <c r="AY25" i="129"/>
  <c r="G25" i="129"/>
  <c r="AY24" i="129"/>
  <c r="G24" i="129"/>
  <c r="AY23" i="129"/>
  <c r="G23" i="129"/>
  <c r="AY22" i="129"/>
  <c r="G22" i="129"/>
  <c r="F16" i="129"/>
  <c r="H9" i="129"/>
  <c r="E2" i="129"/>
  <c r="P423" i="128"/>
  <c r="F417" i="128"/>
  <c r="G417" i="128" s="1"/>
  <c r="V416" i="128"/>
  <c r="F416" i="128"/>
  <c r="F415" i="128"/>
  <c r="G415" i="128" s="1"/>
  <c r="F414" i="128"/>
  <c r="G414" i="128" s="1"/>
  <c r="F413" i="128"/>
  <c r="G413" i="128" s="1"/>
  <c r="G409" i="128"/>
  <c r="M404" i="128"/>
  <c r="C404" i="128"/>
  <c r="C402" i="128"/>
  <c r="C401" i="128"/>
  <c r="C400" i="128"/>
  <c r="C399" i="128"/>
  <c r="C398" i="128"/>
  <c r="C397" i="128"/>
  <c r="C396" i="128"/>
  <c r="C395" i="128"/>
  <c r="C394" i="128"/>
  <c r="C393" i="128"/>
  <c r="C392" i="128"/>
  <c r="C391" i="128"/>
  <c r="P385" i="128"/>
  <c r="C385" i="128"/>
  <c r="C383" i="128"/>
  <c r="C382" i="128"/>
  <c r="C381" i="128"/>
  <c r="C380" i="128"/>
  <c r="C379" i="128"/>
  <c r="C378" i="128"/>
  <c r="C377" i="128"/>
  <c r="C376" i="128"/>
  <c r="C375" i="128"/>
  <c r="C374" i="128"/>
  <c r="C373" i="128"/>
  <c r="C372" i="128"/>
  <c r="C361" i="128"/>
  <c r="C360" i="128"/>
  <c r="C359" i="128"/>
  <c r="C358" i="128"/>
  <c r="C357" i="128"/>
  <c r="C356" i="128"/>
  <c r="C355" i="128"/>
  <c r="C354" i="128"/>
  <c r="C353" i="128"/>
  <c r="C352" i="128"/>
  <c r="C351" i="128"/>
  <c r="C350" i="128"/>
  <c r="J342" i="128"/>
  <c r="C318" i="128"/>
  <c r="C317" i="128"/>
  <c r="C316" i="128"/>
  <c r="C315" i="128"/>
  <c r="C314" i="128"/>
  <c r="C313" i="128"/>
  <c r="C312" i="128"/>
  <c r="C311" i="128"/>
  <c r="C310" i="128"/>
  <c r="C309" i="128"/>
  <c r="C308" i="128"/>
  <c r="C307" i="128"/>
  <c r="E277" i="128"/>
  <c r="M273" i="128"/>
  <c r="AG209" i="128" s="1"/>
  <c r="K273" i="128"/>
  <c r="BA272" i="128"/>
  <c r="AE272" i="128"/>
  <c r="AE269" i="128"/>
  <c r="AE267" i="128"/>
  <c r="L267" i="128"/>
  <c r="I267" i="128"/>
  <c r="AE266" i="128"/>
  <c r="L266" i="128"/>
  <c r="I266" i="128"/>
  <c r="AE265" i="128"/>
  <c r="L265" i="128"/>
  <c r="I265" i="128"/>
  <c r="AE264" i="128"/>
  <c r="L264" i="128"/>
  <c r="I264" i="128"/>
  <c r="AE263" i="128"/>
  <c r="L263" i="128"/>
  <c r="I263" i="128"/>
  <c r="AE262" i="128"/>
  <c r="L262" i="128"/>
  <c r="I262" i="128"/>
  <c r="AE261" i="128"/>
  <c r="L261" i="128"/>
  <c r="I261" i="128"/>
  <c r="AE260" i="128"/>
  <c r="L260" i="128"/>
  <c r="I260" i="128"/>
  <c r="AE259" i="128"/>
  <c r="L259" i="128"/>
  <c r="I259" i="128"/>
  <c r="AE258" i="128"/>
  <c r="L258" i="128"/>
  <c r="I258" i="128"/>
  <c r="AE257" i="128"/>
  <c r="L257" i="128"/>
  <c r="I257" i="128"/>
  <c r="AE256" i="128"/>
  <c r="L256" i="128"/>
  <c r="I256" i="128"/>
  <c r="N233" i="128"/>
  <c r="M229" i="128"/>
  <c r="M226" i="128"/>
  <c r="M227" i="128" s="1"/>
  <c r="K226" i="128"/>
  <c r="K229" i="128" s="1"/>
  <c r="J226" i="128"/>
  <c r="H226" i="128"/>
  <c r="G226" i="128"/>
  <c r="G229" i="128" s="1"/>
  <c r="AJ224" i="128"/>
  <c r="AJ222" i="128"/>
  <c r="AG222" i="128"/>
  <c r="AE222" i="128"/>
  <c r="T220" i="128"/>
  <c r="S220" i="128"/>
  <c r="Q220" i="128"/>
  <c r="P220" i="128"/>
  <c r="T219" i="128"/>
  <c r="S219" i="128"/>
  <c r="Q219" i="128"/>
  <c r="P219" i="128"/>
  <c r="T218" i="128"/>
  <c r="S218" i="128"/>
  <c r="Q218" i="128"/>
  <c r="P218" i="128"/>
  <c r="AG217" i="128"/>
  <c r="T217" i="128"/>
  <c r="S217" i="128"/>
  <c r="Q217" i="128"/>
  <c r="P217" i="128"/>
  <c r="T216" i="128"/>
  <c r="S216" i="128"/>
  <c r="Q216" i="128"/>
  <c r="P216" i="128"/>
  <c r="T215" i="128"/>
  <c r="S215" i="128"/>
  <c r="Q215" i="128"/>
  <c r="P215" i="128"/>
  <c r="T214" i="128"/>
  <c r="S214" i="128"/>
  <c r="Q214" i="128"/>
  <c r="P214" i="128"/>
  <c r="T213" i="128"/>
  <c r="S213" i="128"/>
  <c r="Q213" i="128"/>
  <c r="P213" i="128"/>
  <c r="T212" i="128"/>
  <c r="S212" i="128"/>
  <c r="Q212" i="128"/>
  <c r="P212" i="128"/>
  <c r="T211" i="128"/>
  <c r="S211" i="128"/>
  <c r="Q211" i="128"/>
  <c r="P211" i="128"/>
  <c r="T210" i="128"/>
  <c r="S210" i="128"/>
  <c r="Q210" i="128"/>
  <c r="P210" i="128"/>
  <c r="T209" i="128"/>
  <c r="S209" i="128"/>
  <c r="Q209" i="128"/>
  <c r="P209" i="128"/>
  <c r="AE208" i="128"/>
  <c r="V204" i="128"/>
  <c r="T204" i="128"/>
  <c r="S204" i="128"/>
  <c r="Q204" i="128"/>
  <c r="P204" i="128"/>
  <c r="M204" i="128"/>
  <c r="K204" i="128"/>
  <c r="J204" i="128"/>
  <c r="H204" i="128"/>
  <c r="G204" i="128"/>
  <c r="AE203" i="128"/>
  <c r="B193" i="128"/>
  <c r="B194" i="128" s="1"/>
  <c r="B195" i="128" s="1"/>
  <c r="B196" i="128" s="1"/>
  <c r="B197" i="128" s="1"/>
  <c r="B198" i="128" s="1"/>
  <c r="B199" i="128" s="1"/>
  <c r="B200" i="128" s="1"/>
  <c r="B201" i="128" s="1"/>
  <c r="B181" i="128"/>
  <c r="AW178" i="128"/>
  <c r="AV178" i="128"/>
  <c r="AW177" i="128"/>
  <c r="AV177" i="128"/>
  <c r="AW176" i="128"/>
  <c r="AV176" i="128"/>
  <c r="AW175" i="128"/>
  <c r="AV175" i="128"/>
  <c r="AW174" i="128"/>
  <c r="AV174" i="128"/>
  <c r="AW173" i="128"/>
  <c r="AV173" i="128"/>
  <c r="AV172" i="128"/>
  <c r="AW171" i="128"/>
  <c r="AV171" i="128"/>
  <c r="BH170" i="128"/>
  <c r="BG170" i="128"/>
  <c r="BE170" i="128"/>
  <c r="BD170" i="128"/>
  <c r="BB170" i="128"/>
  <c r="AZ170" i="128"/>
  <c r="AW170" i="128"/>
  <c r="AV170" i="128"/>
  <c r="BG169" i="128"/>
  <c r="BD169" i="128"/>
  <c r="BB169" i="128"/>
  <c r="AZ169" i="128"/>
  <c r="B169" i="128"/>
  <c r="B170" i="128" s="1"/>
  <c r="B171" i="128" s="1"/>
  <c r="AW166" i="128"/>
  <c r="AV166" i="128"/>
  <c r="M166" i="128"/>
  <c r="AW165" i="128"/>
  <c r="AV165" i="128"/>
  <c r="AW164" i="128"/>
  <c r="AV164" i="128"/>
  <c r="AW163" i="128"/>
  <c r="AV163" i="128"/>
  <c r="AW162" i="128"/>
  <c r="AV162" i="128"/>
  <c r="M162" i="128"/>
  <c r="AW161" i="128"/>
  <c r="AV161" i="128"/>
  <c r="AW160" i="128"/>
  <c r="AV160" i="128"/>
  <c r="AW159" i="128"/>
  <c r="AV159" i="128"/>
  <c r="AW158" i="128"/>
  <c r="AV158" i="128"/>
  <c r="AW157" i="128"/>
  <c r="AV157" i="128"/>
  <c r="AW156" i="128"/>
  <c r="AV156" i="128"/>
  <c r="AW155" i="128"/>
  <c r="AV155" i="128"/>
  <c r="AW154" i="128"/>
  <c r="AV154" i="128"/>
  <c r="AW153" i="128"/>
  <c r="AV153" i="128"/>
  <c r="BH152" i="128"/>
  <c r="BG152" i="128"/>
  <c r="BE152" i="128"/>
  <c r="BD152" i="128"/>
  <c r="BB152" i="128"/>
  <c r="AZ152" i="128"/>
  <c r="AW152" i="128"/>
  <c r="AV152" i="128"/>
  <c r="BG151" i="128"/>
  <c r="BD151" i="128"/>
  <c r="BB151" i="128"/>
  <c r="AZ151" i="128"/>
  <c r="B151" i="128"/>
  <c r="B152" i="128" s="1"/>
  <c r="B157" i="128" s="1"/>
  <c r="AW148" i="128"/>
  <c r="AV148" i="128"/>
  <c r="AW147" i="128"/>
  <c r="AV147" i="128"/>
  <c r="AW146" i="128"/>
  <c r="AV146" i="128"/>
  <c r="AW145" i="128"/>
  <c r="AV145" i="128"/>
  <c r="AW144" i="128"/>
  <c r="AV144" i="128"/>
  <c r="AW143" i="128"/>
  <c r="AV143" i="128"/>
  <c r="AW142" i="128"/>
  <c r="AV142" i="128"/>
  <c r="AW141" i="128"/>
  <c r="AV141" i="128"/>
  <c r="AW140" i="128"/>
  <c r="AV140" i="128"/>
  <c r="AW139" i="128"/>
  <c r="AV139" i="128"/>
  <c r="AW138" i="128"/>
  <c r="AV138" i="128"/>
  <c r="BH137" i="128"/>
  <c r="BG137" i="128"/>
  <c r="BE137" i="128"/>
  <c r="BD137" i="128"/>
  <c r="BB137" i="128"/>
  <c r="AZ137" i="128"/>
  <c r="AW137" i="128"/>
  <c r="AV137" i="128"/>
  <c r="B137" i="128"/>
  <c r="B138" i="128" s="1"/>
  <c r="BG136" i="128"/>
  <c r="BD136" i="128"/>
  <c r="BB136" i="128"/>
  <c r="AZ136" i="128"/>
  <c r="B136" i="128"/>
  <c r="AW133" i="128"/>
  <c r="AV133" i="128"/>
  <c r="AW132" i="128"/>
  <c r="AV132" i="128"/>
  <c r="AW131" i="128"/>
  <c r="AV131" i="128"/>
  <c r="AW130" i="128"/>
  <c r="AV130" i="128"/>
  <c r="AW129" i="128"/>
  <c r="AV129" i="128"/>
  <c r="AW128" i="128"/>
  <c r="AV128" i="128"/>
  <c r="BH127" i="128"/>
  <c r="BE127" i="128"/>
  <c r="AW127" i="128"/>
  <c r="AV127" i="128"/>
  <c r="AW126" i="128"/>
  <c r="AV126" i="128"/>
  <c r="BH125" i="128"/>
  <c r="BG125" i="128"/>
  <c r="BE125" i="128"/>
  <c r="BD125" i="128"/>
  <c r="BB125" i="128"/>
  <c r="AZ125" i="128"/>
  <c r="AW125" i="128"/>
  <c r="AV125" i="128"/>
  <c r="B125" i="128"/>
  <c r="B126" i="128" s="1"/>
  <c r="BG124" i="128"/>
  <c r="BD124" i="128"/>
  <c r="BB124" i="128"/>
  <c r="AZ124" i="128"/>
  <c r="B124" i="128"/>
  <c r="AW121" i="128"/>
  <c r="AV121" i="128"/>
  <c r="M121" i="128"/>
  <c r="AW120" i="128"/>
  <c r="AV120" i="128"/>
  <c r="AW119" i="128"/>
  <c r="AV119" i="128"/>
  <c r="AW118" i="128"/>
  <c r="AV118" i="128"/>
  <c r="AW117" i="128"/>
  <c r="AV117" i="128"/>
  <c r="AW116" i="128"/>
  <c r="AV116" i="128"/>
  <c r="AW115" i="128"/>
  <c r="AV115" i="128"/>
  <c r="AW114" i="128"/>
  <c r="AV114" i="128"/>
  <c r="AW113" i="128"/>
  <c r="AV113" i="128"/>
  <c r="AW112" i="128"/>
  <c r="AV112" i="128"/>
  <c r="AW111" i="128"/>
  <c r="AV111" i="128"/>
  <c r="AW110" i="128"/>
  <c r="AV110" i="128"/>
  <c r="AW109" i="128"/>
  <c r="AV109" i="128"/>
  <c r="BH108" i="128"/>
  <c r="BG108" i="128"/>
  <c r="BE108" i="128"/>
  <c r="BD108" i="128"/>
  <c r="BB108" i="128"/>
  <c r="AZ108" i="128"/>
  <c r="AW108" i="128"/>
  <c r="AV108" i="128"/>
  <c r="B108" i="128"/>
  <c r="B109" i="128" s="1"/>
  <c r="BG107" i="128"/>
  <c r="BD107" i="128"/>
  <c r="BB107" i="128"/>
  <c r="AZ107" i="128"/>
  <c r="B107" i="128"/>
  <c r="AW104" i="128"/>
  <c r="AV104" i="128"/>
  <c r="AW103" i="128"/>
  <c r="AV103" i="128"/>
  <c r="AW102" i="128"/>
  <c r="AV102" i="128"/>
  <c r="AW101" i="128"/>
  <c r="AV101" i="128"/>
  <c r="AW100" i="128"/>
  <c r="AV100" i="128"/>
  <c r="AW99" i="128"/>
  <c r="AV99" i="128"/>
  <c r="M99" i="128"/>
  <c r="M101" i="128" s="1"/>
  <c r="M104" i="128" s="1"/>
  <c r="AW98" i="128"/>
  <c r="AV98" i="128"/>
  <c r="AW97" i="128"/>
  <c r="AV97" i="128"/>
  <c r="AW96" i="128"/>
  <c r="AV96" i="128"/>
  <c r="AW95" i="128"/>
  <c r="AV95" i="128"/>
  <c r="AW94" i="128"/>
  <c r="AV94" i="128"/>
  <c r="AW93" i="128"/>
  <c r="AV93" i="128"/>
  <c r="AW92" i="128"/>
  <c r="AV92" i="128"/>
  <c r="AW91" i="128"/>
  <c r="AV91" i="128"/>
  <c r="AW90" i="128"/>
  <c r="AV90" i="128"/>
  <c r="AW89" i="128"/>
  <c r="AV89" i="128"/>
  <c r="AW88" i="128"/>
  <c r="AV88" i="128"/>
  <c r="BH87" i="128"/>
  <c r="BG87" i="128"/>
  <c r="BE87" i="128"/>
  <c r="BD87" i="128"/>
  <c r="BB87" i="128"/>
  <c r="AZ87" i="128"/>
  <c r="AW87" i="128"/>
  <c r="AV87" i="128"/>
  <c r="BG86" i="128"/>
  <c r="BD86" i="128"/>
  <c r="BB86" i="128"/>
  <c r="AZ86" i="128"/>
  <c r="B86" i="128"/>
  <c r="B87" i="128" s="1"/>
  <c r="B88" i="128" s="1"/>
  <c r="AW81" i="128"/>
  <c r="AV81" i="128"/>
  <c r="AW80" i="128"/>
  <c r="AV80" i="128"/>
  <c r="BH79" i="128"/>
  <c r="BG79" i="128"/>
  <c r="BE79" i="128"/>
  <c r="BD79" i="128"/>
  <c r="BB79" i="128"/>
  <c r="AZ79" i="128"/>
  <c r="AW79" i="128"/>
  <c r="AV79" i="128"/>
  <c r="BG78" i="128"/>
  <c r="BD78" i="128"/>
  <c r="BB78" i="128"/>
  <c r="AZ78" i="128"/>
  <c r="B78" i="128"/>
  <c r="AW75" i="128"/>
  <c r="AV75" i="128"/>
  <c r="M75" i="128"/>
  <c r="AW74" i="128"/>
  <c r="AV74" i="128"/>
  <c r="AW73" i="128"/>
  <c r="AV73" i="128"/>
  <c r="AW72" i="128"/>
  <c r="AV72" i="128"/>
  <c r="AW71" i="128"/>
  <c r="AV71" i="128"/>
  <c r="AW70" i="128"/>
  <c r="AV70" i="128"/>
  <c r="AW69" i="128"/>
  <c r="AV69" i="128"/>
  <c r="AW68" i="128"/>
  <c r="AV68" i="128"/>
  <c r="AW67" i="128"/>
  <c r="AV67" i="128"/>
  <c r="AW66" i="128"/>
  <c r="AV66" i="128"/>
  <c r="AW65" i="128"/>
  <c r="AV65" i="128"/>
  <c r="AW64" i="128"/>
  <c r="AV64" i="128"/>
  <c r="B63" i="128"/>
  <c r="B64" i="128" s="1"/>
  <c r="B65" i="128" s="1"/>
  <c r="J59" i="128"/>
  <c r="F59" i="128"/>
  <c r="J58" i="128"/>
  <c r="AE56" i="128"/>
  <c r="AE55" i="128"/>
  <c r="M55" i="128"/>
  <c r="AE54" i="128"/>
  <c r="M54" i="128"/>
  <c r="AE53" i="128"/>
  <c r="M53" i="128"/>
  <c r="AE52" i="128"/>
  <c r="M52" i="128"/>
  <c r="BF51" i="128"/>
  <c r="BE51" i="128"/>
  <c r="BD51" i="128"/>
  <c r="BC51" i="128"/>
  <c r="AX51" i="128"/>
  <c r="AX55" i="128" s="1"/>
  <c r="AE51" i="128"/>
  <c r="M51" i="128"/>
  <c r="AE50" i="128"/>
  <c r="M50" i="128"/>
  <c r="AE49" i="128"/>
  <c r="M49" i="128"/>
  <c r="AV48" i="128"/>
  <c r="AZ48" i="128" s="1"/>
  <c r="AE48" i="128"/>
  <c r="M48" i="128"/>
  <c r="AX47" i="128"/>
  <c r="AY47" i="128" s="1"/>
  <c r="AV47" i="128"/>
  <c r="AZ47" i="128" s="1"/>
  <c r="AE47" i="128"/>
  <c r="M47" i="128"/>
  <c r="AX46" i="128"/>
  <c r="AY46" i="128" s="1"/>
  <c r="AV46" i="128"/>
  <c r="AZ46" i="128" s="1"/>
  <c r="AE46" i="128"/>
  <c r="M46" i="128"/>
  <c r="AZ45" i="128"/>
  <c r="AV45" i="128"/>
  <c r="AX45" i="128" s="1"/>
  <c r="AY45" i="128" s="1"/>
  <c r="AE45" i="128"/>
  <c r="M45" i="128"/>
  <c r="AV44" i="128"/>
  <c r="AE44" i="128"/>
  <c r="M44" i="128"/>
  <c r="AV43" i="128"/>
  <c r="AZ43" i="128" s="1"/>
  <c r="AE43" i="128"/>
  <c r="AX42" i="128"/>
  <c r="AY42" i="128" s="1"/>
  <c r="AV42" i="128"/>
  <c r="AZ42" i="128" s="1"/>
  <c r="AV41" i="128"/>
  <c r="AZ40" i="128"/>
  <c r="AE39" i="128"/>
  <c r="AV35" i="128"/>
  <c r="K35" i="128"/>
  <c r="AV34" i="128"/>
  <c r="AH34" i="128"/>
  <c r="AE34" i="128"/>
  <c r="AV33" i="128"/>
  <c r="AH33" i="128"/>
  <c r="AE33" i="128"/>
  <c r="AE31" i="128"/>
  <c r="F31" i="128"/>
  <c r="F42" i="128" s="1"/>
  <c r="R27" i="128"/>
  <c r="AY25" i="128"/>
  <c r="G25" i="128"/>
  <c r="AY24" i="128"/>
  <c r="G24" i="128"/>
  <c r="AY23" i="128"/>
  <c r="F58" i="128" s="1"/>
  <c r="G23" i="128"/>
  <c r="AY22" i="128"/>
  <c r="G22" i="128"/>
  <c r="F16" i="128"/>
  <c r="H9" i="128"/>
  <c r="E2" i="128"/>
  <c r="P423" i="127"/>
  <c r="F417" i="127"/>
  <c r="G417" i="127" s="1"/>
  <c r="V416" i="127"/>
  <c r="F416" i="127"/>
  <c r="G416" i="127" s="1"/>
  <c r="F415" i="127"/>
  <c r="G415" i="127" s="1"/>
  <c r="F414" i="127"/>
  <c r="F413" i="127"/>
  <c r="G413" i="127" s="1"/>
  <c r="G409" i="127"/>
  <c r="M404" i="127"/>
  <c r="C404" i="127"/>
  <c r="C402" i="127"/>
  <c r="C401" i="127"/>
  <c r="C400" i="127"/>
  <c r="C399" i="127"/>
  <c r="C398" i="127"/>
  <c r="C397" i="127"/>
  <c r="C396" i="127"/>
  <c r="C395" i="127"/>
  <c r="C394" i="127"/>
  <c r="C393" i="127"/>
  <c r="C392" i="127"/>
  <c r="C391" i="127"/>
  <c r="P385" i="127"/>
  <c r="C385" i="127"/>
  <c r="C383" i="127"/>
  <c r="C382" i="127"/>
  <c r="C381" i="127"/>
  <c r="C380" i="127"/>
  <c r="C379" i="127"/>
  <c r="C378" i="127"/>
  <c r="C377" i="127"/>
  <c r="C376" i="127"/>
  <c r="C375" i="127"/>
  <c r="C374" i="127"/>
  <c r="C373" i="127"/>
  <c r="C372" i="127"/>
  <c r="C361" i="127"/>
  <c r="C360" i="127"/>
  <c r="C359" i="127"/>
  <c r="C358" i="127"/>
  <c r="C357" i="127"/>
  <c r="C356" i="127"/>
  <c r="C355" i="127"/>
  <c r="C354" i="127"/>
  <c r="C353" i="127"/>
  <c r="C352" i="127"/>
  <c r="C351" i="127"/>
  <c r="C350" i="127"/>
  <c r="J342" i="127"/>
  <c r="C318" i="127"/>
  <c r="C317" i="127"/>
  <c r="C316" i="127"/>
  <c r="C315" i="127"/>
  <c r="C314" i="127"/>
  <c r="C313" i="127"/>
  <c r="C312" i="127"/>
  <c r="C311" i="127"/>
  <c r="C310" i="127"/>
  <c r="C309" i="127"/>
  <c r="C308" i="127"/>
  <c r="C307" i="127"/>
  <c r="E277" i="127"/>
  <c r="M273" i="127"/>
  <c r="AG209" i="127" s="1"/>
  <c r="K273" i="127"/>
  <c r="BA272" i="127"/>
  <c r="AE272" i="127"/>
  <c r="AE269" i="127"/>
  <c r="AE267" i="127"/>
  <c r="L267" i="127"/>
  <c r="I267" i="127"/>
  <c r="AE266" i="127"/>
  <c r="L266" i="127"/>
  <c r="I266" i="127"/>
  <c r="AE265" i="127"/>
  <c r="L265" i="127"/>
  <c r="I265" i="127"/>
  <c r="AE264" i="127"/>
  <c r="L264" i="127"/>
  <c r="I264" i="127"/>
  <c r="AE263" i="127"/>
  <c r="L263" i="127"/>
  <c r="I263" i="127"/>
  <c r="AE262" i="127"/>
  <c r="L262" i="127"/>
  <c r="I262" i="127"/>
  <c r="AE261" i="127"/>
  <c r="L261" i="127"/>
  <c r="I261" i="127"/>
  <c r="AE260" i="127"/>
  <c r="L260" i="127"/>
  <c r="I260" i="127"/>
  <c r="AE259" i="127"/>
  <c r="L259" i="127"/>
  <c r="I259" i="127"/>
  <c r="AE258" i="127"/>
  <c r="L258" i="127"/>
  <c r="I258" i="127"/>
  <c r="AE257" i="127"/>
  <c r="L257" i="127"/>
  <c r="I257" i="127"/>
  <c r="AE256" i="127"/>
  <c r="L256" i="127"/>
  <c r="I256" i="127"/>
  <c r="N233" i="127"/>
  <c r="M226" i="127"/>
  <c r="M229" i="127" s="1"/>
  <c r="K226" i="127"/>
  <c r="J226" i="127"/>
  <c r="J227" i="127" s="1"/>
  <c r="H226" i="127"/>
  <c r="G226" i="127"/>
  <c r="G227" i="127" s="1"/>
  <c r="AJ224" i="127"/>
  <c r="AJ222" i="127"/>
  <c r="AG222" i="127"/>
  <c r="AE222" i="127"/>
  <c r="T220" i="127"/>
  <c r="S220" i="127"/>
  <c r="Q220" i="127"/>
  <c r="P220" i="127"/>
  <c r="T219" i="127"/>
  <c r="S219" i="127"/>
  <c r="Q219" i="127"/>
  <c r="P219" i="127"/>
  <c r="T218" i="127"/>
  <c r="S218" i="127"/>
  <c r="Q218" i="127"/>
  <c r="P218" i="127"/>
  <c r="AG217" i="127"/>
  <c r="T217" i="127"/>
  <c r="S217" i="127"/>
  <c r="Q217" i="127"/>
  <c r="P217" i="127"/>
  <c r="T216" i="127"/>
  <c r="S216" i="127"/>
  <c r="Q216" i="127"/>
  <c r="P216" i="127"/>
  <c r="T215" i="127"/>
  <c r="S215" i="127"/>
  <c r="Q215" i="127"/>
  <c r="P215" i="127"/>
  <c r="T214" i="127"/>
  <c r="S214" i="127"/>
  <c r="Q214" i="127"/>
  <c r="P214" i="127"/>
  <c r="T213" i="127"/>
  <c r="S213" i="127"/>
  <c r="Q213" i="127"/>
  <c r="P213" i="127"/>
  <c r="T212" i="127"/>
  <c r="S212" i="127"/>
  <c r="Q212" i="127"/>
  <c r="P212" i="127"/>
  <c r="T211" i="127"/>
  <c r="S211" i="127"/>
  <c r="Q211" i="127"/>
  <c r="P211" i="127"/>
  <c r="T210" i="127"/>
  <c r="S210" i="127"/>
  <c r="Q210" i="127"/>
  <c r="P210" i="127"/>
  <c r="T209" i="127"/>
  <c r="S209" i="127"/>
  <c r="Q209" i="127"/>
  <c r="P209" i="127"/>
  <c r="AE208" i="127"/>
  <c r="V204" i="127"/>
  <c r="T204" i="127"/>
  <c r="S204" i="127"/>
  <c r="Q204" i="127"/>
  <c r="P204" i="127"/>
  <c r="M204" i="127"/>
  <c r="K204" i="127"/>
  <c r="J204" i="127"/>
  <c r="H204" i="127"/>
  <c r="G204" i="127"/>
  <c r="AE203" i="127"/>
  <c r="B193" i="127"/>
  <c r="B194" i="127" s="1"/>
  <c r="B195" i="127" s="1"/>
  <c r="B196" i="127" s="1"/>
  <c r="B197" i="127" s="1"/>
  <c r="B198" i="127" s="1"/>
  <c r="B199" i="127" s="1"/>
  <c r="B200" i="127" s="1"/>
  <c r="B201" i="127" s="1"/>
  <c r="B181" i="127"/>
  <c r="B182" i="127" s="1"/>
  <c r="B183" i="127" s="1"/>
  <c r="AW178" i="127"/>
  <c r="AV178" i="127"/>
  <c r="AW177" i="127"/>
  <c r="AV177" i="127"/>
  <c r="AW176" i="127"/>
  <c r="AV176" i="127"/>
  <c r="AW175" i="127"/>
  <c r="AV175" i="127"/>
  <c r="AW174" i="127"/>
  <c r="AV174" i="127"/>
  <c r="AW173" i="127"/>
  <c r="AV173" i="127"/>
  <c r="AV172" i="127"/>
  <c r="AW171" i="127"/>
  <c r="AV171" i="127"/>
  <c r="BH170" i="127"/>
  <c r="BG170" i="127"/>
  <c r="BE170" i="127"/>
  <c r="BD170" i="127"/>
  <c r="BB170" i="127"/>
  <c r="AZ170" i="127"/>
  <c r="AW170" i="127"/>
  <c r="AV170" i="127"/>
  <c r="BG169" i="127"/>
  <c r="BD169" i="127"/>
  <c r="BB169" i="127"/>
  <c r="AZ169" i="127"/>
  <c r="B169" i="127"/>
  <c r="B170" i="127" s="1"/>
  <c r="B171" i="127" s="1"/>
  <c r="AW166" i="127"/>
  <c r="AV166" i="127"/>
  <c r="M166" i="127"/>
  <c r="AW165" i="127"/>
  <c r="AV165" i="127"/>
  <c r="AW164" i="127"/>
  <c r="AV164" i="127"/>
  <c r="AW163" i="127"/>
  <c r="AV163" i="127"/>
  <c r="AW162" i="127"/>
  <c r="AV162" i="127"/>
  <c r="M162" i="127"/>
  <c r="AW161" i="127"/>
  <c r="AV161" i="127"/>
  <c r="AW160" i="127"/>
  <c r="AV160" i="127"/>
  <c r="AW159" i="127"/>
  <c r="AV159" i="127"/>
  <c r="AW158" i="127"/>
  <c r="AV158" i="127"/>
  <c r="AW157" i="127"/>
  <c r="AV157" i="127"/>
  <c r="AW156" i="127"/>
  <c r="AV156" i="127"/>
  <c r="AW155" i="127"/>
  <c r="AV155" i="127"/>
  <c r="AW154" i="127"/>
  <c r="AV154" i="127"/>
  <c r="AW153" i="127"/>
  <c r="AV153" i="127"/>
  <c r="BH152" i="127"/>
  <c r="BG152" i="127"/>
  <c r="BE152" i="127"/>
  <c r="BD152" i="127"/>
  <c r="BB152" i="127"/>
  <c r="AZ152" i="127"/>
  <c r="AW152" i="127"/>
  <c r="AV152" i="127"/>
  <c r="BG151" i="127"/>
  <c r="BD151" i="127"/>
  <c r="BB151" i="127"/>
  <c r="AZ151" i="127"/>
  <c r="B151" i="127"/>
  <c r="B152" i="127" s="1"/>
  <c r="B157" i="127" s="1"/>
  <c r="AW148" i="127"/>
  <c r="AV148" i="127"/>
  <c r="AW147" i="127"/>
  <c r="AV147" i="127"/>
  <c r="AW146" i="127"/>
  <c r="AV146" i="127"/>
  <c r="AW145" i="127"/>
  <c r="AV145" i="127"/>
  <c r="AW144" i="127"/>
  <c r="AV144" i="127"/>
  <c r="AW143" i="127"/>
  <c r="AV143" i="127"/>
  <c r="AW142" i="127"/>
  <c r="AV142" i="127"/>
  <c r="AW141" i="127"/>
  <c r="AV141" i="127"/>
  <c r="AW140" i="127"/>
  <c r="AV140" i="127"/>
  <c r="AW139" i="127"/>
  <c r="AV139" i="127"/>
  <c r="AW138" i="127"/>
  <c r="AV138" i="127"/>
  <c r="BH137" i="127"/>
  <c r="BG137" i="127"/>
  <c r="BE137" i="127"/>
  <c r="BD137" i="127"/>
  <c r="BB137" i="127"/>
  <c r="AZ137" i="127"/>
  <c r="AW137" i="127"/>
  <c r="AV137" i="127"/>
  <c r="BG136" i="127"/>
  <c r="BD136" i="127"/>
  <c r="BB136" i="127"/>
  <c r="AZ136" i="127"/>
  <c r="B136" i="127"/>
  <c r="AW133" i="127"/>
  <c r="AV133" i="127"/>
  <c r="AW132" i="127"/>
  <c r="AV132" i="127"/>
  <c r="AW131" i="127"/>
  <c r="AV131" i="127"/>
  <c r="AW130" i="127"/>
  <c r="AV130" i="127"/>
  <c r="AW129" i="127"/>
  <c r="AV129" i="127"/>
  <c r="AW128" i="127"/>
  <c r="AV128" i="127"/>
  <c r="BH127" i="127"/>
  <c r="BE127" i="127"/>
  <c r="AW127" i="127"/>
  <c r="AV127" i="127"/>
  <c r="AW126" i="127"/>
  <c r="AV126" i="127"/>
  <c r="B126" i="127"/>
  <c r="BH125" i="127"/>
  <c r="BG125" i="127"/>
  <c r="BE125" i="127"/>
  <c r="BD125" i="127"/>
  <c r="BB125" i="127"/>
  <c r="AZ125" i="127"/>
  <c r="AW125" i="127"/>
  <c r="AV125" i="127"/>
  <c r="BG124" i="127"/>
  <c r="BD124" i="127"/>
  <c r="BB124" i="127"/>
  <c r="AZ124" i="127"/>
  <c r="B124" i="127"/>
  <c r="B125" i="127" s="1"/>
  <c r="AW121" i="127"/>
  <c r="AV121" i="127"/>
  <c r="M121" i="127"/>
  <c r="AW120" i="127"/>
  <c r="AV120" i="127"/>
  <c r="AW119" i="127"/>
  <c r="AV119" i="127"/>
  <c r="AW118" i="127"/>
  <c r="AV118" i="127"/>
  <c r="AW117" i="127"/>
  <c r="AV117" i="127"/>
  <c r="AW116" i="127"/>
  <c r="AV116" i="127"/>
  <c r="AW115" i="127"/>
  <c r="AV115" i="127"/>
  <c r="AW114" i="127"/>
  <c r="AV114" i="127"/>
  <c r="AW113" i="127"/>
  <c r="AV113" i="127"/>
  <c r="AW112" i="127"/>
  <c r="AV112" i="127"/>
  <c r="AW111" i="127"/>
  <c r="AV111" i="127"/>
  <c r="AW110" i="127"/>
  <c r="AV110" i="127"/>
  <c r="AW109" i="127"/>
  <c r="AV109" i="127"/>
  <c r="BH108" i="127"/>
  <c r="BG108" i="127"/>
  <c r="BE108" i="127"/>
  <c r="BD108" i="127"/>
  <c r="BB108" i="127"/>
  <c r="AZ108" i="127"/>
  <c r="AW108" i="127"/>
  <c r="AV108" i="127"/>
  <c r="BG107" i="127"/>
  <c r="BD107" i="127"/>
  <c r="BB107" i="127"/>
  <c r="AZ107" i="127"/>
  <c r="B107" i="127"/>
  <c r="B108" i="127" s="1"/>
  <c r="B109" i="127" s="1"/>
  <c r="AW104" i="127"/>
  <c r="AV104" i="127"/>
  <c r="AW103" i="127"/>
  <c r="AV103" i="127"/>
  <c r="AW102" i="127"/>
  <c r="AV102" i="127"/>
  <c r="AW101" i="127"/>
  <c r="AV101" i="127"/>
  <c r="AW100" i="127"/>
  <c r="AV100" i="127"/>
  <c r="AW99" i="127"/>
  <c r="AV99" i="127"/>
  <c r="M99" i="127"/>
  <c r="M101" i="127" s="1"/>
  <c r="M104" i="127" s="1"/>
  <c r="AW98" i="127"/>
  <c r="AV98" i="127"/>
  <c r="AW97" i="127"/>
  <c r="AV97" i="127"/>
  <c r="AW96" i="127"/>
  <c r="AV96" i="127"/>
  <c r="AW95" i="127"/>
  <c r="AV95" i="127"/>
  <c r="AW94" i="127"/>
  <c r="AV94" i="127"/>
  <c r="AW93" i="127"/>
  <c r="AV93" i="127"/>
  <c r="AW92" i="127"/>
  <c r="AV92" i="127"/>
  <c r="AW91" i="127"/>
  <c r="AV91" i="127"/>
  <c r="AW90" i="127"/>
  <c r="AV90" i="127"/>
  <c r="AW89" i="127"/>
  <c r="AV89" i="127"/>
  <c r="AW88" i="127"/>
  <c r="AV88" i="127"/>
  <c r="BH87" i="127"/>
  <c r="BG87" i="127"/>
  <c r="BE87" i="127"/>
  <c r="BD87" i="127"/>
  <c r="BB87" i="127"/>
  <c r="AZ87" i="127"/>
  <c r="AW87" i="127"/>
  <c r="AV87" i="127"/>
  <c r="BG86" i="127"/>
  <c r="BD86" i="127"/>
  <c r="BB86" i="127"/>
  <c r="AZ86" i="127"/>
  <c r="B86" i="127"/>
  <c r="AW81" i="127"/>
  <c r="AV81" i="127"/>
  <c r="AW80" i="127"/>
  <c r="AV80" i="127"/>
  <c r="BH79" i="127"/>
  <c r="BG79" i="127"/>
  <c r="BE79" i="127"/>
  <c r="BD79" i="127"/>
  <c r="BB79" i="127"/>
  <c r="AZ79" i="127"/>
  <c r="AW79" i="127"/>
  <c r="AV79" i="127"/>
  <c r="BG78" i="127"/>
  <c r="BD78" i="127"/>
  <c r="BB78" i="127"/>
  <c r="AZ78" i="127"/>
  <c r="B78" i="127"/>
  <c r="AW75" i="127"/>
  <c r="AV75" i="127"/>
  <c r="M75" i="127"/>
  <c r="AW74" i="127"/>
  <c r="AV74" i="127"/>
  <c r="AW73" i="127"/>
  <c r="AV73" i="127"/>
  <c r="AW72" i="127"/>
  <c r="AV72" i="127"/>
  <c r="AW71" i="127"/>
  <c r="AV71" i="127"/>
  <c r="AW70" i="127"/>
  <c r="AV70" i="127"/>
  <c r="AW69" i="127"/>
  <c r="AV69" i="127"/>
  <c r="AW68" i="127"/>
  <c r="AV68" i="127"/>
  <c r="AW67" i="127"/>
  <c r="AV67" i="127"/>
  <c r="AW66" i="127"/>
  <c r="AV66" i="127"/>
  <c r="AW65" i="127"/>
  <c r="AV65" i="127"/>
  <c r="AW64" i="127"/>
  <c r="AV64" i="127"/>
  <c r="B63" i="127"/>
  <c r="J59" i="127"/>
  <c r="F59" i="127"/>
  <c r="J58" i="127"/>
  <c r="AE56" i="127"/>
  <c r="AE55" i="127"/>
  <c r="M55" i="127"/>
  <c r="AE54" i="127"/>
  <c r="M54" i="127"/>
  <c r="AE53" i="127"/>
  <c r="M53" i="127"/>
  <c r="AE52" i="127"/>
  <c r="M52" i="127"/>
  <c r="BF51" i="127"/>
  <c r="BE51" i="127"/>
  <c r="BD51" i="127"/>
  <c r="BC51" i="127"/>
  <c r="AX51" i="127"/>
  <c r="AX55" i="127" s="1"/>
  <c r="AE51" i="127"/>
  <c r="M51" i="127"/>
  <c r="AE50" i="127"/>
  <c r="M50" i="127"/>
  <c r="AE49" i="127"/>
  <c r="M49" i="127"/>
  <c r="AZ48" i="127"/>
  <c r="AX48" i="127"/>
  <c r="AY48" i="127" s="1"/>
  <c r="AV48" i="127"/>
  <c r="AE48" i="127"/>
  <c r="M48" i="127"/>
  <c r="AV47" i="127"/>
  <c r="AZ47" i="127" s="1"/>
  <c r="AE47" i="127"/>
  <c r="M47" i="127"/>
  <c r="AV46" i="127"/>
  <c r="AX46" i="127" s="1"/>
  <c r="AY46" i="127" s="1"/>
  <c r="AE46" i="127"/>
  <c r="M46" i="127"/>
  <c r="AV45" i="127"/>
  <c r="AZ45" i="127" s="1"/>
  <c r="AE45" i="127"/>
  <c r="M45" i="127"/>
  <c r="AZ44" i="127"/>
  <c r="AY44" i="127"/>
  <c r="AV44" i="127"/>
  <c r="AX44" i="127" s="1"/>
  <c r="AE44" i="127"/>
  <c r="M44" i="127"/>
  <c r="AJ58" i="127" s="1"/>
  <c r="AV43" i="127"/>
  <c r="AX43" i="127" s="1"/>
  <c r="AY43" i="127" s="1"/>
  <c r="AE43" i="127"/>
  <c r="AV42" i="127"/>
  <c r="AZ42" i="127" s="1"/>
  <c r="AZ41" i="127"/>
  <c r="AV41" i="127"/>
  <c r="AZ40" i="127"/>
  <c r="AE39" i="127"/>
  <c r="AV35" i="127"/>
  <c r="K35" i="127"/>
  <c r="AV34" i="127"/>
  <c r="AH34" i="127"/>
  <c r="AE34" i="127"/>
  <c r="AV33" i="127"/>
  <c r="AH33" i="127"/>
  <c r="AE33" i="127"/>
  <c r="AE31" i="127"/>
  <c r="F31" i="127"/>
  <c r="F42" i="127" s="1"/>
  <c r="R27" i="127"/>
  <c r="AY25" i="127"/>
  <c r="G25" i="127"/>
  <c r="AY24" i="127"/>
  <c r="G24" i="127"/>
  <c r="AY23" i="127"/>
  <c r="G23" i="127"/>
  <c r="AY22" i="127"/>
  <c r="G22" i="127"/>
  <c r="F16" i="127"/>
  <c r="H9" i="127"/>
  <c r="E2" i="127"/>
  <c r="M227" i="127" l="1"/>
  <c r="AX43" i="128"/>
  <c r="AY43" i="128" s="1"/>
  <c r="G227" i="128"/>
  <c r="AZ45" i="129"/>
  <c r="AZ43" i="127"/>
  <c r="AX45" i="127"/>
  <c r="AY45" i="127" s="1"/>
  <c r="C169" i="127"/>
  <c r="C170" i="127" s="1"/>
  <c r="C171" i="127" s="1"/>
  <c r="J229" i="127"/>
  <c r="K227" i="128"/>
  <c r="F86" i="127"/>
  <c r="C107" i="128"/>
  <c r="C108" i="128" s="1"/>
  <c r="C109" i="128" s="1"/>
  <c r="AZ44" i="129"/>
  <c r="AX48" i="129"/>
  <c r="AY48" i="129" s="1"/>
  <c r="F63" i="128"/>
  <c r="AV63" i="128" s="1"/>
  <c r="AX46" i="129"/>
  <c r="AY46" i="129" s="1"/>
  <c r="K350" i="129"/>
  <c r="W209" i="129"/>
  <c r="M59" i="129"/>
  <c r="T391" i="129"/>
  <c r="N256" i="129"/>
  <c r="M58" i="129"/>
  <c r="AJ58" i="129"/>
  <c r="B140" i="129"/>
  <c r="F387" i="129"/>
  <c r="S303" i="129"/>
  <c r="M325" i="129"/>
  <c r="G2" i="129"/>
  <c r="F58" i="129"/>
  <c r="M42" i="129"/>
  <c r="B158" i="129"/>
  <c r="B66" i="129"/>
  <c r="N259" i="129"/>
  <c r="K353" i="129"/>
  <c r="W212" i="129"/>
  <c r="T397" i="129"/>
  <c r="K356" i="129"/>
  <c r="N262" i="129"/>
  <c r="W215" i="129"/>
  <c r="AX41" i="129"/>
  <c r="F151" i="129"/>
  <c r="AZ43" i="129"/>
  <c r="B87" i="129"/>
  <c r="B88" i="129" s="1"/>
  <c r="F86" i="129"/>
  <c r="C107" i="129"/>
  <c r="C108" i="129" s="1"/>
  <c r="C109" i="129" s="1"/>
  <c r="B172" i="129"/>
  <c r="B173" i="129" s="1"/>
  <c r="K357" i="129"/>
  <c r="N263" i="129"/>
  <c r="T398" i="129"/>
  <c r="W216" i="129"/>
  <c r="B127" i="129"/>
  <c r="T396" i="129"/>
  <c r="N261" i="129"/>
  <c r="K355" i="129"/>
  <c r="N267" i="129"/>
  <c r="T402" i="129"/>
  <c r="K361" i="129"/>
  <c r="W220" i="129"/>
  <c r="K354" i="129"/>
  <c r="N260" i="129"/>
  <c r="W213" i="129"/>
  <c r="C63" i="129"/>
  <c r="C64" i="129" s="1"/>
  <c r="C65" i="129" s="1"/>
  <c r="F136" i="129"/>
  <c r="AX45" i="129"/>
  <c r="AY45" i="129" s="1"/>
  <c r="F63" i="129"/>
  <c r="AV63" i="129" s="1"/>
  <c r="F169" i="129"/>
  <c r="C78" i="129"/>
  <c r="C79" i="129" s="1"/>
  <c r="C80" i="129" s="1"/>
  <c r="B79" i="129"/>
  <c r="B80" i="129" s="1"/>
  <c r="C169" i="129"/>
  <c r="C170" i="129" s="1"/>
  <c r="C171" i="129" s="1"/>
  <c r="T401" i="129"/>
  <c r="K360" i="129"/>
  <c r="N266" i="129"/>
  <c r="W219" i="129"/>
  <c r="B185" i="129"/>
  <c r="W214" i="129"/>
  <c r="N258" i="129"/>
  <c r="T392" i="129"/>
  <c r="K351" i="129"/>
  <c r="W210" i="129"/>
  <c r="N257" i="129"/>
  <c r="C124" i="129"/>
  <c r="C125" i="129" s="1"/>
  <c r="C126" i="129" s="1"/>
  <c r="AX44" i="129"/>
  <c r="F78" i="129"/>
  <c r="F303" i="129"/>
  <c r="F368" i="129"/>
  <c r="F325" i="129"/>
  <c r="K358" i="129"/>
  <c r="T399" i="129"/>
  <c r="N264" i="129"/>
  <c r="T400" i="129"/>
  <c r="N265" i="129"/>
  <c r="K359" i="129"/>
  <c r="W218" i="129"/>
  <c r="B108" i="129"/>
  <c r="B109" i="129" s="1"/>
  <c r="F107" i="129"/>
  <c r="F124" i="129"/>
  <c r="H227" i="129"/>
  <c r="J229" i="129"/>
  <c r="J227" i="129"/>
  <c r="K229" i="129"/>
  <c r="W211" i="129"/>
  <c r="M227" i="129"/>
  <c r="K352" i="129"/>
  <c r="C193" i="129"/>
  <c r="C194" i="129" s="1"/>
  <c r="C195" i="129" s="1"/>
  <c r="B194" i="129"/>
  <c r="B195" i="129" s="1"/>
  <c r="B196" i="129" s="1"/>
  <c r="B197" i="129" s="1"/>
  <c r="B198" i="129" s="1"/>
  <c r="B199" i="129" s="1"/>
  <c r="B200" i="129" s="1"/>
  <c r="B201" i="129" s="1"/>
  <c r="H229" i="129"/>
  <c r="M229" i="129"/>
  <c r="G416" i="129"/>
  <c r="G413" i="129"/>
  <c r="G2" i="128"/>
  <c r="C110" i="128"/>
  <c r="N109" i="128"/>
  <c r="N267" i="128"/>
  <c r="T402" i="128"/>
  <c r="B89" i="128"/>
  <c r="AX48" i="128"/>
  <c r="AY48" i="128" s="1"/>
  <c r="N263" i="128"/>
  <c r="T398" i="128"/>
  <c r="F303" i="128"/>
  <c r="F325" i="128"/>
  <c r="F368" i="128"/>
  <c r="C78" i="128"/>
  <c r="C79" i="128" s="1"/>
  <c r="C80" i="128" s="1"/>
  <c r="F78" i="128"/>
  <c r="F387" i="128"/>
  <c r="M325" i="128"/>
  <c r="S303" i="128"/>
  <c r="M42" i="128"/>
  <c r="T396" i="128"/>
  <c r="N261" i="128"/>
  <c r="M59" i="128"/>
  <c r="B90" i="128"/>
  <c r="B110" i="128"/>
  <c r="C63" i="128"/>
  <c r="C64" i="128" s="1"/>
  <c r="C65" i="128" s="1"/>
  <c r="B158" i="128"/>
  <c r="B79" i="128"/>
  <c r="B80" i="128" s="1"/>
  <c r="F151" i="128"/>
  <c r="AZ41" i="128"/>
  <c r="F86" i="128" s="1"/>
  <c r="F124" i="128"/>
  <c r="AX41" i="128"/>
  <c r="AY41" i="128" s="1"/>
  <c r="F169" i="128"/>
  <c r="C169" i="128"/>
  <c r="C170" i="128" s="1"/>
  <c r="C171" i="128" s="1"/>
  <c r="F107" i="128"/>
  <c r="C124" i="128"/>
  <c r="C125" i="128" s="1"/>
  <c r="C126" i="128" s="1"/>
  <c r="N264" i="128"/>
  <c r="T399" i="128"/>
  <c r="B139" i="128"/>
  <c r="AZ44" i="128"/>
  <c r="F136" i="128" s="1"/>
  <c r="AX44" i="128"/>
  <c r="AY44" i="128" s="1"/>
  <c r="B66" i="128"/>
  <c r="N262" i="128"/>
  <c r="T397" i="128"/>
  <c r="B127" i="128"/>
  <c r="K352" i="128"/>
  <c r="G416" i="128"/>
  <c r="N260" i="128"/>
  <c r="M58" i="128"/>
  <c r="W214" i="128" s="1"/>
  <c r="C193" i="128"/>
  <c r="C194" i="128" s="1"/>
  <c r="C195" i="128" s="1"/>
  <c r="T392" i="128"/>
  <c r="N257" i="128"/>
  <c r="W210" i="128"/>
  <c r="B172" i="128"/>
  <c r="B173" i="128" s="1"/>
  <c r="J229" i="128"/>
  <c r="J227" i="128"/>
  <c r="T391" i="128"/>
  <c r="N256" i="128"/>
  <c r="K350" i="128"/>
  <c r="AJ58" i="128"/>
  <c r="N258" i="128"/>
  <c r="W211" i="128"/>
  <c r="T400" i="128"/>
  <c r="N265" i="128"/>
  <c r="K359" i="128"/>
  <c r="N266" i="128"/>
  <c r="T401" i="128"/>
  <c r="H229" i="128"/>
  <c r="H227" i="128"/>
  <c r="B182" i="128"/>
  <c r="B183" i="128" s="1"/>
  <c r="C181" i="128"/>
  <c r="C182" i="128" s="1"/>
  <c r="C183" i="128" s="1"/>
  <c r="C151" i="128"/>
  <c r="C152" i="128" s="1"/>
  <c r="C157" i="128" s="1"/>
  <c r="B158" i="127"/>
  <c r="N171" i="127"/>
  <c r="C172" i="127"/>
  <c r="C173" i="127" s="1"/>
  <c r="B184" i="127"/>
  <c r="C124" i="127"/>
  <c r="C125" i="127" s="1"/>
  <c r="C126" i="127" s="1"/>
  <c r="C181" i="127"/>
  <c r="C182" i="127" s="1"/>
  <c r="C183" i="127" s="1"/>
  <c r="F124" i="127"/>
  <c r="AZ46" i="127"/>
  <c r="F169" i="127" s="1"/>
  <c r="T397" i="127"/>
  <c r="N262" i="127"/>
  <c r="M42" i="127"/>
  <c r="B127" i="127"/>
  <c r="G2" i="127"/>
  <c r="F63" i="127"/>
  <c r="AV63" i="127" s="1"/>
  <c r="AX42" i="127"/>
  <c r="AY42" i="127" s="1"/>
  <c r="B64" i="127"/>
  <c r="B65" i="127" s="1"/>
  <c r="B87" i="127"/>
  <c r="B88" i="127" s="1"/>
  <c r="C151" i="127"/>
  <c r="C152" i="127" s="1"/>
  <c r="C157" i="127" s="1"/>
  <c r="F368" i="127"/>
  <c r="F303" i="127"/>
  <c r="F325" i="127"/>
  <c r="T398" i="127"/>
  <c r="N263" i="127"/>
  <c r="F151" i="127"/>
  <c r="F387" i="127"/>
  <c r="M325" i="127"/>
  <c r="S303" i="127"/>
  <c r="F58" i="127"/>
  <c r="N257" i="127"/>
  <c r="T392" i="127"/>
  <c r="C193" i="127"/>
  <c r="C194" i="127" s="1"/>
  <c r="C195" i="127" s="1"/>
  <c r="AX47" i="127"/>
  <c r="AY47" i="127" s="1"/>
  <c r="C78" i="127"/>
  <c r="C79" i="127" s="1"/>
  <c r="C80" i="127" s="1"/>
  <c r="B79" i="127"/>
  <c r="B80" i="127" s="1"/>
  <c r="AX41" i="127"/>
  <c r="AY41" i="127" s="1"/>
  <c r="AV52" i="127" s="1" a="1"/>
  <c r="F78" i="127"/>
  <c r="F107" i="127"/>
  <c r="B137" i="127"/>
  <c r="B138" i="127" s="1"/>
  <c r="C136" i="127"/>
  <c r="C137" i="127" s="1"/>
  <c r="C138" i="127" s="1"/>
  <c r="T391" i="127"/>
  <c r="K350" i="127"/>
  <c r="N256" i="127"/>
  <c r="M59" i="127"/>
  <c r="M58" i="127"/>
  <c r="K354" i="127" s="1"/>
  <c r="B110" i="127"/>
  <c r="F136" i="127"/>
  <c r="T400" i="127"/>
  <c r="N265" i="127"/>
  <c r="W212" i="127"/>
  <c r="T402" i="127"/>
  <c r="N267" i="127"/>
  <c r="W220" i="127"/>
  <c r="H229" i="127"/>
  <c r="H227" i="127"/>
  <c r="T396" i="127"/>
  <c r="N261" i="127"/>
  <c r="T399" i="127"/>
  <c r="N264" i="127"/>
  <c r="K360" i="127"/>
  <c r="T401" i="127"/>
  <c r="N266" i="127"/>
  <c r="W219" i="127"/>
  <c r="B172" i="127"/>
  <c r="B173" i="127" s="1"/>
  <c r="G414" i="127"/>
  <c r="K227" i="127"/>
  <c r="K229" i="127"/>
  <c r="G229" i="127"/>
  <c r="AY44" i="129" l="1"/>
  <c r="C136" i="129"/>
  <c r="C137" i="129" s="1"/>
  <c r="C138" i="129" s="1"/>
  <c r="C151" i="129"/>
  <c r="C152" i="129" s="1"/>
  <c r="C157" i="129" s="1"/>
  <c r="C136" i="128"/>
  <c r="C137" i="128" s="1"/>
  <c r="C138" i="128" s="1"/>
  <c r="AK265" i="129"/>
  <c r="AL265" i="129"/>
  <c r="AR265" i="129"/>
  <c r="AG265" i="129"/>
  <c r="AP265" i="129"/>
  <c r="AO265" i="129"/>
  <c r="AN265" i="129"/>
  <c r="N218" i="129"/>
  <c r="AH265" i="129"/>
  <c r="C172" i="129"/>
  <c r="C173" i="129" s="1"/>
  <c r="N171" i="129"/>
  <c r="M361" i="129"/>
  <c r="B155" i="129"/>
  <c r="AK258" i="129"/>
  <c r="N211" i="129"/>
  <c r="AO258" i="129"/>
  <c r="AK259" i="129"/>
  <c r="N212" i="129"/>
  <c r="AO259" i="129"/>
  <c r="AN256" i="129"/>
  <c r="AG256" i="129"/>
  <c r="AO256" i="129"/>
  <c r="AR256" i="129"/>
  <c r="AH256" i="129"/>
  <c r="N209" i="129"/>
  <c r="AP256" i="129"/>
  <c r="AL256" i="129"/>
  <c r="AK256" i="129"/>
  <c r="AL264" i="129"/>
  <c r="AP264" i="129"/>
  <c r="AG264" i="129"/>
  <c r="AH264" i="129"/>
  <c r="AR264" i="129"/>
  <c r="AN264" i="129"/>
  <c r="AK264" i="129"/>
  <c r="N217" i="129"/>
  <c r="AO264" i="129"/>
  <c r="AK267" i="129"/>
  <c r="AL267" i="129"/>
  <c r="AR267" i="129"/>
  <c r="AO267" i="129"/>
  <c r="AN267" i="129"/>
  <c r="AH267" i="129"/>
  <c r="AG267" i="129"/>
  <c r="AP267" i="129"/>
  <c r="N220" i="129"/>
  <c r="AK263" i="129"/>
  <c r="AL263" i="129"/>
  <c r="AG263" i="129"/>
  <c r="AH263" i="129"/>
  <c r="AR263" i="129"/>
  <c r="AO263" i="129"/>
  <c r="AN263" i="129"/>
  <c r="AP263" i="129"/>
  <c r="N216" i="129"/>
  <c r="B90" i="129"/>
  <c r="B89" i="129"/>
  <c r="M358" i="129"/>
  <c r="AK261" i="129"/>
  <c r="N214" i="129"/>
  <c r="AL261" i="129"/>
  <c r="AH261" i="129"/>
  <c r="AP261" i="129"/>
  <c r="AO261" i="129"/>
  <c r="AN261" i="129"/>
  <c r="AG261" i="129"/>
  <c r="AR261" i="129"/>
  <c r="B174" i="129"/>
  <c r="B67" i="129"/>
  <c r="B110" i="129"/>
  <c r="C81" i="129"/>
  <c r="N80" i="129"/>
  <c r="N213" i="129"/>
  <c r="AK260" i="129"/>
  <c r="AO260" i="129"/>
  <c r="N195" i="129"/>
  <c r="N413" i="129" s="1"/>
  <c r="C196" i="129"/>
  <c r="C66" i="129"/>
  <c r="N65" i="129"/>
  <c r="B141" i="129"/>
  <c r="N138" i="129"/>
  <c r="C139" i="129"/>
  <c r="C127" i="129"/>
  <c r="N126" i="129"/>
  <c r="B186" i="129"/>
  <c r="AL266" i="129"/>
  <c r="AO266" i="129"/>
  <c r="AG266" i="129"/>
  <c r="AP266" i="129"/>
  <c r="N219" i="129"/>
  <c r="AH266" i="129"/>
  <c r="AR266" i="129"/>
  <c r="AN266" i="129"/>
  <c r="AK266" i="129"/>
  <c r="B128" i="129"/>
  <c r="AL262" i="129"/>
  <c r="AO262" i="129"/>
  <c r="N215" i="129"/>
  <c r="AG262" i="129"/>
  <c r="AP262" i="129"/>
  <c r="AH262" i="129"/>
  <c r="AR262" i="129"/>
  <c r="AN262" i="129"/>
  <c r="AK262" i="129"/>
  <c r="AK257" i="129"/>
  <c r="AG257" i="129"/>
  <c r="AR257" i="129"/>
  <c r="AH257" i="129"/>
  <c r="AP257" i="129"/>
  <c r="AO257" i="129"/>
  <c r="AN257" i="129"/>
  <c r="N210" i="129"/>
  <c r="AL257" i="129"/>
  <c r="M356" i="129"/>
  <c r="B81" i="129"/>
  <c r="C86" i="129"/>
  <c r="C87" i="129" s="1"/>
  <c r="C88" i="129" s="1"/>
  <c r="AY41" i="129"/>
  <c r="AV52" i="129" s="1" a="1"/>
  <c r="C158" i="129"/>
  <c r="N157" i="129"/>
  <c r="M359" i="129"/>
  <c r="M351" i="129"/>
  <c r="C181" i="129"/>
  <c r="C182" i="129" s="1"/>
  <c r="C183" i="129" s="1"/>
  <c r="N109" i="129"/>
  <c r="C110" i="129"/>
  <c r="K363" i="129"/>
  <c r="M363" i="129"/>
  <c r="M353" i="129" s="1"/>
  <c r="N269" i="129"/>
  <c r="AG40" i="129"/>
  <c r="W201" i="129" s="1"/>
  <c r="W217" i="129"/>
  <c r="AV52" i="128" a="1"/>
  <c r="AX53" i="128" s="1"/>
  <c r="C184" i="128"/>
  <c r="N183" i="128"/>
  <c r="K360" i="128"/>
  <c r="AL264" i="128"/>
  <c r="AR264" i="128"/>
  <c r="AP264" i="128"/>
  <c r="AO264" i="128"/>
  <c r="AG264" i="128"/>
  <c r="AH264" i="128"/>
  <c r="AK264" i="128"/>
  <c r="N217" i="128"/>
  <c r="AN264" i="128"/>
  <c r="W216" i="128"/>
  <c r="B184" i="128"/>
  <c r="K358" i="128"/>
  <c r="N259" i="128"/>
  <c r="AL266" i="128"/>
  <c r="AO266" i="128"/>
  <c r="AH266" i="128"/>
  <c r="N219" i="128"/>
  <c r="AG266" i="128"/>
  <c r="AR266" i="128"/>
  <c r="AP266" i="128"/>
  <c r="AN266" i="128"/>
  <c r="AK266" i="128"/>
  <c r="N65" i="128"/>
  <c r="C66" i="128"/>
  <c r="B92" i="128"/>
  <c r="B91" i="128"/>
  <c r="AG263" i="128"/>
  <c r="AP263" i="128"/>
  <c r="AH263" i="128"/>
  <c r="AK263" i="128"/>
  <c r="AR263" i="128"/>
  <c r="AO263" i="128"/>
  <c r="AN263" i="128"/>
  <c r="AL263" i="128"/>
  <c r="N216" i="128"/>
  <c r="B174" i="128"/>
  <c r="N126" i="128"/>
  <c r="C127" i="128"/>
  <c r="B111" i="128"/>
  <c r="K357" i="128"/>
  <c r="W220" i="128"/>
  <c r="AK265" i="128"/>
  <c r="AH265" i="128"/>
  <c r="AL265" i="128"/>
  <c r="AG265" i="128"/>
  <c r="AN265" i="128"/>
  <c r="N218" i="128"/>
  <c r="AO265" i="128"/>
  <c r="AR265" i="128"/>
  <c r="AP265" i="128"/>
  <c r="N195" i="128"/>
  <c r="N413" i="128" s="1"/>
  <c r="C196" i="128"/>
  <c r="B140" i="128"/>
  <c r="K361" i="128"/>
  <c r="AO267" i="128"/>
  <c r="AN267" i="128"/>
  <c r="AL267" i="128"/>
  <c r="AH267" i="128"/>
  <c r="AG267" i="128"/>
  <c r="N220" i="128"/>
  <c r="AR267" i="128"/>
  <c r="AP267" i="128"/>
  <c r="AK267" i="128"/>
  <c r="N269" i="128"/>
  <c r="K363" i="128"/>
  <c r="M363" i="128"/>
  <c r="W219" i="128"/>
  <c r="AG40" i="128"/>
  <c r="B128" i="128"/>
  <c r="K355" i="128"/>
  <c r="N171" i="128"/>
  <c r="C172" i="128"/>
  <c r="C173" i="128" s="1"/>
  <c r="C81" i="128"/>
  <c r="N80" i="128"/>
  <c r="N213" i="128"/>
  <c r="AK260" i="128"/>
  <c r="AO260" i="128"/>
  <c r="W218" i="128"/>
  <c r="AR261" i="128"/>
  <c r="AP261" i="128"/>
  <c r="AL261" i="128"/>
  <c r="AH261" i="128"/>
  <c r="AG261" i="128"/>
  <c r="AO261" i="128"/>
  <c r="N214" i="128"/>
  <c r="AN261" i="128"/>
  <c r="AK261" i="128"/>
  <c r="AO258" i="128"/>
  <c r="N211" i="128"/>
  <c r="AK258" i="128"/>
  <c r="C158" i="128"/>
  <c r="N157" i="128"/>
  <c r="AL256" i="128"/>
  <c r="AR256" i="128"/>
  <c r="AP256" i="128"/>
  <c r="AN256" i="128"/>
  <c r="AK256" i="128"/>
  <c r="N209" i="128"/>
  <c r="AH256" i="128"/>
  <c r="AO256" i="128"/>
  <c r="AG256" i="128"/>
  <c r="K351" i="128"/>
  <c r="W213" i="128"/>
  <c r="W215" i="128"/>
  <c r="AK257" i="128"/>
  <c r="AN257" i="128"/>
  <c r="AL257" i="128"/>
  <c r="N210" i="128"/>
  <c r="AH257" i="128"/>
  <c r="AO257" i="128"/>
  <c r="AP257" i="128"/>
  <c r="AR257" i="128"/>
  <c r="AG257" i="128"/>
  <c r="C139" i="128"/>
  <c r="N138" i="128"/>
  <c r="AL262" i="128"/>
  <c r="AN262" i="128"/>
  <c r="AK262" i="128"/>
  <c r="AG262" i="128"/>
  <c r="AH262" i="128"/>
  <c r="AP262" i="128"/>
  <c r="AO262" i="128"/>
  <c r="AR262" i="128"/>
  <c r="N215" i="128"/>
  <c r="B67" i="128"/>
  <c r="B155" i="128"/>
  <c r="W209" i="128"/>
  <c r="W212" i="128"/>
  <c r="C86" i="128"/>
  <c r="C87" i="128" s="1"/>
  <c r="C88" i="128" s="1"/>
  <c r="C111" i="128"/>
  <c r="N110" i="128"/>
  <c r="M352" i="128"/>
  <c r="B81" i="128"/>
  <c r="K354" i="128"/>
  <c r="K356" i="128"/>
  <c r="W217" i="128"/>
  <c r="K353" i="128"/>
  <c r="AO265" i="127"/>
  <c r="AP265" i="127"/>
  <c r="AN265" i="127"/>
  <c r="AK265" i="127"/>
  <c r="AH265" i="127"/>
  <c r="AR265" i="127"/>
  <c r="AL265" i="127"/>
  <c r="AG265" i="127"/>
  <c r="N218" i="127"/>
  <c r="AO263" i="127"/>
  <c r="AK263" i="127"/>
  <c r="AG263" i="127"/>
  <c r="AH263" i="127"/>
  <c r="AN263" i="127"/>
  <c r="AP263" i="127"/>
  <c r="AL263" i="127"/>
  <c r="N216" i="127"/>
  <c r="AR263" i="127"/>
  <c r="W217" i="127"/>
  <c r="K359" i="127"/>
  <c r="N260" i="127"/>
  <c r="K357" i="127"/>
  <c r="K358" i="127"/>
  <c r="K353" i="127"/>
  <c r="W218" i="127"/>
  <c r="AG264" i="127"/>
  <c r="AP264" i="127"/>
  <c r="N217" i="127"/>
  <c r="AH264" i="127"/>
  <c r="AR264" i="127"/>
  <c r="AL264" i="127"/>
  <c r="AO264" i="127"/>
  <c r="AN264" i="127"/>
  <c r="AK264" i="127"/>
  <c r="AV52" i="127"/>
  <c r="AX53" i="127"/>
  <c r="AX54" i="127"/>
  <c r="N157" i="127"/>
  <c r="C158" i="127"/>
  <c r="AO267" i="127"/>
  <c r="AN267" i="127"/>
  <c r="AG267" i="127"/>
  <c r="AL267" i="127"/>
  <c r="AR267" i="127"/>
  <c r="AP267" i="127"/>
  <c r="N220" i="127"/>
  <c r="AK267" i="127"/>
  <c r="AH267" i="127"/>
  <c r="M363" i="127"/>
  <c r="M354" i="127" s="1"/>
  <c r="K363" i="127"/>
  <c r="N269" i="127"/>
  <c r="AG40" i="127"/>
  <c r="W210" i="127"/>
  <c r="B174" i="127"/>
  <c r="AO261" i="127"/>
  <c r="AG261" i="127"/>
  <c r="AN261" i="127"/>
  <c r="AH261" i="127"/>
  <c r="AP261" i="127"/>
  <c r="N214" i="127"/>
  <c r="AR261" i="127"/>
  <c r="AL261" i="127"/>
  <c r="AK261" i="127"/>
  <c r="K361" i="127"/>
  <c r="C107" i="127"/>
  <c r="C108" i="127" s="1"/>
  <c r="C109" i="127" s="1"/>
  <c r="AK257" i="127"/>
  <c r="AP257" i="127"/>
  <c r="AH257" i="127"/>
  <c r="AO257" i="127"/>
  <c r="N210" i="127"/>
  <c r="AR257" i="127"/>
  <c r="AN257" i="127"/>
  <c r="AL257" i="127"/>
  <c r="AG257" i="127"/>
  <c r="C86" i="127"/>
  <c r="C87" i="127" s="1"/>
  <c r="C88" i="127" s="1"/>
  <c r="B128" i="127"/>
  <c r="B155" i="127"/>
  <c r="B81" i="127"/>
  <c r="K351" i="127"/>
  <c r="M351" i="127" s="1"/>
  <c r="B89" i="127"/>
  <c r="B90" i="127"/>
  <c r="C63" i="127"/>
  <c r="C64" i="127" s="1"/>
  <c r="C65" i="127" s="1"/>
  <c r="N183" i="127"/>
  <c r="C184" i="127"/>
  <c r="W213" i="127"/>
  <c r="K355" i="127"/>
  <c r="AH256" i="127"/>
  <c r="AN256" i="127"/>
  <c r="AK256" i="127"/>
  <c r="N209" i="127"/>
  <c r="AP256" i="127"/>
  <c r="AR256" i="127"/>
  <c r="AO256" i="127"/>
  <c r="AL256" i="127"/>
  <c r="AG256" i="127"/>
  <c r="C81" i="127"/>
  <c r="N80" i="127"/>
  <c r="B66" i="127"/>
  <c r="N173" i="127"/>
  <c r="C174" i="127"/>
  <c r="W214" i="127"/>
  <c r="W209" i="127"/>
  <c r="C139" i="127"/>
  <c r="N138" i="127"/>
  <c r="K352" i="127"/>
  <c r="M352" i="127" s="1"/>
  <c r="AG262" i="127"/>
  <c r="AL262" i="127"/>
  <c r="AR262" i="127"/>
  <c r="AK262" i="127"/>
  <c r="AH262" i="127"/>
  <c r="AO262" i="127"/>
  <c r="AP262" i="127"/>
  <c r="AN262" i="127"/>
  <c r="N215" i="127"/>
  <c r="B139" i="127"/>
  <c r="W211" i="127"/>
  <c r="W215" i="127"/>
  <c r="C127" i="127"/>
  <c r="N126" i="127"/>
  <c r="B185" i="127"/>
  <c r="AG266" i="127"/>
  <c r="AN266" i="127"/>
  <c r="AO266" i="127"/>
  <c r="AL266" i="127"/>
  <c r="AK266" i="127"/>
  <c r="AH266" i="127"/>
  <c r="N219" i="127"/>
  <c r="AR266" i="127"/>
  <c r="AP266" i="127"/>
  <c r="N195" i="127"/>
  <c r="N413" i="127" s="1"/>
  <c r="C196" i="127"/>
  <c r="N258" i="127"/>
  <c r="N259" i="127"/>
  <c r="B111" i="127"/>
  <c r="W216" i="127"/>
  <c r="K356" i="127"/>
  <c r="M356" i="127" s="1"/>
  <c r="AX54" i="128" l="1"/>
  <c r="AV52" i="128"/>
  <c r="AX52" i="128" s="1"/>
  <c r="M352" i="129"/>
  <c r="P375" i="129"/>
  <c r="M394" i="129"/>
  <c r="B129" i="129"/>
  <c r="M350" i="129"/>
  <c r="C111" i="129"/>
  <c r="N110" i="129"/>
  <c r="P381" i="129"/>
  <c r="M400" i="129"/>
  <c r="V400" i="129"/>
  <c r="P374" i="129"/>
  <c r="M393" i="129"/>
  <c r="B142" i="129"/>
  <c r="X201" i="129"/>
  <c r="B82" i="129"/>
  <c r="C128" i="129"/>
  <c r="N81" i="129"/>
  <c r="C82" i="129"/>
  <c r="M399" i="129"/>
  <c r="P380" i="129"/>
  <c r="V399" i="129"/>
  <c r="B156" i="129"/>
  <c r="AO269" i="129"/>
  <c r="AK269" i="129"/>
  <c r="B68" i="129"/>
  <c r="N183" i="129"/>
  <c r="C184" i="129"/>
  <c r="M392" i="129"/>
  <c r="V392" i="129"/>
  <c r="P373" i="129"/>
  <c r="V402" i="129"/>
  <c r="P383" i="129"/>
  <c r="M402" i="129"/>
  <c r="C155" i="129"/>
  <c r="N158" i="129"/>
  <c r="B175" i="129"/>
  <c r="M354" i="129"/>
  <c r="B187" i="129"/>
  <c r="M357" i="129"/>
  <c r="AX53" i="129"/>
  <c r="AV52" i="129"/>
  <c r="AX54" i="129"/>
  <c r="M360" i="129"/>
  <c r="C140" i="129"/>
  <c r="N139" i="129"/>
  <c r="C67" i="129"/>
  <c r="N66" i="129"/>
  <c r="N196" i="129"/>
  <c r="N414" i="129" s="1"/>
  <c r="C197" i="129"/>
  <c r="B111" i="129"/>
  <c r="M355" i="129"/>
  <c r="B91" i="129"/>
  <c r="B92" i="129"/>
  <c r="C174" i="129"/>
  <c r="N173" i="129"/>
  <c r="P378" i="129"/>
  <c r="M397" i="129"/>
  <c r="V397" i="129"/>
  <c r="N88" i="129"/>
  <c r="C90" i="129"/>
  <c r="C89" i="129"/>
  <c r="M355" i="128"/>
  <c r="M396" i="128" s="1"/>
  <c r="M361" i="128"/>
  <c r="M353" i="128"/>
  <c r="M360" i="128"/>
  <c r="B82" i="128"/>
  <c r="N139" i="128"/>
  <c r="C140" i="128"/>
  <c r="M351" i="128"/>
  <c r="N158" i="128"/>
  <c r="C155" i="128"/>
  <c r="B112" i="128"/>
  <c r="P374" i="128"/>
  <c r="M393" i="128"/>
  <c r="C128" i="128"/>
  <c r="B94" i="128"/>
  <c r="B93" i="128"/>
  <c r="AO269" i="128"/>
  <c r="AK269" i="128"/>
  <c r="AO259" i="128"/>
  <c r="AK259" i="128"/>
  <c r="N212" i="128"/>
  <c r="B156" i="128"/>
  <c r="C35" i="128"/>
  <c r="B141" i="128"/>
  <c r="C67" i="128"/>
  <c r="N66" i="128"/>
  <c r="BF53" i="128"/>
  <c r="BE53" i="128"/>
  <c r="BD53" i="128"/>
  <c r="K34" i="128" s="1"/>
  <c r="BC53" i="128"/>
  <c r="F34" i="128" s="1"/>
  <c r="M350" i="128"/>
  <c r="B185" i="128"/>
  <c r="C82" i="128"/>
  <c r="N81" i="128"/>
  <c r="C185" i="128"/>
  <c r="N184" i="128"/>
  <c r="B129" i="128"/>
  <c r="C89" i="128"/>
  <c r="N88" i="128"/>
  <c r="C90" i="128"/>
  <c r="M356" i="128"/>
  <c r="B68" i="128"/>
  <c r="N196" i="128"/>
  <c r="N414" i="128" s="1"/>
  <c r="C197" i="128"/>
  <c r="B175" i="128"/>
  <c r="M354" i="128"/>
  <c r="M359" i="128"/>
  <c r="M358" i="128"/>
  <c r="N111" i="128"/>
  <c r="C112" i="128"/>
  <c r="C174" i="128"/>
  <c r="N173" i="128"/>
  <c r="X201" i="128"/>
  <c r="W201" i="128"/>
  <c r="M357" i="128"/>
  <c r="M361" i="127"/>
  <c r="M395" i="127"/>
  <c r="P376" i="127"/>
  <c r="C185" i="127"/>
  <c r="N184" i="127"/>
  <c r="C155" i="127"/>
  <c r="N158" i="127"/>
  <c r="M353" i="127"/>
  <c r="AO260" i="127"/>
  <c r="N213" i="127"/>
  <c r="AK260" i="127"/>
  <c r="N109" i="127"/>
  <c r="C110" i="127"/>
  <c r="M358" i="127"/>
  <c r="M359" i="127"/>
  <c r="B112" i="127"/>
  <c r="C197" i="127"/>
  <c r="N196" i="127"/>
  <c r="N414" i="127" s="1"/>
  <c r="C140" i="127"/>
  <c r="N139" i="127"/>
  <c r="C66" i="127"/>
  <c r="N65" i="127"/>
  <c r="B156" i="127"/>
  <c r="M360" i="127"/>
  <c r="M393" i="127"/>
  <c r="P374" i="127"/>
  <c r="B91" i="127"/>
  <c r="B92" i="127"/>
  <c r="BF53" i="127"/>
  <c r="BE53" i="127"/>
  <c r="BD53" i="127"/>
  <c r="K34" i="127" s="1"/>
  <c r="BC53" i="127"/>
  <c r="F34" i="127" s="1"/>
  <c r="N174" i="127"/>
  <c r="C175" i="127"/>
  <c r="B129" i="127"/>
  <c r="B175" i="127"/>
  <c r="AX52" i="127"/>
  <c r="C35" i="127" s="1"/>
  <c r="AO259" i="127"/>
  <c r="AK259" i="127"/>
  <c r="N212" i="127"/>
  <c r="M397" i="127"/>
  <c r="P378" i="127"/>
  <c r="V397" i="127"/>
  <c r="B186" i="127"/>
  <c r="M392" i="127"/>
  <c r="P373" i="127"/>
  <c r="V392" i="127"/>
  <c r="N88" i="127"/>
  <c r="C90" i="127"/>
  <c r="C89" i="127"/>
  <c r="W201" i="127"/>
  <c r="X201" i="127"/>
  <c r="N211" i="127"/>
  <c r="AK258" i="127"/>
  <c r="AO258" i="127"/>
  <c r="M357" i="127"/>
  <c r="B67" i="127"/>
  <c r="M355" i="127"/>
  <c r="AK269" i="127"/>
  <c r="AO269" i="127"/>
  <c r="C82" i="127"/>
  <c r="N81" i="127"/>
  <c r="B82" i="127"/>
  <c r="C128" i="127"/>
  <c r="B140" i="127"/>
  <c r="M350" i="127"/>
  <c r="V398" i="129" l="1"/>
  <c r="P379" i="129"/>
  <c r="M398" i="129"/>
  <c r="B94" i="129"/>
  <c r="B93" i="129"/>
  <c r="C185" i="129"/>
  <c r="N184" i="129"/>
  <c r="B153" i="129"/>
  <c r="P372" i="129"/>
  <c r="M391" i="129"/>
  <c r="V391" i="129"/>
  <c r="N155" i="129"/>
  <c r="C156" i="129"/>
  <c r="N128" i="129"/>
  <c r="C129" i="129"/>
  <c r="M396" i="129"/>
  <c r="V396" i="129"/>
  <c r="P377" i="129"/>
  <c r="N140" i="129"/>
  <c r="C141" i="129"/>
  <c r="B130" i="129"/>
  <c r="P383" i="127"/>
  <c r="M402" i="128"/>
  <c r="P382" i="128"/>
  <c r="B176" i="129"/>
  <c r="C68" i="129"/>
  <c r="N67" i="129"/>
  <c r="V402" i="128"/>
  <c r="V401" i="128"/>
  <c r="P382" i="129"/>
  <c r="M401" i="129"/>
  <c r="V401" i="129"/>
  <c r="B69" i="129"/>
  <c r="B83" i="129"/>
  <c r="B84" i="129" s="1"/>
  <c r="N174" i="129"/>
  <c r="C175" i="129"/>
  <c r="B112" i="129"/>
  <c r="M395" i="129"/>
  <c r="P376" i="129"/>
  <c r="C112" i="129"/>
  <c r="N111" i="129"/>
  <c r="P375" i="128"/>
  <c r="V396" i="128"/>
  <c r="P377" i="128"/>
  <c r="N89" i="129"/>
  <c r="AX52" i="129"/>
  <c r="C35" i="129" s="1"/>
  <c r="V402" i="127"/>
  <c r="M401" i="128"/>
  <c r="C92" i="129"/>
  <c r="C91" i="129"/>
  <c r="N90" i="129"/>
  <c r="N197" i="129"/>
  <c r="N415" i="129" s="1"/>
  <c r="C198" i="129"/>
  <c r="BD53" i="129"/>
  <c r="K34" i="129" s="1"/>
  <c r="BF53" i="129"/>
  <c r="BE53" i="129"/>
  <c r="BC53" i="129"/>
  <c r="F34" i="129" s="1"/>
  <c r="M402" i="127"/>
  <c r="B188" i="129"/>
  <c r="B189" i="129"/>
  <c r="P383" i="128"/>
  <c r="M394" i="128"/>
  <c r="N82" i="129"/>
  <c r="C83" i="129"/>
  <c r="B143" i="129"/>
  <c r="C175" i="128"/>
  <c r="N174" i="128"/>
  <c r="C113" i="128"/>
  <c r="N112" i="128"/>
  <c r="P372" i="128"/>
  <c r="V391" i="128"/>
  <c r="M391" i="128"/>
  <c r="N67" i="128"/>
  <c r="C68" i="128"/>
  <c r="M392" i="128"/>
  <c r="V392" i="128"/>
  <c r="P373" i="128"/>
  <c r="C141" i="128"/>
  <c r="N140" i="128"/>
  <c r="B113" i="128"/>
  <c r="B142" i="128"/>
  <c r="V398" i="128"/>
  <c r="M398" i="128"/>
  <c r="P379" i="128"/>
  <c r="P378" i="128"/>
  <c r="M397" i="128"/>
  <c r="V397" i="128"/>
  <c r="B130" i="128"/>
  <c r="BD52" i="128"/>
  <c r="K33" i="128" s="1"/>
  <c r="BF52" i="128"/>
  <c r="BE52" i="128"/>
  <c r="BA52" i="128" a="1"/>
  <c r="P380" i="128"/>
  <c r="M399" i="128"/>
  <c r="V399" i="128"/>
  <c r="B95" i="128"/>
  <c r="N90" i="128"/>
  <c r="C92" i="128"/>
  <c r="C91" i="128"/>
  <c r="B83" i="128"/>
  <c r="B84" i="128" s="1"/>
  <c r="B69" i="128"/>
  <c r="C186" i="128"/>
  <c r="N185" i="128"/>
  <c r="C83" i="128"/>
  <c r="N82" i="128"/>
  <c r="P381" i="128"/>
  <c r="M400" i="128"/>
  <c r="V400" i="128"/>
  <c r="B176" i="128"/>
  <c r="B186" i="128"/>
  <c r="P376" i="128"/>
  <c r="M395" i="128"/>
  <c r="C198" i="128"/>
  <c r="N197" i="128"/>
  <c r="N415" i="128" s="1"/>
  <c r="N89" i="128"/>
  <c r="B153" i="128"/>
  <c r="C129" i="128"/>
  <c r="N128" i="128"/>
  <c r="N155" i="128"/>
  <c r="C156" i="128"/>
  <c r="B187" i="127"/>
  <c r="B113" i="127"/>
  <c r="N89" i="127"/>
  <c r="BE52" i="127"/>
  <c r="BD52" i="127"/>
  <c r="K33" i="127" s="1"/>
  <c r="BA52" i="127" a="1"/>
  <c r="BF52" i="127"/>
  <c r="M401" i="127"/>
  <c r="V401" i="127"/>
  <c r="P382" i="127"/>
  <c r="C67" i="127"/>
  <c r="N66" i="127"/>
  <c r="M400" i="127"/>
  <c r="P381" i="127"/>
  <c r="V400" i="127"/>
  <c r="C156" i="127"/>
  <c r="N155" i="127"/>
  <c r="C92" i="127"/>
  <c r="N90" i="127"/>
  <c r="C91" i="127"/>
  <c r="V399" i="127"/>
  <c r="M399" i="127"/>
  <c r="P380" i="127"/>
  <c r="B68" i="127"/>
  <c r="B176" i="127"/>
  <c r="B153" i="127"/>
  <c r="N110" i="127"/>
  <c r="C111" i="127"/>
  <c r="C186" i="127"/>
  <c r="N185" i="127"/>
  <c r="N140" i="127"/>
  <c r="C141" i="127"/>
  <c r="B83" i="127"/>
  <c r="B84" i="127" s="1"/>
  <c r="V398" i="127"/>
  <c r="P379" i="127"/>
  <c r="M398" i="127"/>
  <c r="B94" i="127"/>
  <c r="B93" i="127"/>
  <c r="B141" i="127"/>
  <c r="B130" i="127"/>
  <c r="N128" i="127"/>
  <c r="C129" i="127"/>
  <c r="C198" i="127"/>
  <c r="N197" i="127"/>
  <c r="N415" i="127" s="1"/>
  <c r="N82" i="127"/>
  <c r="C83" i="127"/>
  <c r="M394" i="127"/>
  <c r="P375" i="127"/>
  <c r="P377" i="127"/>
  <c r="M396" i="127"/>
  <c r="V396" i="127"/>
  <c r="V391" i="127"/>
  <c r="P372" i="127"/>
  <c r="M391" i="127"/>
  <c r="C176" i="127"/>
  <c r="N175" i="127"/>
  <c r="C69" i="129" l="1"/>
  <c r="N68" i="129"/>
  <c r="B131" i="129"/>
  <c r="BD52" i="129"/>
  <c r="K33" i="129" s="1"/>
  <c r="BF52" i="129"/>
  <c r="BA52" i="129" a="1"/>
  <c r="BE52" i="129"/>
  <c r="X84" i="129"/>
  <c r="F84" i="129"/>
  <c r="Z84" i="129"/>
  <c r="B85" i="129"/>
  <c r="AA84" i="129"/>
  <c r="W84" i="129"/>
  <c r="N84" i="129"/>
  <c r="M84" i="129"/>
  <c r="J84" i="129"/>
  <c r="B70" i="129"/>
  <c r="B95" i="129"/>
  <c r="N141" i="129"/>
  <c r="C142" i="129"/>
  <c r="C199" i="129"/>
  <c r="N198" i="129"/>
  <c r="N416" i="129" s="1"/>
  <c r="B177" i="129"/>
  <c r="B178" i="129"/>
  <c r="B179" i="129" s="1"/>
  <c r="C130" i="129"/>
  <c r="N129" i="129"/>
  <c r="B113" i="129"/>
  <c r="B144" i="129"/>
  <c r="N175" i="129"/>
  <c r="C176" i="129"/>
  <c r="C153" i="129"/>
  <c r="N156" i="129"/>
  <c r="C186" i="129"/>
  <c r="N185" i="129"/>
  <c r="C84" i="129"/>
  <c r="C85" i="129" s="1"/>
  <c r="N83" i="129"/>
  <c r="N91" i="129"/>
  <c r="B190" i="129"/>
  <c r="B191" i="129" s="1"/>
  <c r="B154" i="129"/>
  <c r="C93" i="129"/>
  <c r="N92" i="129"/>
  <c r="C94" i="129"/>
  <c r="C113" i="129"/>
  <c r="N112" i="129"/>
  <c r="N84" i="128"/>
  <c r="AA84" i="128"/>
  <c r="W84" i="128"/>
  <c r="Z84" i="128"/>
  <c r="X84" i="128"/>
  <c r="J84" i="128"/>
  <c r="B85" i="128"/>
  <c r="F84" i="128"/>
  <c r="M84" i="128"/>
  <c r="N141" i="128"/>
  <c r="C142" i="128"/>
  <c r="B131" i="128"/>
  <c r="C114" i="128"/>
  <c r="N113" i="128"/>
  <c r="C153" i="128"/>
  <c r="N156" i="128"/>
  <c r="N91" i="128"/>
  <c r="B143" i="128"/>
  <c r="N92" i="128"/>
  <c r="C94" i="128"/>
  <c r="C93" i="128"/>
  <c r="C199" i="128"/>
  <c r="N198" i="128"/>
  <c r="N416" i="128" s="1"/>
  <c r="B187" i="128"/>
  <c r="C69" i="128"/>
  <c r="N68" i="128"/>
  <c r="N83" i="128"/>
  <c r="C84" i="128"/>
  <c r="C85" i="128" s="1"/>
  <c r="B178" i="128"/>
  <c r="B179" i="128" s="1"/>
  <c r="B177" i="128"/>
  <c r="N175" i="128"/>
  <c r="C176" i="128"/>
  <c r="N129" i="128"/>
  <c r="C130" i="128"/>
  <c r="B70" i="128"/>
  <c r="B96" i="128"/>
  <c r="C34" i="128"/>
  <c r="BA52" i="128"/>
  <c r="B114" i="128"/>
  <c r="B154" i="128"/>
  <c r="N186" i="128"/>
  <c r="C187" i="128"/>
  <c r="B85" i="127"/>
  <c r="AA84" i="127"/>
  <c r="W84" i="127"/>
  <c r="N91" i="127"/>
  <c r="N67" i="127"/>
  <c r="C68" i="127"/>
  <c r="B189" i="127"/>
  <c r="B188" i="127"/>
  <c r="N141" i="127"/>
  <c r="C142" i="127"/>
  <c r="N83" i="127"/>
  <c r="N84" i="127" s="1"/>
  <c r="C84" i="127"/>
  <c r="C85" i="127" s="1"/>
  <c r="C93" i="127"/>
  <c r="N92" i="127"/>
  <c r="C94" i="127"/>
  <c r="B95" i="127"/>
  <c r="B178" i="127"/>
  <c r="B179" i="127" s="1"/>
  <c r="B177" i="127"/>
  <c r="B114" i="127"/>
  <c r="C199" i="127"/>
  <c r="N198" i="127"/>
  <c r="N416" i="127" s="1"/>
  <c r="B131" i="127"/>
  <c r="C187" i="127"/>
  <c r="N186" i="127"/>
  <c r="B69" i="127"/>
  <c r="C153" i="127"/>
  <c r="N156" i="127"/>
  <c r="N111" i="127"/>
  <c r="C112" i="127"/>
  <c r="C178" i="127"/>
  <c r="N176" i="127"/>
  <c r="C177" i="127"/>
  <c r="B142" i="127"/>
  <c r="BA52" i="127"/>
  <c r="C34" i="127"/>
  <c r="C130" i="127"/>
  <c r="N129" i="127"/>
  <c r="B154" i="127"/>
  <c r="B96" i="129" l="1"/>
  <c r="C178" i="129"/>
  <c r="C177" i="129"/>
  <c r="N176" i="129"/>
  <c r="B114" i="129"/>
  <c r="C114" i="129"/>
  <c r="N113" i="129"/>
  <c r="B132" i="129"/>
  <c r="B133" i="129"/>
  <c r="B134" i="129" s="1"/>
  <c r="C200" i="129"/>
  <c r="N199" i="129"/>
  <c r="N417" i="129" s="1"/>
  <c r="B159" i="129"/>
  <c r="N69" i="129"/>
  <c r="C70" i="129"/>
  <c r="N93" i="129"/>
  <c r="N186" i="129"/>
  <c r="C187" i="129"/>
  <c r="C143" i="129"/>
  <c r="N142" i="129"/>
  <c r="B71" i="129"/>
  <c r="BA52" i="129"/>
  <c r="C34" i="129"/>
  <c r="N130" i="129"/>
  <c r="C131" i="129"/>
  <c r="W191" i="129"/>
  <c r="AA191" i="129"/>
  <c r="C154" i="129"/>
  <c r="N153" i="129"/>
  <c r="C95" i="129"/>
  <c r="N94" i="129"/>
  <c r="B145" i="129"/>
  <c r="AA179" i="129"/>
  <c r="B180" i="129"/>
  <c r="W179" i="129"/>
  <c r="B71" i="128"/>
  <c r="C33" i="128"/>
  <c r="J35" i="128" s="1"/>
  <c r="BC52" i="128"/>
  <c r="F33" i="128" s="1"/>
  <c r="F35" i="128"/>
  <c r="C131" i="128"/>
  <c r="N130" i="128"/>
  <c r="B144" i="128"/>
  <c r="N114" i="128"/>
  <c r="C115" i="128"/>
  <c r="C177" i="128"/>
  <c r="N176" i="128"/>
  <c r="C178" i="128"/>
  <c r="B97" i="128"/>
  <c r="N199" i="128"/>
  <c r="N417" i="128" s="1"/>
  <c r="C200" i="128"/>
  <c r="B159" i="128"/>
  <c r="B132" i="128"/>
  <c r="B133" i="128"/>
  <c r="B134" i="128" s="1"/>
  <c r="C143" i="128"/>
  <c r="N142" i="128"/>
  <c r="N93" i="128"/>
  <c r="N69" i="128"/>
  <c r="C70" i="128"/>
  <c r="C95" i="128"/>
  <c r="N94" i="128"/>
  <c r="N153" i="128"/>
  <c r="C154" i="128"/>
  <c r="C188" i="128"/>
  <c r="N188" i="128" s="1"/>
  <c r="C189" i="128"/>
  <c r="N187" i="128"/>
  <c r="B115" i="128"/>
  <c r="J179" i="128"/>
  <c r="F179" i="128"/>
  <c r="B180" i="128"/>
  <c r="Z179" i="128"/>
  <c r="X179" i="128"/>
  <c r="W179" i="128"/>
  <c r="N179" i="128"/>
  <c r="M179" i="128"/>
  <c r="AA179" i="128"/>
  <c r="B189" i="128"/>
  <c r="B188" i="128"/>
  <c r="B143" i="127"/>
  <c r="B70" i="127"/>
  <c r="B115" i="127"/>
  <c r="N112" i="127"/>
  <c r="C113" i="127"/>
  <c r="C69" i="127"/>
  <c r="N68" i="127"/>
  <c r="C131" i="127"/>
  <c r="N130" i="127"/>
  <c r="N187" i="127"/>
  <c r="C189" i="127"/>
  <c r="C188" i="127"/>
  <c r="N188" i="127" s="1"/>
  <c r="C143" i="127"/>
  <c r="N142" i="127"/>
  <c r="C95" i="127"/>
  <c r="N94" i="127"/>
  <c r="B133" i="127"/>
  <c r="B134" i="127" s="1"/>
  <c r="B132" i="127"/>
  <c r="N93" i="127"/>
  <c r="BC52" i="127"/>
  <c r="F33" i="127" s="1"/>
  <c r="C33" i="127"/>
  <c r="J35" i="127" s="1"/>
  <c r="F35" i="127"/>
  <c r="N177" i="127"/>
  <c r="Z179" i="127"/>
  <c r="M179" i="127"/>
  <c r="AA179" i="127"/>
  <c r="X179" i="127"/>
  <c r="W179" i="127"/>
  <c r="J179" i="127"/>
  <c r="F179" i="127"/>
  <c r="N179" i="127"/>
  <c r="B180" i="127"/>
  <c r="B159" i="127"/>
  <c r="N153" i="127"/>
  <c r="C154" i="127"/>
  <c r="N199" i="127"/>
  <c r="N417" i="127" s="1"/>
  <c r="C200" i="127"/>
  <c r="N178" i="127"/>
  <c r="C179" i="127"/>
  <c r="C180" i="127" s="1"/>
  <c r="B190" i="127"/>
  <c r="B191" i="127" s="1"/>
  <c r="B96" i="127"/>
  <c r="J134" i="129" l="1"/>
  <c r="AA134" i="129"/>
  <c r="F134" i="129"/>
  <c r="N134" i="129"/>
  <c r="M134" i="129"/>
  <c r="B135" i="129"/>
  <c r="Z134" i="129"/>
  <c r="X134" i="129"/>
  <c r="W134" i="129"/>
  <c r="N154" i="129"/>
  <c r="C159" i="129"/>
  <c r="B160" i="129"/>
  <c r="N177" i="129"/>
  <c r="B146" i="129"/>
  <c r="N131" i="129"/>
  <c r="C133" i="129"/>
  <c r="C132" i="129"/>
  <c r="N132" i="129" s="1"/>
  <c r="N143" i="129"/>
  <c r="C144" i="129"/>
  <c r="N178" i="129"/>
  <c r="N179" i="129" s="1"/>
  <c r="C179" i="129"/>
  <c r="C180" i="129" s="1"/>
  <c r="N187" i="129"/>
  <c r="C188" i="129"/>
  <c r="N188" i="129" s="1"/>
  <c r="C189" i="129"/>
  <c r="N114" i="129"/>
  <c r="C115" i="129"/>
  <c r="BC52" i="129"/>
  <c r="F33" i="129" s="1"/>
  <c r="C33" i="129"/>
  <c r="J35" i="129" s="1"/>
  <c r="F35" i="129"/>
  <c r="C96" i="129"/>
  <c r="N95" i="129"/>
  <c r="N70" i="129"/>
  <c r="C71" i="129"/>
  <c r="B72" i="129"/>
  <c r="C201" i="129"/>
  <c r="N200" i="129"/>
  <c r="B97" i="129"/>
  <c r="B115" i="129"/>
  <c r="C159" i="128"/>
  <c r="N154" i="128"/>
  <c r="F134" i="128"/>
  <c r="B135" i="128"/>
  <c r="AA134" i="128"/>
  <c r="W134" i="128"/>
  <c r="C116" i="128"/>
  <c r="N115" i="128"/>
  <c r="C201" i="128"/>
  <c r="N200" i="128"/>
  <c r="P44" i="128"/>
  <c r="P55" i="128"/>
  <c r="AG55" i="128" s="1"/>
  <c r="P45" i="128"/>
  <c r="AG45" i="128" s="1"/>
  <c r="P51" i="128"/>
  <c r="AG51" i="128" s="1"/>
  <c r="P49" i="128"/>
  <c r="AG49" i="128" s="1"/>
  <c r="P54" i="128"/>
  <c r="AG54" i="128" s="1"/>
  <c r="P53" i="128"/>
  <c r="AG53" i="128" s="1"/>
  <c r="G7" i="128"/>
  <c r="P52" i="128"/>
  <c r="AG52" i="128" s="1"/>
  <c r="P50" i="128"/>
  <c r="AG50" i="128" s="1"/>
  <c r="J36" i="128"/>
  <c r="F201" i="128"/>
  <c r="B190" i="128"/>
  <c r="B191" i="128" s="1"/>
  <c r="B98" i="128"/>
  <c r="B116" i="128"/>
  <c r="B72" i="128"/>
  <c r="C190" i="128"/>
  <c r="N189" i="128"/>
  <c r="B160" i="128"/>
  <c r="C179" i="128"/>
  <c r="C180" i="128" s="1"/>
  <c r="N178" i="128"/>
  <c r="B145" i="128"/>
  <c r="N95" i="128"/>
  <c r="C96" i="128"/>
  <c r="C144" i="128"/>
  <c r="N143" i="128"/>
  <c r="C71" i="128"/>
  <c r="N70" i="128"/>
  <c r="N177" i="128"/>
  <c r="C132" i="128"/>
  <c r="N132" i="128" s="1"/>
  <c r="C133" i="128"/>
  <c r="N131" i="128"/>
  <c r="F84" i="127"/>
  <c r="P50" i="127"/>
  <c r="AG50" i="127" s="1"/>
  <c r="P53" i="127"/>
  <c r="AG53" i="127" s="1"/>
  <c r="P54" i="127"/>
  <c r="AG54" i="127" s="1"/>
  <c r="P49" i="127"/>
  <c r="AG49" i="127" s="1"/>
  <c r="P45" i="127"/>
  <c r="AG45" i="127" s="1"/>
  <c r="G7" i="127"/>
  <c r="P51" i="127"/>
  <c r="AG51" i="127" s="1"/>
  <c r="J36" i="127"/>
  <c r="P52" i="127"/>
  <c r="AG52" i="127" s="1"/>
  <c r="P55" i="127"/>
  <c r="AG55" i="127" s="1"/>
  <c r="P44" i="127"/>
  <c r="F201" i="127"/>
  <c r="C96" i="127"/>
  <c r="N95" i="127"/>
  <c r="N200" i="127"/>
  <c r="C201" i="127"/>
  <c r="C133" i="127"/>
  <c r="C132" i="127"/>
  <c r="N132" i="127" s="1"/>
  <c r="N131" i="127"/>
  <c r="AA191" i="127"/>
  <c r="W191" i="127"/>
  <c r="F191" i="127"/>
  <c r="B116" i="127"/>
  <c r="B71" i="127"/>
  <c r="C159" i="127"/>
  <c r="N154" i="127"/>
  <c r="N69" i="127"/>
  <c r="C70" i="127"/>
  <c r="B160" i="127"/>
  <c r="X134" i="127"/>
  <c r="W134" i="127"/>
  <c r="J134" i="127"/>
  <c r="N134" i="127"/>
  <c r="B135" i="127"/>
  <c r="AA134" i="127"/>
  <c r="Z134" i="127"/>
  <c r="M134" i="127"/>
  <c r="F134" i="127"/>
  <c r="B144" i="127"/>
  <c r="N143" i="127"/>
  <c r="C144" i="127"/>
  <c r="B97" i="127"/>
  <c r="C190" i="127"/>
  <c r="N189" i="127"/>
  <c r="C114" i="127"/>
  <c r="N113" i="127"/>
  <c r="E88" i="99"/>
  <c r="F88" i="99" s="1"/>
  <c r="E87" i="99"/>
  <c r="F87" i="99" s="1"/>
  <c r="E86" i="99"/>
  <c r="F86" i="99" s="1"/>
  <c r="E85" i="99"/>
  <c r="F85" i="99" s="1"/>
  <c r="E84" i="99"/>
  <c r="F84" i="99" s="1"/>
  <c r="E83" i="99"/>
  <c r="F83" i="99" s="1"/>
  <c r="E82" i="99"/>
  <c r="F82" i="99" s="1"/>
  <c r="E81" i="99"/>
  <c r="F81" i="99" s="1"/>
  <c r="E80" i="99"/>
  <c r="F80" i="99" s="1"/>
  <c r="E79" i="99"/>
  <c r="F79" i="99" s="1"/>
  <c r="E78" i="99"/>
  <c r="F78" i="99" s="1"/>
  <c r="E77" i="99"/>
  <c r="F77" i="99" s="1"/>
  <c r="E76" i="99"/>
  <c r="F76" i="99" s="1"/>
  <c r="E75" i="99"/>
  <c r="F75" i="99" s="1"/>
  <c r="E74" i="99"/>
  <c r="F74" i="99" s="1"/>
  <c r="E73" i="99"/>
  <c r="F73" i="99" s="1"/>
  <c r="E72" i="99"/>
  <c r="F72" i="99" s="1"/>
  <c r="E71" i="99"/>
  <c r="F71" i="99" s="1"/>
  <c r="E70" i="99"/>
  <c r="F70" i="99" s="1"/>
  <c r="E69" i="99"/>
  <c r="F69" i="99" s="1"/>
  <c r="E68" i="99"/>
  <c r="F68" i="99" s="1"/>
  <c r="E67" i="99"/>
  <c r="F67" i="99" s="1"/>
  <c r="E66" i="99"/>
  <c r="F66" i="99" s="1"/>
  <c r="E65" i="99"/>
  <c r="F65" i="99" s="1"/>
  <c r="E64" i="99"/>
  <c r="F64" i="99" s="1"/>
  <c r="E63" i="99"/>
  <c r="F63" i="99" s="1"/>
  <c r="E62" i="99"/>
  <c r="F62" i="99" s="1"/>
  <c r="E61" i="99"/>
  <c r="F61" i="99" s="1"/>
  <c r="E60" i="99"/>
  <c r="F60" i="99" s="1"/>
  <c r="E59" i="99"/>
  <c r="H27" i="99"/>
  <c r="G27" i="99" s="1"/>
  <c r="F22" i="99"/>
  <c r="H21" i="99"/>
  <c r="H22" i="99" s="1"/>
  <c r="F20" i="99"/>
  <c r="H20" i="99" s="1"/>
  <c r="G20" i="99" s="1"/>
  <c r="H15" i="99"/>
  <c r="F15" i="99" s="1"/>
  <c r="L15" i="99" s="1"/>
  <c r="G14" i="99"/>
  <c r="H14" i="99" s="1"/>
  <c r="F14" i="99" s="1"/>
  <c r="H12" i="99"/>
  <c r="F12" i="99" s="1"/>
  <c r="G12" i="99"/>
  <c r="F179" i="129" l="1"/>
  <c r="B73" i="129"/>
  <c r="C145" i="129"/>
  <c r="N144" i="129"/>
  <c r="N71" i="129"/>
  <c r="C72" i="129"/>
  <c r="C116" i="129"/>
  <c r="N115" i="129"/>
  <c r="C134" i="129"/>
  <c r="C135" i="129" s="1"/>
  <c r="N133" i="129"/>
  <c r="B116" i="129"/>
  <c r="C97" i="129"/>
  <c r="N96" i="129"/>
  <c r="C190" i="129"/>
  <c r="N189" i="129"/>
  <c r="B161" i="129"/>
  <c r="B147" i="129"/>
  <c r="C160" i="129"/>
  <c r="N159" i="129"/>
  <c r="P50" i="129"/>
  <c r="AG50" i="129" s="1"/>
  <c r="J36" i="129"/>
  <c r="P55" i="129"/>
  <c r="AG55" i="129" s="1"/>
  <c r="P52" i="129"/>
  <c r="AG52" i="129" s="1"/>
  <c r="P51" i="129"/>
  <c r="AG51" i="129" s="1"/>
  <c r="P45" i="129"/>
  <c r="AG45" i="129" s="1"/>
  <c r="P54" i="129"/>
  <c r="AG54" i="129" s="1"/>
  <c r="P49" i="129"/>
  <c r="AG49" i="129" s="1"/>
  <c r="P44" i="129"/>
  <c r="P53" i="129"/>
  <c r="AG53" i="129" s="1"/>
  <c r="G7" i="129"/>
  <c r="F201" i="129"/>
  <c r="F191" i="129"/>
  <c r="B98" i="129"/>
  <c r="N418" i="129"/>
  <c r="N201" i="129"/>
  <c r="N419" i="129" s="1"/>
  <c r="N418" i="128"/>
  <c r="N201" i="128"/>
  <c r="N419" i="128" s="1"/>
  <c r="C134" i="128"/>
  <c r="C135" i="128" s="1"/>
  <c r="N133" i="128"/>
  <c r="N134" i="128" s="1"/>
  <c r="N144" i="128"/>
  <c r="C145" i="128"/>
  <c r="B161" i="128"/>
  <c r="C97" i="128"/>
  <c r="N96" i="128"/>
  <c r="B117" i="128"/>
  <c r="N190" i="128"/>
  <c r="N191" i="128" s="1"/>
  <c r="C191" i="128"/>
  <c r="W191" i="128"/>
  <c r="F191" i="128"/>
  <c r="AA191" i="128"/>
  <c r="B146" i="128"/>
  <c r="C72" i="128"/>
  <c r="N71" i="128"/>
  <c r="B99" i="128"/>
  <c r="B100" i="128" s="1"/>
  <c r="B73" i="128"/>
  <c r="AG44" i="128"/>
  <c r="C117" i="128"/>
  <c r="N116" i="128"/>
  <c r="C160" i="128"/>
  <c r="N159" i="128"/>
  <c r="B98" i="127"/>
  <c r="B72" i="127"/>
  <c r="N418" i="127"/>
  <c r="N201" i="127"/>
  <c r="N419" i="127" s="1"/>
  <c r="N144" i="127"/>
  <c r="C145" i="127"/>
  <c r="N70" i="127"/>
  <c r="C71" i="127"/>
  <c r="C97" i="127"/>
  <c r="N96" i="127"/>
  <c r="B117" i="127"/>
  <c r="C115" i="127"/>
  <c r="N114" i="127"/>
  <c r="AG44" i="127"/>
  <c r="C191" i="127"/>
  <c r="N190" i="127"/>
  <c r="N191" i="127" s="1"/>
  <c r="B145" i="127"/>
  <c r="B161" i="127"/>
  <c r="C160" i="127"/>
  <c r="N159" i="127"/>
  <c r="C134" i="127"/>
  <c r="C135" i="127" s="1"/>
  <c r="N133" i="127"/>
  <c r="G21" i="99"/>
  <c r="F27" i="99"/>
  <c r="P15" i="99" s="1"/>
  <c r="G22" i="99"/>
  <c r="H18" i="99"/>
  <c r="B148" i="129" l="1"/>
  <c r="B149" i="129" s="1"/>
  <c r="C73" i="129"/>
  <c r="N72" i="129"/>
  <c r="B99" i="129"/>
  <c r="B100" i="129" s="1"/>
  <c r="C98" i="129"/>
  <c r="N97" i="129"/>
  <c r="B117" i="129"/>
  <c r="B162" i="129"/>
  <c r="B163" i="129"/>
  <c r="C146" i="129"/>
  <c r="N145" i="129"/>
  <c r="AG44" i="129"/>
  <c r="N190" i="129"/>
  <c r="N191" i="129" s="1"/>
  <c r="C191" i="129"/>
  <c r="C117" i="129"/>
  <c r="N116" i="129"/>
  <c r="C161" i="129"/>
  <c r="N160" i="129"/>
  <c r="B74" i="129"/>
  <c r="C98" i="128"/>
  <c r="N97" i="128"/>
  <c r="C118" i="128"/>
  <c r="N117" i="128"/>
  <c r="B163" i="128"/>
  <c r="B162" i="128"/>
  <c r="B147" i="128"/>
  <c r="C146" i="128"/>
  <c r="N145" i="128"/>
  <c r="B101" i="128"/>
  <c r="B102" i="128" s="1"/>
  <c r="B118" i="128"/>
  <c r="C161" i="128"/>
  <c r="N160" i="128"/>
  <c r="B74" i="128"/>
  <c r="N72" i="128"/>
  <c r="C73" i="128"/>
  <c r="B118" i="127"/>
  <c r="N145" i="127"/>
  <c r="C146" i="127"/>
  <c r="C161" i="127"/>
  <c r="N160" i="127"/>
  <c r="B73" i="127"/>
  <c r="B162" i="127"/>
  <c r="B163" i="127"/>
  <c r="N115" i="127"/>
  <c r="C116" i="127"/>
  <c r="C98" i="127"/>
  <c r="N97" i="127"/>
  <c r="B146" i="127"/>
  <c r="C72" i="127"/>
  <c r="N71" i="127"/>
  <c r="B99" i="127"/>
  <c r="B100" i="127" s="1"/>
  <c r="G18" i="99"/>
  <c r="G25" i="99" s="1"/>
  <c r="F18" i="99"/>
  <c r="H25" i="99"/>
  <c r="B101" i="129" l="1"/>
  <c r="B102" i="129" s="1"/>
  <c r="B118" i="129"/>
  <c r="N161" i="129"/>
  <c r="C162" i="129"/>
  <c r="N162" i="129" s="1"/>
  <c r="C163" i="129"/>
  <c r="C74" i="129"/>
  <c r="N73" i="129"/>
  <c r="C147" i="129"/>
  <c r="N146" i="129"/>
  <c r="C118" i="129"/>
  <c r="N117" i="129"/>
  <c r="B150" i="129"/>
  <c r="AA149" i="129"/>
  <c r="W149" i="129"/>
  <c r="F149" i="129"/>
  <c r="B164" i="129"/>
  <c r="C99" i="129"/>
  <c r="N98" i="129"/>
  <c r="B75" i="129"/>
  <c r="B76" i="129" s="1"/>
  <c r="B75" i="128"/>
  <c r="B76" i="128" s="1"/>
  <c r="N146" i="128"/>
  <c r="C147" i="128"/>
  <c r="N161" i="128"/>
  <c r="C163" i="128"/>
  <c r="C162" i="128"/>
  <c r="N162" i="128" s="1"/>
  <c r="C74" i="128"/>
  <c r="N73" i="128"/>
  <c r="C119" i="128"/>
  <c r="N118" i="128"/>
  <c r="N98" i="128"/>
  <c r="C99" i="128"/>
  <c r="B119" i="128"/>
  <c r="B103" i="128"/>
  <c r="B148" i="128"/>
  <c r="B149" i="128" s="1"/>
  <c r="B164" i="128"/>
  <c r="C117" i="127"/>
  <c r="N116" i="127"/>
  <c r="C162" i="127"/>
  <c r="N162" i="127" s="1"/>
  <c r="N161" i="127"/>
  <c r="C163" i="127"/>
  <c r="B101" i="127"/>
  <c r="B102" i="127" s="1"/>
  <c r="B147" i="127"/>
  <c r="B74" i="127"/>
  <c r="N146" i="127"/>
  <c r="C147" i="127"/>
  <c r="C73" i="127"/>
  <c r="N72" i="127"/>
  <c r="N98" i="127"/>
  <c r="C99" i="127"/>
  <c r="B119" i="127"/>
  <c r="B164" i="127"/>
  <c r="F25" i="99"/>
  <c r="M15" i="99"/>
  <c r="N15" i="99" s="1"/>
  <c r="C100" i="129" l="1"/>
  <c r="N99" i="129"/>
  <c r="B165" i="129"/>
  <c r="B103" i="129"/>
  <c r="C148" i="129"/>
  <c r="N147" i="129"/>
  <c r="N163" i="129"/>
  <c r="C164" i="129"/>
  <c r="C75" i="129"/>
  <c r="N74" i="129"/>
  <c r="B119" i="129"/>
  <c r="C119" i="129"/>
  <c r="N118" i="129"/>
  <c r="W76" i="129"/>
  <c r="X76" i="129"/>
  <c r="F76" i="129"/>
  <c r="B77" i="129"/>
  <c r="AA76" i="129"/>
  <c r="Z76" i="129"/>
  <c r="N76" i="129"/>
  <c r="M76" i="129"/>
  <c r="J76" i="129"/>
  <c r="C148" i="128"/>
  <c r="N147" i="128"/>
  <c r="C120" i="128"/>
  <c r="N119" i="128"/>
  <c r="B104" i="128"/>
  <c r="B105" i="128" s="1"/>
  <c r="C100" i="128"/>
  <c r="N99" i="128"/>
  <c r="N74" i="128"/>
  <c r="C75" i="128"/>
  <c r="B120" i="128"/>
  <c r="B165" i="128"/>
  <c r="N163" i="128"/>
  <c r="C164" i="128"/>
  <c r="M76" i="128"/>
  <c r="J76" i="128"/>
  <c r="F76" i="128"/>
  <c r="N76" i="128"/>
  <c r="W76" i="128"/>
  <c r="B77" i="128"/>
  <c r="AA76" i="128"/>
  <c r="Z76" i="128"/>
  <c r="X76" i="128"/>
  <c r="M149" i="128"/>
  <c r="J149" i="128" s="1"/>
  <c r="F149" i="128"/>
  <c r="B150" i="128"/>
  <c r="AA149" i="128"/>
  <c r="W149" i="128"/>
  <c r="N73" i="127"/>
  <c r="C74" i="127"/>
  <c r="B75" i="127"/>
  <c r="B76" i="127" s="1"/>
  <c r="C164" i="127"/>
  <c r="N163" i="127"/>
  <c r="B165" i="127"/>
  <c r="N147" i="127"/>
  <c r="C148" i="127"/>
  <c r="B103" i="127"/>
  <c r="B120" i="127"/>
  <c r="C100" i="127"/>
  <c r="N99" i="127"/>
  <c r="B148" i="127"/>
  <c r="B149" i="127" s="1"/>
  <c r="N117" i="127"/>
  <c r="C118" i="127"/>
  <c r="C120" i="129" l="1"/>
  <c r="N119" i="129"/>
  <c r="N164" i="129"/>
  <c r="C165" i="129"/>
  <c r="B166" i="129"/>
  <c r="B167" i="129" s="1"/>
  <c r="C149" i="129"/>
  <c r="C150" i="129" s="1"/>
  <c r="N148" i="129"/>
  <c r="N149" i="129" s="1"/>
  <c r="C101" i="129"/>
  <c r="N100" i="129"/>
  <c r="B120" i="129"/>
  <c r="B104" i="129"/>
  <c r="B105" i="129" s="1"/>
  <c r="C76" i="129"/>
  <c r="C77" i="129" s="1"/>
  <c r="N75" i="129"/>
  <c r="N105" i="128"/>
  <c r="B106" i="128"/>
  <c r="AA105" i="128"/>
  <c r="Z105" i="128"/>
  <c r="F105" i="128"/>
  <c r="W105" i="128"/>
  <c r="M105" i="128"/>
  <c r="J105" i="128"/>
  <c r="X105" i="128"/>
  <c r="C76" i="128"/>
  <c r="C77" i="128" s="1"/>
  <c r="N75" i="128"/>
  <c r="C165" i="128"/>
  <c r="N164" i="128"/>
  <c r="N120" i="128"/>
  <c r="C121" i="128"/>
  <c r="N100" i="128"/>
  <c r="C101" i="128"/>
  <c r="C149" i="128"/>
  <c r="C150" i="128" s="1"/>
  <c r="N148" i="128"/>
  <c r="N149" i="128" s="1"/>
  <c r="B121" i="128"/>
  <c r="B122" i="128" s="1"/>
  <c r="B166" i="128"/>
  <c r="B167" i="128" s="1"/>
  <c r="N100" i="127"/>
  <c r="C101" i="127"/>
  <c r="N148" i="127"/>
  <c r="C149" i="127"/>
  <c r="C150" i="127" s="1"/>
  <c r="AA76" i="127"/>
  <c r="W76" i="127"/>
  <c r="N76" i="127"/>
  <c r="F76" i="127"/>
  <c r="B77" i="127"/>
  <c r="Z76" i="127"/>
  <c r="X76" i="127"/>
  <c r="M76" i="127"/>
  <c r="J76" i="127"/>
  <c r="B121" i="127"/>
  <c r="B122" i="127" s="1"/>
  <c r="Z189" i="127"/>
  <c r="B166" i="127"/>
  <c r="B167" i="127" s="1"/>
  <c r="B150" i="127"/>
  <c r="AA149" i="127"/>
  <c r="W149" i="127"/>
  <c r="F149" i="127"/>
  <c r="N149" i="127"/>
  <c r="M149" i="127"/>
  <c r="J149" i="127" s="1"/>
  <c r="C75" i="127"/>
  <c r="N74" i="127"/>
  <c r="C119" i="127"/>
  <c r="N118" i="127"/>
  <c r="B104" i="127"/>
  <c r="B105" i="127" s="1"/>
  <c r="N164" i="127"/>
  <c r="C165" i="127"/>
  <c r="AA167" i="129" l="1"/>
  <c r="Z167" i="129"/>
  <c r="J167" i="129"/>
  <c r="B168" i="129"/>
  <c r="X167" i="129"/>
  <c r="W167" i="129"/>
  <c r="N167" i="129"/>
  <c r="M167" i="129"/>
  <c r="F167" i="129"/>
  <c r="B121" i="129"/>
  <c r="B122" i="129" s="1"/>
  <c r="N165" i="129"/>
  <c r="C166" i="129"/>
  <c r="C102" i="129"/>
  <c r="N101" i="129"/>
  <c r="N120" i="129"/>
  <c r="C121" i="129"/>
  <c r="X105" i="129"/>
  <c r="F105" i="129"/>
  <c r="Z105" i="129"/>
  <c r="B106" i="129"/>
  <c r="AA105" i="129"/>
  <c r="W105" i="129"/>
  <c r="N105" i="129"/>
  <c r="M105" i="129"/>
  <c r="J105" i="129"/>
  <c r="N122" i="128"/>
  <c r="M122" i="128"/>
  <c r="J122" i="128"/>
  <c r="X122" i="128"/>
  <c r="W122" i="128"/>
  <c r="F122" i="128"/>
  <c r="B123" i="128"/>
  <c r="AA122" i="128"/>
  <c r="Z122" i="128"/>
  <c r="C166" i="128"/>
  <c r="N165" i="128"/>
  <c r="C102" i="128"/>
  <c r="N101" i="128"/>
  <c r="C122" i="128"/>
  <c r="C123" i="128" s="1"/>
  <c r="N121" i="128"/>
  <c r="AA167" i="128"/>
  <c r="Z167" i="128"/>
  <c r="X167" i="128"/>
  <c r="M167" i="128"/>
  <c r="B168" i="128"/>
  <c r="W167" i="128"/>
  <c r="N167" i="128"/>
  <c r="J167" i="128"/>
  <c r="F167" i="128"/>
  <c r="B106" i="127"/>
  <c r="X105" i="127"/>
  <c r="J105" i="127"/>
  <c r="W105" i="127"/>
  <c r="N105" i="127"/>
  <c r="AA105" i="127"/>
  <c r="Z105" i="127"/>
  <c r="M105" i="127"/>
  <c r="F105" i="127"/>
  <c r="N165" i="127"/>
  <c r="C166" i="127"/>
  <c r="N119" i="127"/>
  <c r="C120" i="127"/>
  <c r="B123" i="127"/>
  <c r="X122" i="127"/>
  <c r="J122" i="127"/>
  <c r="W122" i="127"/>
  <c r="N122" i="127"/>
  <c r="M122" i="127"/>
  <c r="AA122" i="127"/>
  <c r="Z122" i="127"/>
  <c r="F122" i="127"/>
  <c r="C76" i="127"/>
  <c r="C77" i="127" s="1"/>
  <c r="N75" i="127"/>
  <c r="N101" i="127"/>
  <c r="C102" i="127"/>
  <c r="Z167" i="127"/>
  <c r="N167" i="127"/>
  <c r="X167" i="127"/>
  <c r="J167" i="127"/>
  <c r="AA167" i="127"/>
  <c r="W167" i="127"/>
  <c r="M167" i="127"/>
  <c r="B168" i="127"/>
  <c r="F167" i="127"/>
  <c r="N166" i="129" l="1"/>
  <c r="C167" i="129"/>
  <c r="C168" i="129" s="1"/>
  <c r="N121" i="129"/>
  <c r="C122" i="129"/>
  <c r="C123" i="129" s="1"/>
  <c r="N102" i="129"/>
  <c r="C103" i="129"/>
  <c r="X122" i="129"/>
  <c r="Z122" i="129"/>
  <c r="F122" i="129"/>
  <c r="AA122" i="129"/>
  <c r="B123" i="129"/>
  <c r="W122" i="129"/>
  <c r="N122" i="129"/>
  <c r="M122" i="129"/>
  <c r="J122" i="129"/>
  <c r="N102" i="128"/>
  <c r="C103" i="128"/>
  <c r="N166" i="128"/>
  <c r="C167" i="128"/>
  <c r="C168" i="128" s="1"/>
  <c r="C103" i="127"/>
  <c r="N102" i="127"/>
  <c r="N120" i="127"/>
  <c r="C121" i="127"/>
  <c r="N166" i="127"/>
  <c r="C167" i="127"/>
  <c r="C168" i="127" s="1"/>
  <c r="N103" i="129" l="1"/>
  <c r="C104" i="129"/>
  <c r="N103" i="128"/>
  <c r="C104" i="128"/>
  <c r="C122" i="127"/>
  <c r="C123" i="127" s="1"/>
  <c r="N121" i="127"/>
  <c r="C104" i="127"/>
  <c r="N103" i="127"/>
  <c r="N104" i="129" l="1"/>
  <c r="C105" i="129"/>
  <c r="C106" i="129" s="1"/>
  <c r="N104" i="128"/>
  <c r="C105" i="128"/>
  <c r="C106" i="128" s="1"/>
  <c r="N104" i="127"/>
  <c r="C105" i="127"/>
  <c r="C106" i="127" s="1"/>
  <c r="R19" i="80" l="1"/>
  <c r="P19" i="80"/>
  <c r="AD19" i="80"/>
  <c r="AB19" i="80"/>
  <c r="AH19" i="80"/>
  <c r="AF19" i="80"/>
  <c r="AL25" i="80"/>
  <c r="AL24" i="80"/>
  <c r="AL23" i="80"/>
  <c r="AJ19" i="80"/>
  <c r="Z19" i="80"/>
  <c r="AL18" i="80"/>
  <c r="V19" i="80"/>
  <c r="T19" i="80"/>
  <c r="N19" i="80"/>
  <c r="J19" i="80"/>
  <c r="H19" i="80"/>
  <c r="X25" i="80"/>
  <c r="X24" i="80"/>
  <c r="X23" i="80"/>
  <c r="X18" i="80"/>
  <c r="L18" i="80"/>
  <c r="L25" i="80"/>
  <c r="L24" i="80"/>
  <c r="AL19" i="80" l="1"/>
  <c r="AL20" i="80" s="1"/>
  <c r="X19" i="80"/>
  <c r="X20" i="80" s="1"/>
  <c r="L23" i="80"/>
  <c r="L19" i="80" s="1"/>
  <c r="AE272" i="52" l="1"/>
  <c r="T220" i="52"/>
  <c r="S220" i="52"/>
  <c r="Q220" i="52"/>
  <c r="P220" i="52"/>
  <c r="T219" i="52"/>
  <c r="S219" i="52"/>
  <c r="Q219" i="52"/>
  <c r="P219" i="52"/>
  <c r="T218" i="52"/>
  <c r="S218" i="52"/>
  <c r="Q218" i="52"/>
  <c r="P218" i="52"/>
  <c r="T217" i="52"/>
  <c r="S217" i="52"/>
  <c r="Q217" i="52"/>
  <c r="P217" i="52"/>
  <c r="T216" i="52"/>
  <c r="S216" i="52"/>
  <c r="Q216" i="52"/>
  <c r="P216" i="52"/>
  <c r="T215" i="52"/>
  <c r="S215" i="52"/>
  <c r="Q215" i="52"/>
  <c r="P215" i="52"/>
  <c r="T214" i="52"/>
  <c r="S214" i="52"/>
  <c r="Q214" i="52"/>
  <c r="P214" i="52"/>
  <c r="T213" i="52"/>
  <c r="S213" i="52"/>
  <c r="Q213" i="52"/>
  <c r="P213" i="52"/>
  <c r="T212" i="52"/>
  <c r="S212" i="52"/>
  <c r="Q212" i="52"/>
  <c r="P212" i="52"/>
  <c r="T211" i="52"/>
  <c r="S211" i="52"/>
  <c r="Q211" i="52"/>
  <c r="P211" i="52"/>
  <c r="T210" i="52"/>
  <c r="S210" i="52"/>
  <c r="Q210" i="52"/>
  <c r="P210" i="52"/>
  <c r="T209" i="52"/>
  <c r="S209" i="52"/>
  <c r="Q209" i="52"/>
  <c r="P209" i="52"/>
  <c r="V204" i="52"/>
  <c r="T204" i="52"/>
  <c r="S204" i="52"/>
  <c r="Q204" i="52"/>
  <c r="P204" i="52"/>
  <c r="AE56" i="7"/>
  <c r="N12" i="7"/>
  <c r="N11" i="7"/>
  <c r="N8" i="7"/>
  <c r="M273" i="52"/>
  <c r="K273" i="52"/>
  <c r="F16" i="52"/>
  <c r="AE269" i="52"/>
  <c r="AE267" i="52"/>
  <c r="AE266" i="52"/>
  <c r="AE265" i="52"/>
  <c r="AE264" i="52"/>
  <c r="AE263" i="52"/>
  <c r="AE262" i="52"/>
  <c r="AE261" i="52"/>
  <c r="AE260" i="52"/>
  <c r="AE259" i="52"/>
  <c r="AE258" i="52"/>
  <c r="AE257" i="52"/>
  <c r="AE256" i="52"/>
  <c r="AE56" i="52"/>
  <c r="AE55" i="52"/>
  <c r="AE54" i="52"/>
  <c r="AE53" i="52"/>
  <c r="AE52" i="52"/>
  <c r="AE51" i="52"/>
  <c r="AE50" i="52"/>
  <c r="AE49" i="52"/>
  <c r="AE48" i="52"/>
  <c r="AE47" i="52"/>
  <c r="AE46" i="52"/>
  <c r="AE45" i="52"/>
  <c r="AE44" i="52"/>
  <c r="AE43" i="52"/>
  <c r="V416" i="52"/>
  <c r="G409" i="52"/>
  <c r="Z135" i="7"/>
  <c r="Y135" i="7"/>
  <c r="Y134" i="7"/>
  <c r="AB132" i="7"/>
  <c r="AA132" i="7"/>
  <c r="Z132" i="7"/>
  <c r="Y132" i="7"/>
  <c r="AB131" i="7"/>
  <c r="AA131" i="7"/>
  <c r="Z131" i="7"/>
  <c r="Y131" i="7"/>
  <c r="X122" i="7"/>
  <c r="O11" i="7" a="1"/>
  <c r="O8" i="7" a="1"/>
  <c r="O12" i="7" a="1"/>
  <c r="L20" i="80" l="1"/>
  <c r="O11" i="7"/>
  <c r="O12" i="7"/>
  <c r="O8" i="7"/>
  <c r="X131" i="7" a="1"/>
  <c r="X131" i="7" s="1"/>
  <c r="X126" i="7" a="1"/>
  <c r="X126" i="7" s="1"/>
  <c r="X132" i="7" a="1"/>
  <c r="X132" i="7" s="1"/>
  <c r="X133" i="7" a="1"/>
  <c r="X133" i="7" s="1"/>
  <c r="X130" i="7" a="1"/>
  <c r="X130" i="7" s="1"/>
  <c r="Y136" i="7"/>
  <c r="AN126" i="7" l="1"/>
  <c r="AO126" i="7"/>
  <c r="AQ126" i="7"/>
  <c r="AP126" i="7"/>
  <c r="AS126" i="7"/>
  <c r="AM126" i="7"/>
  <c r="AR126" i="7"/>
  <c r="F417" i="52" l="1"/>
  <c r="F416" i="52"/>
  <c r="F415" i="52"/>
  <c r="F414" i="52"/>
  <c r="G414" i="52" s="1"/>
  <c r="F413" i="52"/>
  <c r="AE158" i="7"/>
  <c r="G413" i="52" l="1"/>
  <c r="AG90" i="7" l="1"/>
  <c r="AG72" i="7"/>
  <c r="AE58" i="7"/>
  <c r="K23" i="51" l="1"/>
  <c r="I21" i="51"/>
  <c r="H15" i="51" l="1"/>
  <c r="AE33" i="52" l="1"/>
  <c r="I40" i="7" l="1"/>
  <c r="I43" i="7" s="1"/>
  <c r="J40" i="7"/>
  <c r="J43" i="7" s="1"/>
  <c r="I41" i="7"/>
  <c r="J41" i="7"/>
  <c r="J47" i="7"/>
  <c r="J48" i="7"/>
  <c r="J49" i="7"/>
  <c r="J50" i="7"/>
  <c r="J51" i="7"/>
  <c r="J52" i="7"/>
  <c r="I74" i="7"/>
  <c r="I75" i="7"/>
  <c r="I76" i="7"/>
  <c r="I77" i="7"/>
  <c r="I78" i="7"/>
  <c r="I79" i="7"/>
  <c r="I80" i="7"/>
  <c r="I81" i="7"/>
  <c r="I82" i="7"/>
  <c r="I83" i="7"/>
  <c r="I84" i="7"/>
  <c r="I85" i="7"/>
  <c r="I93" i="7"/>
  <c r="I142" i="7" s="1"/>
  <c r="I95" i="7"/>
  <c r="J95" i="7" s="1"/>
  <c r="I96" i="7"/>
  <c r="J96" i="7" s="1"/>
  <c r="I98" i="7"/>
  <c r="J98" i="7" s="1"/>
  <c r="I101" i="7"/>
  <c r="J101" i="7" s="1"/>
  <c r="I103" i="7"/>
  <c r="J103" i="7" s="1"/>
  <c r="L267" i="52"/>
  <c r="I267" i="52"/>
  <c r="L266" i="52"/>
  <c r="I266" i="52"/>
  <c r="L265" i="52"/>
  <c r="I265" i="52"/>
  <c r="L264" i="52"/>
  <c r="I264" i="52"/>
  <c r="L263" i="52"/>
  <c r="I263" i="52"/>
  <c r="L262" i="52"/>
  <c r="I262" i="52"/>
  <c r="L261" i="52"/>
  <c r="I261" i="52"/>
  <c r="L260" i="52"/>
  <c r="I260" i="52"/>
  <c r="L259" i="52"/>
  <c r="I259" i="52"/>
  <c r="L258" i="52"/>
  <c r="I258" i="52"/>
  <c r="L257" i="52"/>
  <c r="I257" i="52"/>
  <c r="L256" i="52"/>
  <c r="I256" i="52"/>
  <c r="AG209" i="52"/>
  <c r="N233" i="52"/>
  <c r="M55" i="52"/>
  <c r="M54" i="52"/>
  <c r="M53" i="52"/>
  <c r="M52" i="52"/>
  <c r="M51" i="52"/>
  <c r="M50" i="52"/>
  <c r="M49" i="52"/>
  <c r="M48" i="52"/>
  <c r="M47" i="52"/>
  <c r="M46" i="52"/>
  <c r="M45" i="52"/>
  <c r="M44" i="52"/>
  <c r="AE222" i="52"/>
  <c r="B136" i="52"/>
  <c r="B137" i="52" s="1"/>
  <c r="B138" i="52" s="1"/>
  <c r="C361" i="52"/>
  <c r="C360" i="52"/>
  <c r="C359" i="52"/>
  <c r="C358" i="52"/>
  <c r="C357" i="52"/>
  <c r="C356" i="52"/>
  <c r="C355" i="52"/>
  <c r="C354" i="52"/>
  <c r="C353" i="52"/>
  <c r="C352" i="52"/>
  <c r="C351" i="52"/>
  <c r="C350" i="52"/>
  <c r="C402" i="52"/>
  <c r="C401" i="52"/>
  <c r="C400" i="52"/>
  <c r="C399" i="52"/>
  <c r="C398" i="52"/>
  <c r="C397" i="52"/>
  <c r="C396" i="52"/>
  <c r="C395" i="52"/>
  <c r="C394" i="52"/>
  <c r="C393" i="52"/>
  <c r="C392" i="52"/>
  <c r="C391" i="52"/>
  <c r="C404" i="52"/>
  <c r="C383" i="52"/>
  <c r="C382" i="52"/>
  <c r="C381" i="52"/>
  <c r="C380" i="52"/>
  <c r="C379" i="52"/>
  <c r="C378" i="52"/>
  <c r="C377" i="52"/>
  <c r="C376" i="52"/>
  <c r="C375" i="52"/>
  <c r="C374" i="52"/>
  <c r="C373" i="52"/>
  <c r="C372" i="52"/>
  <c r="C318" i="52"/>
  <c r="C317" i="52"/>
  <c r="C316" i="52"/>
  <c r="C315" i="52"/>
  <c r="C314" i="52"/>
  <c r="C313" i="52"/>
  <c r="C312" i="52"/>
  <c r="C311" i="52"/>
  <c r="C310" i="52"/>
  <c r="C309" i="52"/>
  <c r="C308" i="52"/>
  <c r="C307" i="52"/>
  <c r="AJ224" i="52"/>
  <c r="AJ222" i="52"/>
  <c r="AG222" i="52"/>
  <c r="J342" i="52"/>
  <c r="M226" i="52"/>
  <c r="K226" i="52"/>
  <c r="J226" i="52"/>
  <c r="H226" i="52"/>
  <c r="G226" i="52"/>
  <c r="G227" i="52" s="1"/>
  <c r="AE208" i="52"/>
  <c r="M204" i="52"/>
  <c r="K204" i="52"/>
  <c r="J204" i="52"/>
  <c r="H204" i="52"/>
  <c r="G204" i="52"/>
  <c r="AY25" i="52"/>
  <c r="AE203" i="52"/>
  <c r="B193" i="52"/>
  <c r="B194" i="52" s="1"/>
  <c r="B195" i="52" s="1"/>
  <c r="B196" i="52" s="1"/>
  <c r="B197" i="52" s="1"/>
  <c r="B198" i="52" s="1"/>
  <c r="B199" i="52" s="1"/>
  <c r="B200" i="52" s="1"/>
  <c r="B201" i="52" s="1"/>
  <c r="B181" i="52"/>
  <c r="B182" i="52" s="1"/>
  <c r="B183" i="52" s="1"/>
  <c r="AW178" i="52"/>
  <c r="AV178" i="52"/>
  <c r="AW177" i="52"/>
  <c r="AV177" i="52"/>
  <c r="AW176" i="52"/>
  <c r="AV176" i="52"/>
  <c r="AW175" i="52"/>
  <c r="AV175" i="52"/>
  <c r="AW174" i="52"/>
  <c r="AV174" i="52"/>
  <c r="AW173" i="52"/>
  <c r="AV173" i="52"/>
  <c r="AV172" i="52"/>
  <c r="AW171" i="52"/>
  <c r="AV171" i="52"/>
  <c r="BH170" i="52"/>
  <c r="BG170" i="52"/>
  <c r="BE170" i="52"/>
  <c r="BD170" i="52"/>
  <c r="BB170" i="52"/>
  <c r="AZ170" i="52"/>
  <c r="AW170" i="52"/>
  <c r="AV170" i="52"/>
  <c r="BG169" i="52"/>
  <c r="BD169" i="52"/>
  <c r="BB169" i="52"/>
  <c r="AZ169" i="52"/>
  <c r="B169" i="52"/>
  <c r="B170" i="52" s="1"/>
  <c r="B171" i="52" s="1"/>
  <c r="AW166" i="52"/>
  <c r="AV166" i="52"/>
  <c r="M166" i="52"/>
  <c r="AW165" i="52"/>
  <c r="AV165" i="52"/>
  <c r="AW164" i="52"/>
  <c r="AV164" i="52"/>
  <c r="AW163" i="52"/>
  <c r="AV163" i="52"/>
  <c r="AW162" i="52"/>
  <c r="AV162" i="52"/>
  <c r="M162" i="52"/>
  <c r="AW161" i="52"/>
  <c r="AV161" i="52"/>
  <c r="AW160" i="52"/>
  <c r="AV160" i="52"/>
  <c r="AW159" i="52"/>
  <c r="AV159" i="52"/>
  <c r="AW158" i="52"/>
  <c r="AV158" i="52"/>
  <c r="AW157" i="52"/>
  <c r="AV157" i="52"/>
  <c r="AW156" i="52"/>
  <c r="AV156" i="52"/>
  <c r="AW155" i="52"/>
  <c r="AV155" i="52"/>
  <c r="AW154" i="52"/>
  <c r="AV154" i="52"/>
  <c r="AW153" i="52"/>
  <c r="AV153" i="52"/>
  <c r="BH152" i="52"/>
  <c r="BG152" i="52"/>
  <c r="BE152" i="52"/>
  <c r="BD152" i="52"/>
  <c r="BB152" i="52"/>
  <c r="AZ152" i="52"/>
  <c r="AW152" i="52"/>
  <c r="AV152" i="52"/>
  <c r="BG151" i="52"/>
  <c r="BD151" i="52"/>
  <c r="BB151" i="52"/>
  <c r="AZ151" i="52"/>
  <c r="B151" i="52"/>
  <c r="B152" i="52" s="1"/>
  <c r="B157" i="52" s="1"/>
  <c r="AW148" i="52"/>
  <c r="AV148" i="52"/>
  <c r="AW147" i="52"/>
  <c r="AV147" i="52"/>
  <c r="AW146" i="52"/>
  <c r="AV146" i="52"/>
  <c r="AW145" i="52"/>
  <c r="AV145" i="52"/>
  <c r="AW144" i="52"/>
  <c r="AV144" i="52"/>
  <c r="AW143" i="52"/>
  <c r="AV143" i="52"/>
  <c r="AW142" i="52"/>
  <c r="AV142" i="52"/>
  <c r="AW141" i="52"/>
  <c r="AV141" i="52"/>
  <c r="AW140" i="52"/>
  <c r="AV140" i="52"/>
  <c r="AW139" i="52"/>
  <c r="AV139" i="52"/>
  <c r="AW138" i="52"/>
  <c r="AV138" i="52"/>
  <c r="BH137" i="52"/>
  <c r="BG137" i="52"/>
  <c r="BE137" i="52"/>
  <c r="BD137" i="52"/>
  <c r="BB137" i="52"/>
  <c r="AZ137" i="52"/>
  <c r="AW137" i="52"/>
  <c r="AV137" i="52"/>
  <c r="BG136" i="52"/>
  <c r="BD136" i="52"/>
  <c r="BB136" i="52"/>
  <c r="AZ136" i="52"/>
  <c r="AW133" i="52"/>
  <c r="AV133" i="52"/>
  <c r="AW132" i="52"/>
  <c r="AV132" i="52"/>
  <c r="AW131" i="52"/>
  <c r="AV131" i="52"/>
  <c r="AW130" i="52"/>
  <c r="AV130" i="52"/>
  <c r="AW129" i="52"/>
  <c r="AV129" i="52"/>
  <c r="AW128" i="52"/>
  <c r="AV128" i="52"/>
  <c r="BH127" i="52"/>
  <c r="BE127" i="52"/>
  <c r="AW127" i="52"/>
  <c r="AV127" i="52"/>
  <c r="AW126" i="52"/>
  <c r="AV126" i="52"/>
  <c r="BH125" i="52"/>
  <c r="BG125" i="52"/>
  <c r="BE125" i="52"/>
  <c r="BD125" i="52"/>
  <c r="BB125" i="52"/>
  <c r="AZ125" i="52"/>
  <c r="AW125" i="52"/>
  <c r="AV125" i="52"/>
  <c r="BG124" i="52"/>
  <c r="BD124" i="52"/>
  <c r="BB124" i="52"/>
  <c r="AZ124" i="52"/>
  <c r="B124" i="52"/>
  <c r="B125" i="52" s="1"/>
  <c r="B126" i="52" s="1"/>
  <c r="AW121" i="52"/>
  <c r="AV121" i="52"/>
  <c r="M121" i="52"/>
  <c r="AW120" i="52"/>
  <c r="AV120" i="52"/>
  <c r="AW119" i="52"/>
  <c r="AV119" i="52"/>
  <c r="AW118" i="52"/>
  <c r="AV118" i="52"/>
  <c r="AW117" i="52"/>
  <c r="AV117" i="52"/>
  <c r="AW116" i="52"/>
  <c r="AV116" i="52"/>
  <c r="AW115" i="52"/>
  <c r="AV115" i="52"/>
  <c r="AW114" i="52"/>
  <c r="AV114" i="52"/>
  <c r="AW113" i="52"/>
  <c r="AV113" i="52"/>
  <c r="AW112" i="52"/>
  <c r="AV112" i="52"/>
  <c r="AW111" i="52"/>
  <c r="AV111" i="52"/>
  <c r="AW110" i="52"/>
  <c r="AV110" i="52"/>
  <c r="AW109" i="52"/>
  <c r="AV109" i="52"/>
  <c r="BH108" i="52"/>
  <c r="BG108" i="52"/>
  <c r="BE108" i="52"/>
  <c r="BD108" i="52"/>
  <c r="BB108" i="52"/>
  <c r="AZ108" i="52"/>
  <c r="AW108" i="52"/>
  <c r="AV108" i="52"/>
  <c r="BG107" i="52"/>
  <c r="BD107" i="52"/>
  <c r="BB107" i="52"/>
  <c r="AZ107" i="52"/>
  <c r="B107" i="52"/>
  <c r="B108" i="52" s="1"/>
  <c r="B109" i="52" s="1"/>
  <c r="AW104" i="52"/>
  <c r="AV104" i="52"/>
  <c r="AW103" i="52"/>
  <c r="AV103" i="52"/>
  <c r="AW102" i="52"/>
  <c r="AV102" i="52"/>
  <c r="AW101" i="52"/>
  <c r="AV101" i="52"/>
  <c r="AW100" i="52"/>
  <c r="AV100" i="52"/>
  <c r="AW99" i="52"/>
  <c r="AV99" i="52"/>
  <c r="M99" i="52"/>
  <c r="M101" i="52" s="1"/>
  <c r="M104" i="52" s="1"/>
  <c r="AW98" i="52"/>
  <c r="AV98" i="52"/>
  <c r="AW97" i="52"/>
  <c r="AV97" i="52"/>
  <c r="AW96" i="52"/>
  <c r="AV96" i="52"/>
  <c r="AW95" i="52"/>
  <c r="AV95" i="52"/>
  <c r="AW94" i="52"/>
  <c r="AV94" i="52"/>
  <c r="AW93" i="52"/>
  <c r="AV93" i="52"/>
  <c r="AW92" i="52"/>
  <c r="AV92" i="52"/>
  <c r="AW91" i="52"/>
  <c r="AV91" i="52"/>
  <c r="AW90" i="52"/>
  <c r="AV90" i="52"/>
  <c r="AW89" i="52"/>
  <c r="AV89" i="52"/>
  <c r="AW88" i="52"/>
  <c r="AV88" i="52"/>
  <c r="BH87" i="52"/>
  <c r="BG87" i="52"/>
  <c r="BE87" i="52"/>
  <c r="BD87" i="52"/>
  <c r="BB87" i="52"/>
  <c r="AZ87" i="52"/>
  <c r="AW87" i="52"/>
  <c r="AV87" i="52"/>
  <c r="BG86" i="52"/>
  <c r="BD86" i="52"/>
  <c r="BB86" i="52"/>
  <c r="AZ86" i="52"/>
  <c r="B86" i="52"/>
  <c r="AW81" i="52"/>
  <c r="AV81" i="52"/>
  <c r="AW80" i="52"/>
  <c r="AV80" i="52"/>
  <c r="BH79" i="52"/>
  <c r="BG79" i="52"/>
  <c r="BE79" i="52"/>
  <c r="BD79" i="52"/>
  <c r="BB79" i="52"/>
  <c r="AZ79" i="52"/>
  <c r="AW79" i="52"/>
  <c r="AV79" i="52"/>
  <c r="BG78" i="52"/>
  <c r="BD78" i="52"/>
  <c r="BB78" i="52"/>
  <c r="AZ78" i="52"/>
  <c r="B78" i="52"/>
  <c r="B79" i="52" s="1"/>
  <c r="B80" i="52" s="1"/>
  <c r="AW75" i="52"/>
  <c r="AV75" i="52"/>
  <c r="M75" i="52"/>
  <c r="AW74" i="52"/>
  <c r="AV74" i="52"/>
  <c r="AW73" i="52"/>
  <c r="AV73" i="52"/>
  <c r="AW72" i="52"/>
  <c r="AV72" i="52"/>
  <c r="AW71" i="52"/>
  <c r="AV71" i="52"/>
  <c r="AW70" i="52"/>
  <c r="AV70" i="52"/>
  <c r="AW69" i="52"/>
  <c r="AV69" i="52"/>
  <c r="AW68" i="52"/>
  <c r="AV68" i="52"/>
  <c r="AW67" i="52"/>
  <c r="AV67" i="52"/>
  <c r="AW66" i="52"/>
  <c r="AV66" i="52"/>
  <c r="AW65" i="52"/>
  <c r="AV65" i="52"/>
  <c r="AW64" i="52"/>
  <c r="AV64" i="52"/>
  <c r="B63" i="52"/>
  <c r="BA272" i="52"/>
  <c r="J59" i="52"/>
  <c r="F59" i="52"/>
  <c r="J58" i="52"/>
  <c r="AV48" i="52"/>
  <c r="AX48" i="52" s="1"/>
  <c r="AY48" i="52" s="1"/>
  <c r="AV47" i="52"/>
  <c r="AX47" i="52" s="1"/>
  <c r="AY47" i="52" s="1"/>
  <c r="AV46" i="52"/>
  <c r="AX46" i="52" s="1"/>
  <c r="AY46" i="52" s="1"/>
  <c r="AV45" i="52"/>
  <c r="AV44" i="52"/>
  <c r="AV43" i="52"/>
  <c r="AV42" i="52"/>
  <c r="AV41" i="52"/>
  <c r="BF51" i="52"/>
  <c r="BE51" i="52"/>
  <c r="BD51" i="52"/>
  <c r="BC51" i="52"/>
  <c r="AX51" i="52"/>
  <c r="AZ40" i="52"/>
  <c r="AE39" i="52"/>
  <c r="AV35" i="52"/>
  <c r="K35" i="52"/>
  <c r="AV34" i="52"/>
  <c r="AE34" i="52"/>
  <c r="AV33" i="52"/>
  <c r="AE31" i="52"/>
  <c r="F31" i="52"/>
  <c r="F42" i="52" s="1"/>
  <c r="AY24" i="52"/>
  <c r="R27" i="52"/>
  <c r="H9" i="52"/>
  <c r="G25" i="52"/>
  <c r="G24" i="52"/>
  <c r="AY23" i="52"/>
  <c r="G23" i="52"/>
  <c r="AY22" i="52"/>
  <c r="G22" i="52"/>
  <c r="E2" i="52"/>
  <c r="N266" i="7"/>
  <c r="P266" i="7"/>
  <c r="R266" i="7"/>
  <c r="B266" i="7"/>
  <c r="B265" i="7"/>
  <c r="B264" i="7"/>
  <c r="B263" i="7"/>
  <c r="B262" i="7"/>
  <c r="B261" i="7"/>
  <c r="B260" i="7"/>
  <c r="N264" i="7"/>
  <c r="Y259" i="7" a="1"/>
  <c r="Y259" i="7" s="1"/>
  <c r="Z259" i="7" s="1"/>
  <c r="W259" i="7" a="1"/>
  <c r="W259" i="7" s="1"/>
  <c r="X259" i="7" s="1"/>
  <c r="R259" i="7" a="1"/>
  <c r="R259" i="7" s="1"/>
  <c r="S259" i="7" s="1"/>
  <c r="P259" i="7" a="1"/>
  <c r="P259" i="7" s="1"/>
  <c r="Q259" i="7" s="1"/>
  <c r="N259" i="7" a="1"/>
  <c r="N259" i="7" s="1"/>
  <c r="O259" i="7" s="1"/>
  <c r="I259" i="7" a="1"/>
  <c r="I259" i="7" s="1"/>
  <c r="J259" i="7" s="1"/>
  <c r="G259" i="7" a="1"/>
  <c r="G259" i="7" s="1"/>
  <c r="H259" i="7" s="1"/>
  <c r="E259" i="7" a="1"/>
  <c r="E259" i="7" s="1"/>
  <c r="N265" i="7"/>
  <c r="N260" i="7"/>
  <c r="I224" i="7"/>
  <c r="F191" i="7"/>
  <c r="S290" i="7"/>
  <c r="Q290" i="7"/>
  <c r="O290" i="7"/>
  <c r="J290" i="7"/>
  <c r="X269" i="7"/>
  <c r="W269" i="7"/>
  <c r="S269" i="7"/>
  <c r="R269" i="7"/>
  <c r="Q269" i="7"/>
  <c r="P269" i="7"/>
  <c r="O269" i="7"/>
  <c r="N269" i="7"/>
  <c r="J269" i="7"/>
  <c r="I269" i="7"/>
  <c r="H269" i="7"/>
  <c r="G269" i="7"/>
  <c r="F269" i="7"/>
  <c r="E269" i="7"/>
  <c r="F198" i="129" l="1"/>
  <c r="G224" i="129"/>
  <c r="K224" i="129"/>
  <c r="H224" i="129"/>
  <c r="M224" i="129"/>
  <c r="F199" i="129"/>
  <c r="J224" i="129"/>
  <c r="F195" i="129"/>
  <c r="F197" i="129"/>
  <c r="F196" i="129"/>
  <c r="K224" i="128"/>
  <c r="F199" i="128"/>
  <c r="M224" i="128"/>
  <c r="H224" i="128"/>
  <c r="F198" i="128"/>
  <c r="J224" i="128"/>
  <c r="G224" i="128"/>
  <c r="F197" i="128"/>
  <c r="F196" i="128"/>
  <c r="F195" i="128"/>
  <c r="F198" i="127"/>
  <c r="M224" i="127"/>
  <c r="K224" i="127"/>
  <c r="F199" i="127"/>
  <c r="F197" i="127"/>
  <c r="H224" i="127"/>
  <c r="F196" i="127"/>
  <c r="F195" i="127"/>
  <c r="G224" i="127"/>
  <c r="J224" i="127"/>
  <c r="T399" i="52"/>
  <c r="T400" i="52"/>
  <c r="T401" i="52"/>
  <c r="T398" i="52"/>
  <c r="T402" i="52"/>
  <c r="T392" i="52"/>
  <c r="T396" i="52"/>
  <c r="T397" i="52"/>
  <c r="AJ58" i="52"/>
  <c r="AZ48" i="52"/>
  <c r="F78" i="52" s="1"/>
  <c r="I94" i="7"/>
  <c r="I124" i="7"/>
  <c r="I72" i="7"/>
  <c r="AZ41" i="52"/>
  <c r="F86" i="52" s="1"/>
  <c r="AZ42" i="52"/>
  <c r="F107" i="52" s="1"/>
  <c r="AZ43" i="52"/>
  <c r="F124" i="52" s="1"/>
  <c r="AZ44" i="52"/>
  <c r="F136" i="52" s="1"/>
  <c r="AZ45" i="52"/>
  <c r="F151" i="52" s="1"/>
  <c r="AX41" i="52"/>
  <c r="AY41" i="52" s="1"/>
  <c r="F259" i="7"/>
  <c r="J124" i="7"/>
  <c r="J56" i="7"/>
  <c r="J72" i="7"/>
  <c r="I56" i="7"/>
  <c r="I144" i="7"/>
  <c r="J144" i="7" s="1"/>
  <c r="AX42" i="52"/>
  <c r="AY42" i="52" s="1"/>
  <c r="AZ46" i="52"/>
  <c r="F169" i="52" s="1"/>
  <c r="AX43" i="52"/>
  <c r="AY43" i="52" s="1"/>
  <c r="AZ47" i="52"/>
  <c r="F63" i="52" s="1"/>
  <c r="AV63" i="52" s="1"/>
  <c r="AX44" i="52"/>
  <c r="AY44" i="52" s="1"/>
  <c r="AX45" i="52"/>
  <c r="AY45" i="52" s="1"/>
  <c r="H227" i="52"/>
  <c r="G229" i="52"/>
  <c r="H229" i="52"/>
  <c r="M59" i="52"/>
  <c r="N264" i="52"/>
  <c r="N217" i="52" s="1"/>
  <c r="N265" i="52"/>
  <c r="N218" i="52" s="1"/>
  <c r="N266" i="52"/>
  <c r="N219" i="52" s="1"/>
  <c r="N267" i="52"/>
  <c r="N220" i="52" s="1"/>
  <c r="N263" i="52"/>
  <c r="N216" i="52" s="1"/>
  <c r="N257" i="52"/>
  <c r="N210" i="52" s="1"/>
  <c r="N262" i="52"/>
  <c r="N215" i="52" s="1"/>
  <c r="N261" i="52"/>
  <c r="N214" i="52" s="1"/>
  <c r="F196" i="52"/>
  <c r="F198" i="52"/>
  <c r="F197" i="52"/>
  <c r="G224" i="52"/>
  <c r="F195" i="52"/>
  <c r="H224" i="52"/>
  <c r="J224" i="52"/>
  <c r="K224" i="52"/>
  <c r="F58" i="52"/>
  <c r="M224" i="52"/>
  <c r="G2" i="52"/>
  <c r="M42" i="52"/>
  <c r="F199" i="52"/>
  <c r="B158" i="52"/>
  <c r="C78" i="52"/>
  <c r="C79" i="52" s="1"/>
  <c r="C80" i="52" s="1"/>
  <c r="C63" i="52"/>
  <c r="C64" i="52" s="1"/>
  <c r="C65" i="52" s="1"/>
  <c r="N65" i="52" s="1"/>
  <c r="B64" i="52"/>
  <c r="B65" i="52" s="1"/>
  <c r="C169" i="52"/>
  <c r="C170" i="52" s="1"/>
  <c r="C171" i="52" s="1"/>
  <c r="N171" i="52" s="1"/>
  <c r="B127" i="52"/>
  <c r="B110" i="52"/>
  <c r="B139" i="52"/>
  <c r="B81" i="52"/>
  <c r="F325" i="52"/>
  <c r="F368" i="52"/>
  <c r="F303" i="52"/>
  <c r="B87" i="52"/>
  <c r="B88" i="52" s="1"/>
  <c r="B172" i="52"/>
  <c r="B173" i="52" s="1"/>
  <c r="AX55" i="52"/>
  <c r="C385" i="52"/>
  <c r="F387" i="52"/>
  <c r="M325" i="52"/>
  <c r="S303" i="52"/>
  <c r="B184" i="52"/>
  <c r="Y230" i="7"/>
  <c r="G224" i="7"/>
  <c r="G223" i="7"/>
  <c r="G220" i="7"/>
  <c r="G219" i="7"/>
  <c r="J185" i="7"/>
  <c r="I185" i="7"/>
  <c r="H185" i="7"/>
  <c r="W230" i="7"/>
  <c r="E224" i="7"/>
  <c r="E223" i="7"/>
  <c r="Y240" i="7" a="1"/>
  <c r="Y240" i="7" s="1"/>
  <c r="Z240" i="7" s="1"/>
  <c r="W240" i="7" a="1"/>
  <c r="W240" i="7" s="1"/>
  <c r="X240" i="7" s="1"/>
  <c r="R240" i="7" a="1"/>
  <c r="R240" i="7" s="1"/>
  <c r="S240" i="7" s="1"/>
  <c r="P240" i="7" a="1"/>
  <c r="P240" i="7" s="1"/>
  <c r="Q240" i="7" s="1"/>
  <c r="N240" i="7" a="1"/>
  <c r="N240" i="7" s="1"/>
  <c r="O240" i="7" s="1"/>
  <c r="I240" i="7" a="1"/>
  <c r="I240" i="7" s="1"/>
  <c r="J240" i="7" s="1"/>
  <c r="G240" i="7" a="1"/>
  <c r="G240" i="7" s="1"/>
  <c r="H240" i="7" s="1"/>
  <c r="Y229" i="7" a="1"/>
  <c r="Y229" i="7" s="1"/>
  <c r="W229" i="7" a="1"/>
  <c r="W229" i="7" s="1"/>
  <c r="R229" i="7" a="1"/>
  <c r="R229" i="7" s="1"/>
  <c r="P229" i="7" a="1"/>
  <c r="P229" i="7" s="1"/>
  <c r="N229" i="7" a="1"/>
  <c r="N229" i="7" s="1"/>
  <c r="I229" i="7" a="1"/>
  <c r="I229" i="7" s="1"/>
  <c r="G229" i="7" a="1"/>
  <c r="G229" i="7" s="1"/>
  <c r="G239" i="7" s="1"/>
  <c r="E240" i="7" a="1"/>
  <c r="E240" i="7" s="1"/>
  <c r="R235" i="7"/>
  <c r="R234" i="7"/>
  <c r="P235" i="7"/>
  <c r="P234" i="7"/>
  <c r="R230" i="7"/>
  <c r="P230" i="7"/>
  <c r="I232" i="7"/>
  <c r="I233" i="7" s="1"/>
  <c r="E229" i="7" a="1"/>
  <c r="E229" i="7" s="1"/>
  <c r="E228" i="7" s="1"/>
  <c r="E190" i="7"/>
  <c r="G191" i="7"/>
  <c r="G190" i="7"/>
  <c r="F190" i="7"/>
  <c r="F251" i="7"/>
  <c r="E251" i="7"/>
  <c r="V236" i="7"/>
  <c r="E220" i="7"/>
  <c r="V231" i="7" s="1"/>
  <c r="E219" i="7"/>
  <c r="V230" i="7" s="1"/>
  <c r="G232" i="7"/>
  <c r="G233" i="7" s="1"/>
  <c r="J213" i="7"/>
  <c r="I213" i="7"/>
  <c r="C202" i="7"/>
  <c r="X277" i="7"/>
  <c r="X285" i="7" s="1"/>
  <c r="W277" i="7"/>
  <c r="S277" i="7"/>
  <c r="F188" i="127" l="1"/>
  <c r="F188" i="128"/>
  <c r="F188" i="129"/>
  <c r="X189" i="129"/>
  <c r="X183" i="129"/>
  <c r="X188" i="129"/>
  <c r="X184" i="129"/>
  <c r="X186" i="129"/>
  <c r="X185" i="129"/>
  <c r="X187" i="129"/>
  <c r="X188" i="128"/>
  <c r="X184" i="128"/>
  <c r="X187" i="128"/>
  <c r="X189" i="128"/>
  <c r="X186" i="128"/>
  <c r="X183" i="128"/>
  <c r="X185" i="128"/>
  <c r="X183" i="127"/>
  <c r="X184" i="127"/>
  <c r="X188" i="127"/>
  <c r="X189" i="127"/>
  <c r="X186" i="127"/>
  <c r="X187" i="127"/>
  <c r="X185" i="127"/>
  <c r="C124" i="52"/>
  <c r="C125" i="52" s="1"/>
  <c r="C126" i="52" s="1"/>
  <c r="C127" i="52" s="1"/>
  <c r="C151" i="52"/>
  <c r="C152" i="52" s="1"/>
  <c r="C157" i="52" s="1"/>
  <c r="C158" i="52" s="1"/>
  <c r="C136" i="52"/>
  <c r="C137" i="52" s="1"/>
  <c r="C138" i="52" s="1"/>
  <c r="C139" i="52" s="1"/>
  <c r="C86" i="52"/>
  <c r="C87" i="52" s="1"/>
  <c r="C88" i="52" s="1"/>
  <c r="C89" i="52" s="1"/>
  <c r="N89" i="52" s="1"/>
  <c r="F188" i="52"/>
  <c r="C181" i="52"/>
  <c r="C182" i="52" s="1"/>
  <c r="C183" i="52" s="1"/>
  <c r="C184" i="52" s="1"/>
  <c r="C193" i="52"/>
  <c r="C194" i="52" s="1"/>
  <c r="C195" i="52" s="1"/>
  <c r="N195" i="52" s="1"/>
  <c r="N413" i="52" s="1"/>
  <c r="AV52" i="52" a="1"/>
  <c r="AX54" i="52" s="1"/>
  <c r="C107" i="52"/>
  <c r="C108" i="52" s="1"/>
  <c r="C109" i="52" s="1"/>
  <c r="C110" i="52" s="1"/>
  <c r="R305" i="7"/>
  <c r="R303" i="7"/>
  <c r="S304" i="7"/>
  <c r="R304" i="7"/>
  <c r="S303" i="7"/>
  <c r="S302" i="7"/>
  <c r="R306" i="7"/>
  <c r="S305" i="7"/>
  <c r="R302" i="7"/>
  <c r="S306" i="7"/>
  <c r="B66" i="52"/>
  <c r="B155" i="52"/>
  <c r="C172" i="52"/>
  <c r="C173" i="52" s="1"/>
  <c r="N173" i="52" s="1"/>
  <c r="N80" i="52"/>
  <c r="AH257" i="52"/>
  <c r="C66" i="52"/>
  <c r="C67" i="52" s="1"/>
  <c r="C81" i="52"/>
  <c r="N81" i="52" s="1"/>
  <c r="B111" i="52"/>
  <c r="AN267" i="52"/>
  <c r="AL267" i="52"/>
  <c r="AP267" i="52"/>
  <c r="AO267" i="52"/>
  <c r="AH267" i="52"/>
  <c r="AR267" i="52"/>
  <c r="AG267" i="52"/>
  <c r="AK267" i="52"/>
  <c r="B185" i="52"/>
  <c r="B90" i="52"/>
  <c r="B89" i="52"/>
  <c r="B140" i="52"/>
  <c r="B174" i="52"/>
  <c r="B82" i="52"/>
  <c r="B128" i="52"/>
  <c r="X186" i="52"/>
  <c r="X187" i="52"/>
  <c r="X188" i="52"/>
  <c r="X184" i="52"/>
  <c r="X183" i="52"/>
  <c r="X185" i="52"/>
  <c r="X189" i="52"/>
  <c r="C213" i="7"/>
  <c r="F304" i="7"/>
  <c r="E239" i="7"/>
  <c r="F240" i="7"/>
  <c r="F229" i="7"/>
  <c r="Z229" i="7"/>
  <c r="Y228" i="7"/>
  <c r="Y239" i="7"/>
  <c r="X229" i="7"/>
  <c r="W239" i="7"/>
  <c r="W228" i="7"/>
  <c r="R239" i="7"/>
  <c r="S229" i="7"/>
  <c r="R228" i="7"/>
  <c r="P228" i="7"/>
  <c r="P239" i="7"/>
  <c r="Q229" i="7"/>
  <c r="O229" i="7"/>
  <c r="N239" i="7"/>
  <c r="N228" i="7"/>
  <c r="I239" i="7"/>
  <c r="J229" i="7"/>
  <c r="I228" i="7"/>
  <c r="H229" i="7"/>
  <c r="G228" i="7"/>
  <c r="H305" i="7"/>
  <c r="H303" i="7"/>
  <c r="F305" i="7"/>
  <c r="F303" i="7"/>
  <c r="F306" i="7"/>
  <c r="H302" i="7"/>
  <c r="H304" i="7"/>
  <c r="H306" i="7"/>
  <c r="F302" i="7"/>
  <c r="V235" i="7"/>
  <c r="X293" i="7"/>
  <c r="H108" i="7"/>
  <c r="Q108" i="7" s="1"/>
  <c r="G108" i="7"/>
  <c r="P108" i="7" s="1"/>
  <c r="F108" i="7"/>
  <c r="O108" i="7" s="1"/>
  <c r="E108" i="7"/>
  <c r="N106" i="7"/>
  <c r="O106" i="7" s="1"/>
  <c r="P106" i="7" s="1"/>
  <c r="Q106" i="7" s="1"/>
  <c r="R106" i="7" s="1"/>
  <c r="S106" i="7" s="1"/>
  <c r="E106" i="7"/>
  <c r="F106" i="7" s="1"/>
  <c r="G106" i="7" s="1"/>
  <c r="H106" i="7" s="1"/>
  <c r="I106" i="7" s="1"/>
  <c r="J106" i="7" s="1"/>
  <c r="E89" i="7"/>
  <c r="F89" i="7" s="1"/>
  <c r="G89" i="7" s="1"/>
  <c r="H89" i="7" s="1"/>
  <c r="I89" i="7" s="1"/>
  <c r="J89" i="7" s="1"/>
  <c r="N89" i="7"/>
  <c r="O89" i="7" s="1"/>
  <c r="P89" i="7" s="1"/>
  <c r="Q89" i="7" s="1"/>
  <c r="R89" i="7" s="1"/>
  <c r="S89" i="7" s="1"/>
  <c r="W89" i="7"/>
  <c r="X89" i="7" s="1"/>
  <c r="Y89" i="7" s="1"/>
  <c r="Z89" i="7" s="1"/>
  <c r="AA89" i="7" s="1"/>
  <c r="AB89" i="7" s="1"/>
  <c r="F93" i="7"/>
  <c r="O93" i="7"/>
  <c r="P93" i="7" s="1"/>
  <c r="R93" i="7"/>
  <c r="S93" i="7" s="1"/>
  <c r="W93" i="7"/>
  <c r="Z93" i="7"/>
  <c r="F94" i="7"/>
  <c r="H94" i="7"/>
  <c r="O94" i="7"/>
  <c r="Q94" i="7"/>
  <c r="W94" i="7"/>
  <c r="AE93" i="7"/>
  <c r="AF93" i="7" s="1"/>
  <c r="F95" i="7"/>
  <c r="O95" i="7"/>
  <c r="P95" i="7" s="1"/>
  <c r="R95" i="7"/>
  <c r="S95" i="7" s="1"/>
  <c r="W95" i="7"/>
  <c r="Z95" i="7"/>
  <c r="AE94" i="7"/>
  <c r="AG94" i="7" s="1"/>
  <c r="F96" i="7"/>
  <c r="G96" i="7" s="1"/>
  <c r="O96" i="7"/>
  <c r="P96" i="7" s="1"/>
  <c r="R96" i="7"/>
  <c r="S96" i="7" s="1"/>
  <c r="W96" i="7"/>
  <c r="Z96" i="7"/>
  <c r="AE95" i="7"/>
  <c r="AF95" i="7" s="1"/>
  <c r="E97" i="7"/>
  <c r="F97" i="7" s="1"/>
  <c r="G97" i="7" s="1"/>
  <c r="H97" i="7"/>
  <c r="I97" i="7" s="1"/>
  <c r="J97" i="7" s="1"/>
  <c r="N97" i="7"/>
  <c r="Q97" i="7"/>
  <c r="R97" i="7" s="1"/>
  <c r="AE96" i="7"/>
  <c r="AG96" i="7" s="1"/>
  <c r="K22" i="51"/>
  <c r="K33" i="51"/>
  <c r="K34" i="51"/>
  <c r="K37" i="51"/>
  <c r="L37" i="51" s="1"/>
  <c r="K39" i="51"/>
  <c r="L39" i="51" s="1"/>
  <c r="I17" i="51" a="1"/>
  <c r="I17" i="51" s="1"/>
  <c r="T17" i="51"/>
  <c r="T34" i="51"/>
  <c r="T33" i="51"/>
  <c r="T32" i="51"/>
  <c r="T31" i="51"/>
  <c r="T30" i="51"/>
  <c r="T29" i="51"/>
  <c r="T28" i="51"/>
  <c r="T27" i="51"/>
  <c r="T26" i="51"/>
  <c r="T25" i="51"/>
  <c r="T24" i="51"/>
  <c r="T23" i="51"/>
  <c r="T22" i="51"/>
  <c r="T21" i="51"/>
  <c r="T19" i="51"/>
  <c r="T18" i="51"/>
  <c r="F17" i="51"/>
  <c r="S188" i="129" l="1"/>
  <c r="S188" i="128"/>
  <c r="M188" i="127"/>
  <c r="S188" i="127"/>
  <c r="M228" i="129"/>
  <c r="H417" i="129"/>
  <c r="K228" i="129"/>
  <c r="H416" i="129"/>
  <c r="G230" i="128"/>
  <c r="G230" i="129"/>
  <c r="H230" i="128"/>
  <c r="H230" i="129"/>
  <c r="J230" i="128"/>
  <c r="J230" i="129"/>
  <c r="J228" i="129"/>
  <c r="H415" i="129"/>
  <c r="G228" i="129"/>
  <c r="H413" i="129"/>
  <c r="M230" i="128"/>
  <c r="M230" i="129"/>
  <c r="AV273" i="129"/>
  <c r="K230" i="128"/>
  <c r="K230" i="129"/>
  <c r="H414" i="129"/>
  <c r="H228" i="129"/>
  <c r="H416" i="128"/>
  <c r="K228" i="128"/>
  <c r="M228" i="128"/>
  <c r="H417" i="128"/>
  <c r="H415" i="128"/>
  <c r="J228" i="128"/>
  <c r="G228" i="128"/>
  <c r="H413" i="128"/>
  <c r="AV273" i="128"/>
  <c r="H414" i="128"/>
  <c r="H228" i="128"/>
  <c r="H230" i="127"/>
  <c r="G230" i="127"/>
  <c r="H416" i="127"/>
  <c r="K228" i="127"/>
  <c r="J230" i="127"/>
  <c r="H417" i="127"/>
  <c r="M228" i="127"/>
  <c r="H415" i="127"/>
  <c r="J228" i="127"/>
  <c r="G228" i="127"/>
  <c r="H413" i="127"/>
  <c r="M230" i="127"/>
  <c r="AV273" i="127"/>
  <c r="K230" i="127"/>
  <c r="H414" i="127"/>
  <c r="H228" i="127"/>
  <c r="N157" i="52"/>
  <c r="N138" i="52"/>
  <c r="H415" i="52"/>
  <c r="H413" i="52"/>
  <c r="H414" i="52"/>
  <c r="H417" i="52"/>
  <c r="H416" i="52"/>
  <c r="N126" i="52"/>
  <c r="N183" i="52"/>
  <c r="C196" i="52"/>
  <c r="C197" i="52" s="1"/>
  <c r="AV52" i="52"/>
  <c r="AX52" i="52" s="1"/>
  <c r="C35" i="52" s="1"/>
  <c r="AX53" i="52"/>
  <c r="BF53" i="52" s="1"/>
  <c r="C90" i="52"/>
  <c r="N90" i="52" s="1"/>
  <c r="N88" i="52"/>
  <c r="R94" i="7"/>
  <c r="S94" i="7" s="1"/>
  <c r="I143" i="7"/>
  <c r="K21" i="51"/>
  <c r="N109" i="52"/>
  <c r="J230" i="52"/>
  <c r="K228" i="52"/>
  <c r="G230" i="52"/>
  <c r="M228" i="52"/>
  <c r="J228" i="52"/>
  <c r="G228" i="52"/>
  <c r="H228" i="52"/>
  <c r="H230" i="52"/>
  <c r="M230" i="52"/>
  <c r="AV273" i="52"/>
  <c r="K230" i="52"/>
  <c r="B67" i="52"/>
  <c r="AK257" i="52"/>
  <c r="C174" i="52"/>
  <c r="C175" i="52" s="1"/>
  <c r="B156" i="52"/>
  <c r="C82" i="52"/>
  <c r="AO257" i="52"/>
  <c r="N66" i="52"/>
  <c r="AG257" i="52"/>
  <c r="AO264" i="52"/>
  <c r="AH264" i="52"/>
  <c r="AG264" i="52"/>
  <c r="AK264" i="52"/>
  <c r="B175" i="52"/>
  <c r="B112" i="52"/>
  <c r="B92" i="52"/>
  <c r="B91" i="52"/>
  <c r="M58" i="52"/>
  <c r="C155" i="52"/>
  <c r="N158" i="52"/>
  <c r="B83" i="52"/>
  <c r="B84" i="52" s="1"/>
  <c r="C140" i="52"/>
  <c r="N139" i="52"/>
  <c r="AL263" i="52"/>
  <c r="AR263" i="52"/>
  <c r="AP263" i="52"/>
  <c r="AO263" i="52"/>
  <c r="AN263" i="52"/>
  <c r="AG263" i="52"/>
  <c r="AK263" i="52"/>
  <c r="AH263" i="52"/>
  <c r="N184" i="52"/>
  <c r="C185" i="52"/>
  <c r="AR261" i="52"/>
  <c r="AN261" i="52"/>
  <c r="AG261" i="52"/>
  <c r="AL261" i="52"/>
  <c r="AK261" i="52"/>
  <c r="AP261" i="52"/>
  <c r="AH261" i="52"/>
  <c r="AO261" i="52"/>
  <c r="AL266" i="52"/>
  <c r="AO266" i="52"/>
  <c r="AG266" i="52"/>
  <c r="AR266" i="52"/>
  <c r="AN266" i="52"/>
  <c r="AH266" i="52"/>
  <c r="AP266" i="52"/>
  <c r="AK266" i="52"/>
  <c r="C111" i="52"/>
  <c r="N110" i="52"/>
  <c r="B129" i="52"/>
  <c r="B186" i="52"/>
  <c r="C128" i="52"/>
  <c r="AR265" i="52"/>
  <c r="AN265" i="52"/>
  <c r="AG265" i="52"/>
  <c r="AL265" i="52"/>
  <c r="AK265" i="52"/>
  <c r="AH265" i="52"/>
  <c r="AP265" i="52"/>
  <c r="AO265" i="52"/>
  <c r="B141" i="52"/>
  <c r="N67" i="52"/>
  <c r="C68" i="52"/>
  <c r="AN262" i="52"/>
  <c r="AL262" i="52"/>
  <c r="AO262" i="52"/>
  <c r="AG262" i="52"/>
  <c r="AK262" i="52"/>
  <c r="AP262" i="52"/>
  <c r="AR262" i="52"/>
  <c r="AH262" i="52"/>
  <c r="C224" i="7"/>
  <c r="C235" i="7" s="1"/>
  <c r="C246" i="7" s="1"/>
  <c r="C265" i="7" s="1"/>
  <c r="X93" i="7"/>
  <c r="AF94" i="7"/>
  <c r="AI94" i="7" s="1"/>
  <c r="X95" i="7"/>
  <c r="Z97" i="7"/>
  <c r="N108" i="7"/>
  <c r="AW273" i="129" s="1"/>
  <c r="AF96" i="7"/>
  <c r="AH96" i="7" s="1"/>
  <c r="X96" i="7"/>
  <c r="AA97" i="7"/>
  <c r="G95" i="7"/>
  <c r="Y95" i="7" s="1"/>
  <c r="W97" i="7"/>
  <c r="AG93" i="7"/>
  <c r="AA93" i="7"/>
  <c r="AB96" i="7"/>
  <c r="X94" i="7"/>
  <c r="AA95" i="7"/>
  <c r="Y96" i="7"/>
  <c r="P94" i="7"/>
  <c r="AB95" i="7"/>
  <c r="Z94" i="7"/>
  <c r="AA96" i="7"/>
  <c r="AG95" i="7"/>
  <c r="AW273" i="127" l="1"/>
  <c r="AW273" i="128"/>
  <c r="W210" i="52"/>
  <c r="W217" i="52"/>
  <c r="W211" i="52"/>
  <c r="W212" i="52"/>
  <c r="W218" i="52"/>
  <c r="W213" i="52"/>
  <c r="W219" i="52"/>
  <c r="W214" i="52"/>
  <c r="W216" i="52"/>
  <c r="W215" i="52"/>
  <c r="W220" i="52"/>
  <c r="W209" i="52"/>
  <c r="N258" i="52"/>
  <c r="N211" i="52" s="1"/>
  <c r="N260" i="52"/>
  <c r="C91" i="52"/>
  <c r="N91" i="52" s="1"/>
  <c r="AA94" i="7"/>
  <c r="J84" i="52"/>
  <c r="F84" i="52"/>
  <c r="N84" i="52"/>
  <c r="M84" i="52"/>
  <c r="N196" i="52"/>
  <c r="N414" i="52" s="1"/>
  <c r="C92" i="52"/>
  <c r="N92" i="52" s="1"/>
  <c r="BC53" i="52"/>
  <c r="F34" i="52" s="1"/>
  <c r="AA84" i="52"/>
  <c r="Z84" i="52"/>
  <c r="X84" i="52"/>
  <c r="W84" i="52"/>
  <c r="BD53" i="52"/>
  <c r="K34" i="52" s="1"/>
  <c r="BE53" i="52"/>
  <c r="AW273" i="52"/>
  <c r="AK258" i="52"/>
  <c r="AO258" i="52"/>
  <c r="K360" i="52"/>
  <c r="K361" i="52"/>
  <c r="AG40" i="52"/>
  <c r="N269" i="52"/>
  <c r="K355" i="52"/>
  <c r="K363" i="52"/>
  <c r="K354" i="52"/>
  <c r="K358" i="52"/>
  <c r="K352" i="52"/>
  <c r="K359" i="52"/>
  <c r="K351" i="52"/>
  <c r="K357" i="52"/>
  <c r="K353" i="52"/>
  <c r="K350" i="52"/>
  <c r="N256" i="52"/>
  <c r="N209" i="52" s="1"/>
  <c r="K356" i="52"/>
  <c r="N259" i="52"/>
  <c r="B68" i="52"/>
  <c r="B153" i="52"/>
  <c r="N174" i="52"/>
  <c r="N82" i="52"/>
  <c r="C83" i="52"/>
  <c r="N83" i="52" s="1"/>
  <c r="B85" i="52"/>
  <c r="C176" i="52"/>
  <c r="N175" i="52"/>
  <c r="C69" i="52"/>
  <c r="N68" i="52"/>
  <c r="BF52" i="52"/>
  <c r="BE52" i="52"/>
  <c r="BD52" i="52"/>
  <c r="K33" i="52" s="1"/>
  <c r="BA52" i="52" a="1"/>
  <c r="C198" i="52"/>
  <c r="N197" i="52"/>
  <c r="N415" i="52" s="1"/>
  <c r="B176" i="52"/>
  <c r="N155" i="52"/>
  <c r="C156" i="52"/>
  <c r="B187" i="52"/>
  <c r="N185" i="52"/>
  <c r="C186" i="52"/>
  <c r="B113" i="52"/>
  <c r="B142" i="52"/>
  <c r="B93" i="52"/>
  <c r="B94" i="52"/>
  <c r="B130" i="52"/>
  <c r="C141" i="52"/>
  <c r="N140" i="52"/>
  <c r="C112" i="52"/>
  <c r="N111" i="52"/>
  <c r="C129" i="52"/>
  <c r="N128" i="52"/>
  <c r="AH94" i="7"/>
  <c r="AK94" i="7" s="1"/>
  <c r="AI96" i="7"/>
  <c r="AK96" i="7" s="1"/>
  <c r="AI93" i="7"/>
  <c r="AH93" i="7"/>
  <c r="AH95" i="7"/>
  <c r="AI95" i="7"/>
  <c r="N213" i="52" l="1"/>
  <c r="AO260" i="52"/>
  <c r="AK260" i="52"/>
  <c r="C94" i="52"/>
  <c r="C95" i="52" s="1"/>
  <c r="N95" i="52" s="1"/>
  <c r="C93" i="52"/>
  <c r="N93" i="52" s="1"/>
  <c r="AK93" i="7"/>
  <c r="AK95" i="7"/>
  <c r="B69" i="52"/>
  <c r="B70" i="52" s="1"/>
  <c r="X201" i="52"/>
  <c r="W201" i="52"/>
  <c r="AK259" i="52"/>
  <c r="N212" i="52"/>
  <c r="AK269" i="52"/>
  <c r="AK256" i="52"/>
  <c r="AO259" i="52"/>
  <c r="B154" i="52"/>
  <c r="C84" i="52"/>
  <c r="C85" i="52" s="1"/>
  <c r="C70" i="52"/>
  <c r="N69" i="52"/>
  <c r="B114" i="52"/>
  <c r="B188" i="52"/>
  <c r="B189" i="52"/>
  <c r="C130" i="52"/>
  <c r="N129" i="52"/>
  <c r="B95" i="52"/>
  <c r="B177" i="52"/>
  <c r="B178" i="52"/>
  <c r="B179" i="52" s="1"/>
  <c r="C178" i="52"/>
  <c r="C177" i="52"/>
  <c r="N176" i="52"/>
  <c r="C142" i="52"/>
  <c r="N141" i="52"/>
  <c r="B143" i="52"/>
  <c r="C34" i="52"/>
  <c r="BA52" i="52"/>
  <c r="C187" i="52"/>
  <c r="N186" i="52"/>
  <c r="C153" i="52"/>
  <c r="N156" i="52"/>
  <c r="C113" i="52"/>
  <c r="N112" i="52"/>
  <c r="N198" i="52"/>
  <c r="N416" i="52" s="1"/>
  <c r="C199" i="52"/>
  <c r="B131" i="52"/>
  <c r="Z19" i="51"/>
  <c r="W19" i="51"/>
  <c r="V19" i="51"/>
  <c r="U19" i="51"/>
  <c r="Z18" i="51"/>
  <c r="W18" i="51"/>
  <c r="V18" i="51"/>
  <c r="U18" i="51"/>
  <c r="Z17" i="51"/>
  <c r="W17" i="51"/>
  <c r="V17" i="51"/>
  <c r="U17" i="51"/>
  <c r="S34" i="51"/>
  <c r="Z34" i="51" s="1"/>
  <c r="S33" i="51"/>
  <c r="Z33" i="51" s="1"/>
  <c r="S32" i="51"/>
  <c r="S31" i="51"/>
  <c r="S30" i="51"/>
  <c r="S29" i="51"/>
  <c r="S28" i="51"/>
  <c r="S27" i="51"/>
  <c r="S26" i="51"/>
  <c r="S25" i="51"/>
  <c r="S24" i="51"/>
  <c r="S23" i="51"/>
  <c r="S22" i="51"/>
  <c r="Z22" i="51" s="1"/>
  <c r="S21" i="51"/>
  <c r="Z21" i="51" s="1"/>
  <c r="W34" i="51"/>
  <c r="V34" i="51"/>
  <c r="U34" i="51"/>
  <c r="W33" i="51"/>
  <c r="V33" i="51"/>
  <c r="U33" i="51"/>
  <c r="W32" i="51"/>
  <c r="V32" i="51"/>
  <c r="U32" i="51"/>
  <c r="W31" i="51"/>
  <c r="V31" i="51"/>
  <c r="U31" i="51"/>
  <c r="W30" i="51"/>
  <c r="V30" i="51"/>
  <c r="U30" i="51"/>
  <c r="W29" i="51"/>
  <c r="V29" i="51"/>
  <c r="U29" i="51"/>
  <c r="W28" i="51"/>
  <c r="V28" i="51"/>
  <c r="U28" i="51"/>
  <c r="W27" i="51"/>
  <c r="V27" i="51"/>
  <c r="U27" i="51"/>
  <c r="W26" i="51"/>
  <c r="V26" i="51"/>
  <c r="U26" i="51"/>
  <c r="W25" i="51"/>
  <c r="V25" i="51"/>
  <c r="U25" i="51"/>
  <c r="W24" i="51"/>
  <c r="V24" i="51"/>
  <c r="U24" i="51"/>
  <c r="W23" i="51"/>
  <c r="V23" i="51"/>
  <c r="U23" i="51"/>
  <c r="W22" i="51"/>
  <c r="V22" i="51"/>
  <c r="U22" i="51"/>
  <c r="W21" i="51"/>
  <c r="V21" i="51"/>
  <c r="U21" i="51"/>
  <c r="I41" i="51"/>
  <c r="I40" i="51"/>
  <c r="I38" i="51"/>
  <c r="D38" i="51"/>
  <c r="D41" i="51"/>
  <c r="C41" i="51"/>
  <c r="D40" i="51"/>
  <c r="C40" i="51"/>
  <c r="N94" i="52" l="1"/>
  <c r="C96" i="52"/>
  <c r="C97" i="52" s="1"/>
  <c r="N179" i="52"/>
  <c r="M179" i="52"/>
  <c r="J179" i="52"/>
  <c r="F179" i="52"/>
  <c r="B159" i="52"/>
  <c r="B160" i="52" s="1"/>
  <c r="AA179" i="52"/>
  <c r="W179" i="52"/>
  <c r="K38" i="51"/>
  <c r="N199" i="52"/>
  <c r="N417" i="52" s="1"/>
  <c r="C200" i="52"/>
  <c r="C201" i="52" s="1"/>
  <c r="N177" i="52"/>
  <c r="C114" i="52"/>
  <c r="N113" i="52"/>
  <c r="B96" i="52"/>
  <c r="B71" i="52"/>
  <c r="B144" i="52"/>
  <c r="N130" i="52"/>
  <c r="C131" i="52"/>
  <c r="B132" i="52"/>
  <c r="B133" i="52"/>
  <c r="B134" i="52" s="1"/>
  <c r="BC52" i="52"/>
  <c r="F33" i="52" s="1"/>
  <c r="C33" i="52"/>
  <c r="F35" i="52"/>
  <c r="B115" i="52"/>
  <c r="C154" i="52"/>
  <c r="N153" i="52"/>
  <c r="C179" i="52"/>
  <c r="C180" i="52" s="1"/>
  <c r="N178" i="52"/>
  <c r="N187" i="52"/>
  <c r="C189" i="52"/>
  <c r="C188" i="52"/>
  <c r="N188" i="52" s="1"/>
  <c r="B180" i="52"/>
  <c r="N142" i="52"/>
  <c r="C143" i="52"/>
  <c r="B190" i="52"/>
  <c r="B191" i="52" s="1"/>
  <c r="N70" i="52"/>
  <c r="C71" i="52"/>
  <c r="K40" i="51"/>
  <c r="I36" i="51"/>
  <c r="K41" i="51"/>
  <c r="F21" i="51"/>
  <c r="X17" i="51"/>
  <c r="X18" i="51"/>
  <c r="G18" i="51" s="1" a="1"/>
  <c r="G18" i="51" s="1"/>
  <c r="X31" i="51"/>
  <c r="X29" i="51"/>
  <c r="X19" i="51"/>
  <c r="G19" i="51" s="1" a="1"/>
  <c r="G19" i="51" s="1"/>
  <c r="G38" i="51" s="1"/>
  <c r="X21" i="51"/>
  <c r="Y17" i="51"/>
  <c r="X27" i="51"/>
  <c r="X25" i="51"/>
  <c r="X30" i="51"/>
  <c r="X33" i="51"/>
  <c r="G33" i="51" s="1" a="1"/>
  <c r="G33" i="51" s="1"/>
  <c r="X24" i="51"/>
  <c r="X34" i="51"/>
  <c r="G34" i="51" s="1" a="1"/>
  <c r="G34" i="51" s="1"/>
  <c r="G41" i="51" s="1"/>
  <c r="Y18" i="51"/>
  <c r="X23" i="51"/>
  <c r="X22" i="51"/>
  <c r="G22" i="51" s="1" a="1"/>
  <c r="G22" i="51" s="1"/>
  <c r="F23" i="51" s="1"/>
  <c r="Z23" i="51"/>
  <c r="X26" i="51"/>
  <c r="Y19" i="51"/>
  <c r="X28" i="51"/>
  <c r="X32" i="51"/>
  <c r="Y33" i="51"/>
  <c r="Y34" i="51"/>
  <c r="Y21" i="51"/>
  <c r="E9" i="51"/>
  <c r="E8" i="51"/>
  <c r="E7" i="51"/>
  <c r="E6" i="51"/>
  <c r="N96" i="52" l="1"/>
  <c r="J134" i="52"/>
  <c r="F134" i="52"/>
  <c r="N134" i="52"/>
  <c r="M134" i="52"/>
  <c r="AA134" i="52"/>
  <c r="W134" i="52"/>
  <c r="Z134" i="52"/>
  <c r="X134" i="52"/>
  <c r="AA191" i="52"/>
  <c r="W191" i="52"/>
  <c r="N143" i="52"/>
  <c r="C144" i="52"/>
  <c r="B116" i="52"/>
  <c r="B72" i="52"/>
  <c r="N154" i="52"/>
  <c r="C159" i="52"/>
  <c r="B161" i="52"/>
  <c r="B97" i="52"/>
  <c r="N97" i="52"/>
  <c r="C98" i="52"/>
  <c r="N200" i="52"/>
  <c r="C190" i="52"/>
  <c r="N189" i="52"/>
  <c r="B135" i="52"/>
  <c r="B145" i="52"/>
  <c r="C115" i="52"/>
  <c r="N114" i="52"/>
  <c r="C133" i="52"/>
  <c r="N131" i="52"/>
  <c r="C132" i="52"/>
  <c r="N132" i="52" s="1"/>
  <c r="C72" i="52"/>
  <c r="N71" i="52"/>
  <c r="K36" i="51"/>
  <c r="L36" i="51" s="1"/>
  <c r="G40" i="51"/>
  <c r="G21" i="51"/>
  <c r="H34" i="51" s="1"/>
  <c r="G17" i="51"/>
  <c r="H19" i="51" s="1"/>
  <c r="Y30" i="51"/>
  <c r="Z30" i="51" s="1"/>
  <c r="G30" i="51" s="1" a="1"/>
  <c r="G30" i="51" s="1"/>
  <c r="H30" i="51" s="1"/>
  <c r="N418" i="52" l="1"/>
  <c r="N201" i="52"/>
  <c r="N419" i="52" s="1"/>
  <c r="N98" i="52"/>
  <c r="C99" i="52"/>
  <c r="B163" i="52"/>
  <c r="B162" i="52"/>
  <c r="N72" i="52"/>
  <c r="C73" i="52"/>
  <c r="B73" i="52"/>
  <c r="B146" i="52"/>
  <c r="N159" i="52"/>
  <c r="C160" i="52"/>
  <c r="N133" i="52"/>
  <c r="C134" i="52"/>
  <c r="C135" i="52" s="1"/>
  <c r="B117" i="52"/>
  <c r="N144" i="52"/>
  <c r="C145" i="52"/>
  <c r="B98" i="52"/>
  <c r="N190" i="52"/>
  <c r="N191" i="52" s="1"/>
  <c r="C191" i="52"/>
  <c r="N115" i="52"/>
  <c r="C116" i="52"/>
  <c r="H33" i="51"/>
  <c r="H21" i="51"/>
  <c r="H22" i="51"/>
  <c r="G15" i="51"/>
  <c r="Y24" i="51"/>
  <c r="Z24" i="51" s="1"/>
  <c r="G24" i="51" s="1" a="1"/>
  <c r="G24" i="51" s="1"/>
  <c r="H24" i="51" s="1"/>
  <c r="Y25" i="51"/>
  <c r="Z25" i="51" s="1"/>
  <c r="G25" i="51" s="1" a="1"/>
  <c r="G25" i="51" s="1"/>
  <c r="H25" i="51" s="1"/>
  <c r="Y31" i="51"/>
  <c r="Z31" i="51" s="1"/>
  <c r="G31" i="51" s="1" a="1"/>
  <c r="G31" i="51" s="1"/>
  <c r="H31" i="51" s="1"/>
  <c r="Y22" i="51"/>
  <c r="Y23" i="51"/>
  <c r="G23" i="51" s="1" a="1"/>
  <c r="G23" i="51" s="1"/>
  <c r="H23" i="51" s="1"/>
  <c r="Y26" i="51"/>
  <c r="Z26" i="51" s="1"/>
  <c r="G26" i="51" s="1" a="1"/>
  <c r="G26" i="51" s="1"/>
  <c r="H26" i="51" s="1"/>
  <c r="Y27" i="51"/>
  <c r="Z27" i="51" s="1"/>
  <c r="G27" i="51" s="1" a="1"/>
  <c r="G27" i="51" s="1"/>
  <c r="H27" i="51" s="1"/>
  <c r="Y29" i="51"/>
  <c r="Z29" i="51" s="1"/>
  <c r="G29" i="51" s="1" a="1"/>
  <c r="G29" i="51" s="1"/>
  <c r="H29" i="51" s="1"/>
  <c r="Y28" i="51"/>
  <c r="Z28" i="51" s="1"/>
  <c r="G28" i="51" s="1" a="1"/>
  <c r="G28" i="51" s="1"/>
  <c r="H28" i="51" s="1"/>
  <c r="Y32" i="51"/>
  <c r="Z32" i="51" s="1"/>
  <c r="G32" i="51" s="1" a="1"/>
  <c r="G32" i="51" s="1"/>
  <c r="H32" i="51" s="1"/>
  <c r="H18" i="51"/>
  <c r="H17" i="51"/>
  <c r="C117" i="52" l="1"/>
  <c r="N116" i="52"/>
  <c r="B118" i="52"/>
  <c r="B164" i="52"/>
  <c r="B99" i="52"/>
  <c r="B100" i="52" s="1"/>
  <c r="B74" i="52"/>
  <c r="N99" i="52"/>
  <c r="C100" i="52"/>
  <c r="C74" i="52"/>
  <c r="N73" i="52"/>
  <c r="N145" i="52"/>
  <c r="C146" i="52"/>
  <c r="C161" i="52"/>
  <c r="N160" i="52"/>
  <c r="B147" i="52"/>
  <c r="G37" i="51"/>
  <c r="G39" i="51"/>
  <c r="W285" i="7"/>
  <c r="S285" i="7"/>
  <c r="R277" i="7"/>
  <c r="R285" i="7" s="1"/>
  <c r="P277" i="7"/>
  <c r="P285" i="7" s="1"/>
  <c r="O277" i="7"/>
  <c r="O285" i="7" s="1"/>
  <c r="N277" i="7"/>
  <c r="N285" i="7" s="1"/>
  <c r="J277" i="7"/>
  <c r="J285" i="7" s="1"/>
  <c r="I277" i="7"/>
  <c r="I293" i="7" s="1"/>
  <c r="H277" i="7"/>
  <c r="H285" i="7" s="1"/>
  <c r="G277" i="7"/>
  <c r="G285" i="7" s="1"/>
  <c r="F277" i="7"/>
  <c r="F293" i="7" s="1"/>
  <c r="E277" i="7"/>
  <c r="Q277" i="7"/>
  <c r="Q285" i="7" s="1"/>
  <c r="F182" i="7"/>
  <c r="O206" i="7" s="1"/>
  <c r="F181" i="7"/>
  <c r="N206" i="7" s="1"/>
  <c r="F180" i="7"/>
  <c r="J206" i="7" s="1"/>
  <c r="F179" i="7"/>
  <c r="I206" i="7" s="1"/>
  <c r="F178" i="7"/>
  <c r="H206" i="7" s="1"/>
  <c r="F177" i="7"/>
  <c r="G206" i="7" s="1"/>
  <c r="F176" i="7"/>
  <c r="F206" i="7" s="1"/>
  <c r="F175" i="7"/>
  <c r="Q197" i="129" l="1"/>
  <c r="Q196" i="129"/>
  <c r="X195" i="129"/>
  <c r="K413" i="129" s="1"/>
  <c r="W413" i="129" s="1"/>
  <c r="Q195" i="129"/>
  <c r="X197" i="129"/>
  <c r="K415" i="129" s="1"/>
  <c r="W415" i="129" s="1"/>
  <c r="Q198" i="129"/>
  <c r="X198" i="129"/>
  <c r="K416" i="129" s="1"/>
  <c r="W416" i="129" s="1"/>
  <c r="Q199" i="129"/>
  <c r="X196" i="129"/>
  <c r="K414" i="129" s="1"/>
  <c r="W414" i="129" s="1"/>
  <c r="X199" i="129"/>
  <c r="K417" i="129" s="1"/>
  <c r="W417" i="129" s="1"/>
  <c r="Q195" i="128"/>
  <c r="X196" i="128"/>
  <c r="K414" i="128" s="1"/>
  <c r="W414" i="128" s="1"/>
  <c r="Q197" i="128"/>
  <c r="X198" i="128"/>
  <c r="K416" i="128" s="1"/>
  <c r="W416" i="128" s="1"/>
  <c r="X197" i="128"/>
  <c r="K415" i="128" s="1"/>
  <c r="W415" i="128" s="1"/>
  <c r="Q198" i="128"/>
  <c r="Q199" i="128"/>
  <c r="X195" i="128"/>
  <c r="K413" i="128" s="1"/>
  <c r="W413" i="128" s="1"/>
  <c r="Q196" i="128"/>
  <c r="X199" i="128"/>
  <c r="K417" i="128" s="1"/>
  <c r="W417" i="128" s="1"/>
  <c r="X198" i="127"/>
  <c r="K416" i="127" s="1"/>
  <c r="W416" i="127" s="1"/>
  <c r="X195" i="127"/>
  <c r="K413" i="127" s="1"/>
  <c r="W413" i="127" s="1"/>
  <c r="Q196" i="127"/>
  <c r="Q197" i="127"/>
  <c r="X197" i="127"/>
  <c r="K415" i="127" s="1"/>
  <c r="W415" i="127" s="1"/>
  <c r="Q198" i="127"/>
  <c r="Q195" i="127"/>
  <c r="X199" i="127"/>
  <c r="K417" i="127" s="1"/>
  <c r="W417" i="127" s="1"/>
  <c r="Q199" i="127"/>
  <c r="X196" i="127"/>
  <c r="K414" i="127" s="1"/>
  <c r="W414" i="127" s="1"/>
  <c r="Q195" i="52"/>
  <c r="Q199" i="52"/>
  <c r="X198" i="52"/>
  <c r="K416" i="52" s="1"/>
  <c r="W416" i="52" s="1"/>
  <c r="Q196" i="52"/>
  <c r="Q197" i="52"/>
  <c r="Q198" i="52"/>
  <c r="X199" i="52"/>
  <c r="K417" i="52" s="1"/>
  <c r="W417" i="52" s="1"/>
  <c r="X195" i="52"/>
  <c r="K413" i="52" s="1"/>
  <c r="W413" i="52" s="1"/>
  <c r="X197" i="52"/>
  <c r="K415" i="52" s="1"/>
  <c r="W415" i="52" s="1"/>
  <c r="X196" i="52"/>
  <c r="K414" i="52" s="1"/>
  <c r="W414" i="52" s="1"/>
  <c r="N100" i="52"/>
  <c r="C101" i="52"/>
  <c r="B101" i="52"/>
  <c r="B102" i="52" s="1"/>
  <c r="B165" i="52"/>
  <c r="N161" i="52"/>
  <c r="C163" i="52"/>
  <c r="C162" i="52"/>
  <c r="N162" i="52" s="1"/>
  <c r="C147" i="52"/>
  <c r="N146" i="52"/>
  <c r="B75" i="52"/>
  <c r="B76" i="52" s="1"/>
  <c r="N117" i="52"/>
  <c r="C118" i="52"/>
  <c r="B148" i="52"/>
  <c r="B149" i="52" s="1"/>
  <c r="N74" i="52"/>
  <c r="C75" i="52"/>
  <c r="B119" i="52"/>
  <c r="E293" i="7"/>
  <c r="E206" i="7"/>
  <c r="P293" i="7"/>
  <c r="R293" i="7"/>
  <c r="S293" i="7"/>
  <c r="G36" i="51"/>
  <c r="H36" i="51" s="1"/>
  <c r="E285" i="7"/>
  <c r="J293" i="7"/>
  <c r="I285" i="7"/>
  <c r="F285" i="7"/>
  <c r="N293" i="7"/>
  <c r="O293" i="7"/>
  <c r="W293" i="7"/>
  <c r="G293" i="7"/>
  <c r="Q293" i="7"/>
  <c r="H293" i="7"/>
  <c r="G85" i="7"/>
  <c r="G84" i="7"/>
  <c r="G83" i="7"/>
  <c r="G82" i="7"/>
  <c r="G81" i="7"/>
  <c r="G80" i="7"/>
  <c r="G79" i="7"/>
  <c r="G78" i="7"/>
  <c r="G77" i="7"/>
  <c r="G76" i="7"/>
  <c r="M232" i="129" l="1"/>
  <c r="J206" i="129"/>
  <c r="T195" i="129"/>
  <c r="T199" i="129"/>
  <c r="H232" i="129"/>
  <c r="G206" i="129"/>
  <c r="T196" i="129"/>
  <c r="M206" i="129"/>
  <c r="J232" i="129"/>
  <c r="T197" i="129"/>
  <c r="Q206" i="129"/>
  <c r="T198" i="129"/>
  <c r="T206" i="129"/>
  <c r="P206" i="129"/>
  <c r="S206" i="129"/>
  <c r="K232" i="129"/>
  <c r="H206" i="129"/>
  <c r="V206" i="129"/>
  <c r="G232" i="129"/>
  <c r="K206" i="129"/>
  <c r="P205" i="129"/>
  <c r="M205" i="129"/>
  <c r="G205" i="129"/>
  <c r="J231" i="129"/>
  <c r="M208" i="129"/>
  <c r="S197" i="129"/>
  <c r="J208" i="129"/>
  <c r="H225" i="129"/>
  <c r="V208" i="129"/>
  <c r="G208" i="129"/>
  <c r="J205" i="129"/>
  <c r="G225" i="129"/>
  <c r="H205" i="129"/>
  <c r="S199" i="129"/>
  <c r="Q205" i="129"/>
  <c r="K205" i="129"/>
  <c r="H208" i="129"/>
  <c r="G231" i="129"/>
  <c r="H231" i="129"/>
  <c r="M231" i="129"/>
  <c r="S205" i="129"/>
  <c r="K208" i="129"/>
  <c r="M225" i="129"/>
  <c r="K225" i="129"/>
  <c r="J225" i="129"/>
  <c r="T205" i="129"/>
  <c r="S198" i="129"/>
  <c r="V205" i="129"/>
  <c r="S195" i="129"/>
  <c r="K231" i="129"/>
  <c r="S196" i="129"/>
  <c r="V206" i="128"/>
  <c r="S206" i="128"/>
  <c r="H232" i="128"/>
  <c r="T199" i="128"/>
  <c r="M206" i="128"/>
  <c r="T196" i="128"/>
  <c r="K206" i="128"/>
  <c r="Q206" i="128"/>
  <c r="G206" i="128"/>
  <c r="K232" i="128"/>
  <c r="T198" i="128"/>
  <c r="H206" i="128"/>
  <c r="T206" i="128"/>
  <c r="T195" i="128"/>
  <c r="G232" i="128"/>
  <c r="T197" i="128"/>
  <c r="M232" i="128"/>
  <c r="J206" i="128"/>
  <c r="P206" i="128"/>
  <c r="J232" i="128"/>
  <c r="S196" i="128"/>
  <c r="S195" i="128"/>
  <c r="M208" i="128"/>
  <c r="Q205" i="128"/>
  <c r="K231" i="128"/>
  <c r="S198" i="128"/>
  <c r="G231" i="128"/>
  <c r="V205" i="128"/>
  <c r="J225" i="128"/>
  <c r="M231" i="128"/>
  <c r="J205" i="128"/>
  <c r="T205" i="128"/>
  <c r="J208" i="128"/>
  <c r="G208" i="128"/>
  <c r="S205" i="128"/>
  <c r="H205" i="128"/>
  <c r="G225" i="128"/>
  <c r="H208" i="128"/>
  <c r="H231" i="128"/>
  <c r="S197" i="128"/>
  <c r="K208" i="128"/>
  <c r="H225" i="128"/>
  <c r="G205" i="128"/>
  <c r="J231" i="128"/>
  <c r="V208" i="128"/>
  <c r="K205" i="128"/>
  <c r="M205" i="128"/>
  <c r="P205" i="128"/>
  <c r="K225" i="128"/>
  <c r="M225" i="128"/>
  <c r="S199" i="128"/>
  <c r="J206" i="127"/>
  <c r="T199" i="127"/>
  <c r="T198" i="127"/>
  <c r="V206" i="127"/>
  <c r="G232" i="127"/>
  <c r="K232" i="127"/>
  <c r="G206" i="127"/>
  <c r="T206" i="127"/>
  <c r="Q206" i="127"/>
  <c r="M232" i="127"/>
  <c r="J232" i="127"/>
  <c r="T196" i="127"/>
  <c r="T197" i="127"/>
  <c r="H206" i="127"/>
  <c r="M206" i="127"/>
  <c r="S206" i="127"/>
  <c r="P206" i="127"/>
  <c r="H232" i="127"/>
  <c r="K206" i="127"/>
  <c r="T195" i="127"/>
  <c r="J208" i="127"/>
  <c r="J205" i="127"/>
  <c r="K208" i="127"/>
  <c r="V205" i="127"/>
  <c r="S195" i="127"/>
  <c r="G208" i="127"/>
  <c r="T205" i="127"/>
  <c r="G231" i="127"/>
  <c r="V208" i="127"/>
  <c r="H225" i="127"/>
  <c r="P205" i="127"/>
  <c r="G225" i="127"/>
  <c r="G205" i="127"/>
  <c r="S198" i="127"/>
  <c r="H208" i="127"/>
  <c r="S199" i="127"/>
  <c r="S205" i="127"/>
  <c r="H205" i="127"/>
  <c r="M231" i="127"/>
  <c r="M205" i="127"/>
  <c r="K225" i="127"/>
  <c r="M225" i="127"/>
  <c r="H231" i="127"/>
  <c r="J231" i="127"/>
  <c r="S197" i="127"/>
  <c r="J225" i="127"/>
  <c r="S196" i="127"/>
  <c r="M208" i="127"/>
  <c r="K231" i="127"/>
  <c r="K205" i="127"/>
  <c r="Q205" i="127"/>
  <c r="N76" i="52"/>
  <c r="M76" i="52"/>
  <c r="J76" i="52"/>
  <c r="F76" i="52"/>
  <c r="T206" i="52"/>
  <c r="V206" i="52"/>
  <c r="Q206" i="52"/>
  <c r="S206" i="52"/>
  <c r="P206" i="52"/>
  <c r="P205" i="52"/>
  <c r="Q205" i="52"/>
  <c r="S205" i="52"/>
  <c r="V208" i="52"/>
  <c r="T205" i="52"/>
  <c r="V205" i="52"/>
  <c r="W149" i="52"/>
  <c r="AA149" i="52"/>
  <c r="Z76" i="52"/>
  <c r="W76" i="52"/>
  <c r="X76" i="52"/>
  <c r="AA76" i="52"/>
  <c r="K206" i="52"/>
  <c r="G232" i="52"/>
  <c r="G206" i="52"/>
  <c r="M206" i="52"/>
  <c r="J232" i="52"/>
  <c r="T196" i="52"/>
  <c r="T199" i="52"/>
  <c r="T197" i="52"/>
  <c r="K232" i="52"/>
  <c r="H232" i="52"/>
  <c r="T198" i="52"/>
  <c r="H206" i="52"/>
  <c r="J206" i="52"/>
  <c r="M232" i="52"/>
  <c r="T195" i="52"/>
  <c r="G231" i="52"/>
  <c r="J225" i="52"/>
  <c r="H208" i="52"/>
  <c r="S197" i="52"/>
  <c r="M231" i="52"/>
  <c r="J205" i="52"/>
  <c r="H231" i="52"/>
  <c r="S199" i="52"/>
  <c r="H205" i="52"/>
  <c r="G225" i="52"/>
  <c r="K225" i="52"/>
  <c r="M205" i="52"/>
  <c r="K231" i="52"/>
  <c r="J231" i="52"/>
  <c r="G208" i="52"/>
  <c r="K205" i="52"/>
  <c r="M225" i="52"/>
  <c r="H225" i="52"/>
  <c r="M208" i="52"/>
  <c r="S198" i="52"/>
  <c r="G205" i="52"/>
  <c r="J208" i="52"/>
  <c r="S195" i="52"/>
  <c r="K208" i="52"/>
  <c r="S196" i="52"/>
  <c r="B120" i="52"/>
  <c r="N118" i="52"/>
  <c r="C119" i="52"/>
  <c r="B166" i="52"/>
  <c r="B167" i="52" s="1"/>
  <c r="N75" i="52"/>
  <c r="C76" i="52"/>
  <c r="C77" i="52" s="1"/>
  <c r="C148" i="52"/>
  <c r="C149" i="52" s="1"/>
  <c r="N147" i="52"/>
  <c r="B103" i="52"/>
  <c r="B150" i="52"/>
  <c r="N101" i="52"/>
  <c r="C102" i="52"/>
  <c r="B77" i="52"/>
  <c r="N163" i="52"/>
  <c r="C164" i="52"/>
  <c r="H37" i="51"/>
  <c r="H38" i="51"/>
  <c r="H40" i="51"/>
  <c r="H39" i="51"/>
  <c r="H41" i="51"/>
  <c r="G188" i="7"/>
  <c r="G187" i="7"/>
  <c r="G189" i="7"/>
  <c r="C204" i="7"/>
  <c r="C201" i="7"/>
  <c r="C203" i="7"/>
  <c r="C200" i="7"/>
  <c r="C199" i="7"/>
  <c r="C198" i="7"/>
  <c r="C197" i="7"/>
  <c r="G137" i="7"/>
  <c r="G133" i="7"/>
  <c r="G132" i="7"/>
  <c r="S59" i="7"/>
  <c r="S58" i="7"/>
  <c r="C28" i="7"/>
  <c r="C24" i="7"/>
  <c r="C27" i="7"/>
  <c r="C26" i="7"/>
  <c r="C25" i="7"/>
  <c r="C23" i="7"/>
  <c r="C22" i="7"/>
  <c r="C21" i="7"/>
  <c r="J212" i="7"/>
  <c r="I212" i="7"/>
  <c r="J208" i="7"/>
  <c r="I208" i="7"/>
  <c r="F190" i="128" l="1"/>
  <c r="F190" i="127"/>
  <c r="F190" i="129"/>
  <c r="F183" i="127"/>
  <c r="F183" i="129"/>
  <c r="F183" i="128"/>
  <c r="T184" i="129"/>
  <c r="T139" i="129"/>
  <c r="T157" i="129"/>
  <c r="T183" i="129"/>
  <c r="T157" i="128"/>
  <c r="T171" i="127"/>
  <c r="T183" i="127"/>
  <c r="T138" i="128"/>
  <c r="T109" i="127"/>
  <c r="T138" i="129"/>
  <c r="T126" i="129"/>
  <c r="T65" i="129"/>
  <c r="T171" i="129"/>
  <c r="T171" i="128"/>
  <c r="T157" i="127"/>
  <c r="T126" i="127"/>
  <c r="T65" i="128"/>
  <c r="T109" i="128"/>
  <c r="T126" i="128"/>
  <c r="T88" i="128"/>
  <c r="T66" i="129"/>
  <c r="T185" i="129"/>
  <c r="T110" i="128"/>
  <c r="T80" i="128"/>
  <c r="T80" i="127"/>
  <c r="T110" i="127"/>
  <c r="T173" i="128"/>
  <c r="T65" i="127"/>
  <c r="T173" i="127"/>
  <c r="T66" i="128"/>
  <c r="T158" i="129"/>
  <c r="T140" i="129"/>
  <c r="T184" i="127"/>
  <c r="T173" i="129"/>
  <c r="T80" i="129"/>
  <c r="T158" i="127"/>
  <c r="T88" i="127"/>
  <c r="T158" i="128"/>
  <c r="T109" i="129"/>
  <c r="T183" i="128"/>
  <c r="T90" i="128"/>
  <c r="T139" i="128"/>
  <c r="T88" i="129"/>
  <c r="T89" i="128"/>
  <c r="T138" i="127"/>
  <c r="T81" i="128"/>
  <c r="T92" i="128"/>
  <c r="T128" i="128"/>
  <c r="T155" i="127"/>
  <c r="T186" i="129"/>
  <c r="T128" i="129"/>
  <c r="T67" i="128"/>
  <c r="T90" i="127"/>
  <c r="T174" i="127"/>
  <c r="T89" i="127"/>
  <c r="T81" i="127"/>
  <c r="T90" i="129"/>
  <c r="T140" i="128"/>
  <c r="T111" i="127"/>
  <c r="T67" i="129"/>
  <c r="T66" i="127"/>
  <c r="T155" i="129"/>
  <c r="T174" i="129"/>
  <c r="T110" i="129"/>
  <c r="T111" i="128"/>
  <c r="T91" i="128"/>
  <c r="T155" i="128"/>
  <c r="T174" i="128"/>
  <c r="T128" i="127"/>
  <c r="T139" i="127"/>
  <c r="T141" i="129"/>
  <c r="T81" i="129"/>
  <c r="T89" i="129"/>
  <c r="T184" i="128"/>
  <c r="T185" i="127"/>
  <c r="T187" i="129"/>
  <c r="T93" i="128"/>
  <c r="T156" i="127"/>
  <c r="T91" i="127"/>
  <c r="T156" i="129"/>
  <c r="T175" i="128"/>
  <c r="T112" i="127"/>
  <c r="T67" i="127"/>
  <c r="T68" i="129"/>
  <c r="T111" i="129"/>
  <c r="T129" i="128"/>
  <c r="T82" i="128"/>
  <c r="T140" i="127"/>
  <c r="T175" i="129"/>
  <c r="T142" i="129"/>
  <c r="T112" i="128"/>
  <c r="T92" i="129"/>
  <c r="T185" i="128"/>
  <c r="T156" i="128"/>
  <c r="T92" i="127"/>
  <c r="T91" i="129"/>
  <c r="T129" i="129"/>
  <c r="T82" i="129"/>
  <c r="T68" i="128"/>
  <c r="T175" i="127"/>
  <c r="T129" i="127"/>
  <c r="T186" i="127"/>
  <c r="T82" i="127"/>
  <c r="T141" i="128"/>
  <c r="T94" i="128"/>
  <c r="T130" i="129"/>
  <c r="T142" i="128"/>
  <c r="T68" i="127"/>
  <c r="T176" i="129"/>
  <c r="T186" i="128"/>
  <c r="T176" i="128"/>
  <c r="T95" i="128"/>
  <c r="T94" i="129"/>
  <c r="T187" i="127"/>
  <c r="T153" i="129"/>
  <c r="T153" i="128"/>
  <c r="T93" i="127"/>
  <c r="T141" i="127"/>
  <c r="T130" i="128"/>
  <c r="T69" i="128"/>
  <c r="T112" i="129"/>
  <c r="T93" i="129"/>
  <c r="T69" i="129"/>
  <c r="T130" i="127"/>
  <c r="T189" i="129"/>
  <c r="T113" i="128"/>
  <c r="T94" i="127"/>
  <c r="T113" i="127"/>
  <c r="T143" i="129"/>
  <c r="T188" i="129"/>
  <c r="T153" i="127"/>
  <c r="T176" i="127"/>
  <c r="T95" i="129"/>
  <c r="T70" i="129"/>
  <c r="T131" i="129"/>
  <c r="T154" i="129"/>
  <c r="T154" i="128"/>
  <c r="T114" i="127"/>
  <c r="T177" i="127"/>
  <c r="T113" i="129"/>
  <c r="T96" i="128"/>
  <c r="T142" i="127"/>
  <c r="T189" i="127"/>
  <c r="T177" i="128"/>
  <c r="T70" i="128"/>
  <c r="T114" i="128"/>
  <c r="T131" i="127"/>
  <c r="T95" i="127"/>
  <c r="T144" i="129"/>
  <c r="T143" i="128"/>
  <c r="T131" i="128"/>
  <c r="T187" i="128"/>
  <c r="T69" i="127"/>
  <c r="T154" i="127"/>
  <c r="T188" i="127"/>
  <c r="T177" i="129"/>
  <c r="T70" i="127"/>
  <c r="T143" i="127"/>
  <c r="T144" i="128"/>
  <c r="T71" i="129"/>
  <c r="T114" i="129"/>
  <c r="T132" i="128"/>
  <c r="T132" i="127"/>
  <c r="T159" i="127"/>
  <c r="T96" i="129"/>
  <c r="T159" i="129"/>
  <c r="T145" i="129"/>
  <c r="T71" i="128"/>
  <c r="T97" i="128"/>
  <c r="T188" i="128"/>
  <c r="T132" i="129"/>
  <c r="T115" i="128"/>
  <c r="T115" i="127"/>
  <c r="T96" i="127"/>
  <c r="T189" i="128"/>
  <c r="T159" i="128"/>
  <c r="T160" i="128"/>
  <c r="T97" i="127"/>
  <c r="T160" i="127"/>
  <c r="T72" i="129"/>
  <c r="T98" i="128"/>
  <c r="T146" i="129"/>
  <c r="T71" i="127"/>
  <c r="T72" i="128"/>
  <c r="T116" i="127"/>
  <c r="T115" i="129"/>
  <c r="T116" i="128"/>
  <c r="T145" i="128"/>
  <c r="T160" i="129"/>
  <c r="T97" i="129"/>
  <c r="T144" i="127"/>
  <c r="T98" i="127"/>
  <c r="T116" i="129"/>
  <c r="T161" i="129"/>
  <c r="T73" i="129"/>
  <c r="T100" i="128"/>
  <c r="T161" i="127"/>
  <c r="T98" i="129"/>
  <c r="T161" i="128"/>
  <c r="T117" i="128"/>
  <c r="T72" i="127"/>
  <c r="T145" i="127"/>
  <c r="T147" i="129"/>
  <c r="T117" i="127"/>
  <c r="T146" i="128"/>
  <c r="T73" i="128"/>
  <c r="T163" i="129"/>
  <c r="T147" i="128"/>
  <c r="T118" i="127"/>
  <c r="T74" i="129"/>
  <c r="T100" i="127"/>
  <c r="T74" i="128"/>
  <c r="T118" i="128"/>
  <c r="T163" i="128"/>
  <c r="T73" i="127"/>
  <c r="T100" i="129"/>
  <c r="T102" i="128"/>
  <c r="T146" i="127"/>
  <c r="T163" i="127"/>
  <c r="T117" i="129"/>
  <c r="T147" i="127"/>
  <c r="T74" i="127"/>
  <c r="T119" i="128"/>
  <c r="T164" i="128"/>
  <c r="T118" i="129"/>
  <c r="T103" i="128"/>
  <c r="T164" i="129"/>
  <c r="T102" i="127"/>
  <c r="T102" i="129"/>
  <c r="T164" i="127"/>
  <c r="T119" i="127"/>
  <c r="T165" i="129"/>
  <c r="T119" i="129"/>
  <c r="T120" i="128"/>
  <c r="T103" i="129"/>
  <c r="T165" i="128"/>
  <c r="T103" i="127"/>
  <c r="T120" i="127"/>
  <c r="T165" i="127"/>
  <c r="T120" i="129"/>
  <c r="F184" i="129"/>
  <c r="F184" i="128"/>
  <c r="F184" i="127"/>
  <c r="F189" i="128"/>
  <c r="F189" i="127"/>
  <c r="F189" i="129"/>
  <c r="F187" i="128"/>
  <c r="F187" i="127"/>
  <c r="F187" i="129"/>
  <c r="F185" i="129"/>
  <c r="F185" i="128"/>
  <c r="F185" i="127"/>
  <c r="F186" i="129"/>
  <c r="F186" i="128"/>
  <c r="F186" i="127"/>
  <c r="N167" i="52"/>
  <c r="M167" i="52"/>
  <c r="J167" i="52"/>
  <c r="F167" i="52"/>
  <c r="T165" i="52"/>
  <c r="BH165" i="52" s="1"/>
  <c r="T119" i="52"/>
  <c r="BH119" i="52" s="1"/>
  <c r="X119" i="52" s="1"/>
  <c r="T183" i="52"/>
  <c r="T171" i="52"/>
  <c r="T138" i="52"/>
  <c r="T80" i="52"/>
  <c r="T109" i="52"/>
  <c r="T157" i="52"/>
  <c r="BH157" i="52" s="1"/>
  <c r="T126" i="52"/>
  <c r="T184" i="52"/>
  <c r="T88" i="52"/>
  <c r="T65" i="52"/>
  <c r="T81" i="52"/>
  <c r="T158" i="52"/>
  <c r="BH158" i="52" s="1"/>
  <c r="T173" i="52"/>
  <c r="T110" i="52"/>
  <c r="T139" i="52"/>
  <c r="T185" i="52"/>
  <c r="T66" i="52"/>
  <c r="T90" i="52"/>
  <c r="T128" i="52"/>
  <c r="T111" i="52"/>
  <c r="T82" i="52"/>
  <c r="T174" i="52"/>
  <c r="T89" i="52"/>
  <c r="T155" i="52"/>
  <c r="BH155" i="52" s="1"/>
  <c r="T140" i="52"/>
  <c r="T67" i="52"/>
  <c r="T186" i="52"/>
  <c r="T129" i="52"/>
  <c r="T141" i="52"/>
  <c r="T92" i="52"/>
  <c r="T112" i="52"/>
  <c r="T156" i="52"/>
  <c r="BH156" i="52" s="1"/>
  <c r="T175" i="52"/>
  <c r="T91" i="52"/>
  <c r="T187" i="52"/>
  <c r="T130" i="52"/>
  <c r="T142" i="52"/>
  <c r="T68" i="52"/>
  <c r="T93" i="52"/>
  <c r="T153" i="52"/>
  <c r="BH153" i="52" s="1"/>
  <c r="T176" i="52"/>
  <c r="T113" i="52"/>
  <c r="T94" i="52"/>
  <c r="T189" i="52"/>
  <c r="T69" i="52"/>
  <c r="T131" i="52"/>
  <c r="T188" i="52"/>
  <c r="T114" i="52"/>
  <c r="T70" i="52"/>
  <c r="T177" i="52"/>
  <c r="T143" i="52"/>
  <c r="T95" i="52"/>
  <c r="T154" i="52"/>
  <c r="BH154" i="52" s="1"/>
  <c r="T71" i="52"/>
  <c r="T159" i="52"/>
  <c r="BH159" i="52" s="1"/>
  <c r="T132" i="52"/>
  <c r="T160" i="52"/>
  <c r="BH160" i="52" s="1"/>
  <c r="T96" i="52"/>
  <c r="T115" i="52"/>
  <c r="T144" i="52"/>
  <c r="T161" i="52"/>
  <c r="BH161" i="52" s="1"/>
  <c r="T97" i="52"/>
  <c r="T72" i="52"/>
  <c r="T145" i="52"/>
  <c r="T116" i="52"/>
  <c r="T98" i="52"/>
  <c r="T163" i="52"/>
  <c r="BH163" i="52" s="1"/>
  <c r="T146" i="52"/>
  <c r="T73" i="52"/>
  <c r="T117" i="52"/>
  <c r="T74" i="52"/>
  <c r="T147" i="52"/>
  <c r="BH147" i="52" s="1"/>
  <c r="X147" i="52" s="1"/>
  <c r="T164" i="52"/>
  <c r="BH164" i="52" s="1"/>
  <c r="T100" i="52"/>
  <c r="T118" i="52"/>
  <c r="BH118" i="52" s="1"/>
  <c r="X118" i="52" s="1"/>
  <c r="T102" i="52"/>
  <c r="BH102" i="52" s="1"/>
  <c r="X102" i="52" s="1"/>
  <c r="X167" i="52"/>
  <c r="W167" i="52"/>
  <c r="Z167" i="52"/>
  <c r="AA167" i="52"/>
  <c r="T120" i="52"/>
  <c r="BH120" i="52" s="1"/>
  <c r="X120" i="52" s="1"/>
  <c r="T103" i="52"/>
  <c r="BH103" i="52" s="1"/>
  <c r="X103" i="52" s="1"/>
  <c r="F185" i="52"/>
  <c r="M8" i="52" s="1"/>
  <c r="F186" i="52"/>
  <c r="M9" i="52" s="1"/>
  <c r="F189" i="52"/>
  <c r="M11" i="52" s="1"/>
  <c r="F187" i="52"/>
  <c r="F190" i="52"/>
  <c r="F183" i="52"/>
  <c r="M6" i="52" s="1"/>
  <c r="F184" i="52"/>
  <c r="M7" i="52" s="1"/>
  <c r="C120" i="52"/>
  <c r="N119" i="52"/>
  <c r="C150" i="52"/>
  <c r="N148" i="52"/>
  <c r="N149" i="52" s="1"/>
  <c r="N102" i="52"/>
  <c r="C103" i="52"/>
  <c r="B104" i="52"/>
  <c r="B105" i="52" s="1"/>
  <c r="N164" i="52"/>
  <c r="C165" i="52"/>
  <c r="B168" i="52"/>
  <c r="B121" i="52"/>
  <c r="B122" i="52" s="1"/>
  <c r="S188" i="52"/>
  <c r="S265" i="7"/>
  <c r="O265" i="7"/>
  <c r="Z265" i="7"/>
  <c r="H265" i="7"/>
  <c r="J265" i="7"/>
  <c r="X265" i="7"/>
  <c r="Q265" i="7"/>
  <c r="F265" i="7"/>
  <c r="C209" i="7"/>
  <c r="C220" i="7" s="1"/>
  <c r="C210" i="7"/>
  <c r="C211" i="7"/>
  <c r="C214" i="7"/>
  <c r="C212" i="7"/>
  <c r="C215" i="7"/>
  <c r="J246" i="7"/>
  <c r="H246" i="7"/>
  <c r="Z246" i="7"/>
  <c r="S246" i="7"/>
  <c r="X246" i="7"/>
  <c r="O246" i="7"/>
  <c r="Q246" i="7"/>
  <c r="F246" i="7"/>
  <c r="V234" i="7"/>
  <c r="C208" i="7"/>
  <c r="F200" i="129" l="1"/>
  <c r="F200" i="128"/>
  <c r="F200" i="127"/>
  <c r="M9" i="129"/>
  <c r="S186" i="129"/>
  <c r="M186" i="129"/>
  <c r="BH147" i="128"/>
  <c r="X147" i="128" s="1"/>
  <c r="BE147" i="128"/>
  <c r="BH71" i="129"/>
  <c r="X71" i="129" s="1"/>
  <c r="BE71" i="129"/>
  <c r="BH95" i="128"/>
  <c r="X95" i="128" s="1"/>
  <c r="BE95" i="128"/>
  <c r="BH156" i="129"/>
  <c r="X156" i="129" s="1"/>
  <c r="BE156" i="129"/>
  <c r="BH81" i="127"/>
  <c r="X81" i="127" s="1"/>
  <c r="BE81" i="127"/>
  <c r="BH138" i="128"/>
  <c r="X138" i="128" s="1"/>
  <c r="BE138" i="128"/>
  <c r="BH165" i="127"/>
  <c r="X165" i="127" s="1"/>
  <c r="BE165" i="127"/>
  <c r="BH163" i="129"/>
  <c r="X163" i="129" s="1"/>
  <c r="BE163" i="129"/>
  <c r="BH145" i="129"/>
  <c r="X145" i="129" s="1"/>
  <c r="BE145" i="129"/>
  <c r="BH82" i="127"/>
  <c r="X82" i="127" s="1"/>
  <c r="BE82" i="127"/>
  <c r="BH89" i="127"/>
  <c r="X89" i="127" s="1"/>
  <c r="BE89" i="127"/>
  <c r="BH163" i="128"/>
  <c r="X163" i="128" s="1"/>
  <c r="BE163" i="128"/>
  <c r="BH97" i="129"/>
  <c r="X97" i="129" s="1"/>
  <c r="BE97" i="129"/>
  <c r="BH143" i="127"/>
  <c r="X143" i="127" s="1"/>
  <c r="BE143" i="127"/>
  <c r="BH113" i="128"/>
  <c r="X113" i="128" s="1"/>
  <c r="BE113" i="128"/>
  <c r="BH156" i="127"/>
  <c r="X156" i="127" s="1"/>
  <c r="BE156" i="127"/>
  <c r="BH155" i="129"/>
  <c r="X155" i="129" s="1"/>
  <c r="BE155" i="129"/>
  <c r="BH66" i="128"/>
  <c r="X66" i="128" s="1"/>
  <c r="BE66" i="128"/>
  <c r="BH171" i="127"/>
  <c r="X171" i="127" s="1"/>
  <c r="BE171" i="127"/>
  <c r="M6" i="127"/>
  <c r="S183" i="127"/>
  <c r="M8" i="127"/>
  <c r="S185" i="127"/>
  <c r="M185" i="127"/>
  <c r="M11" i="128"/>
  <c r="S189" i="128"/>
  <c r="BH103" i="127"/>
  <c r="X103" i="127" s="1"/>
  <c r="BE103" i="127"/>
  <c r="BH102" i="129"/>
  <c r="X102" i="129" s="1"/>
  <c r="BE102" i="129"/>
  <c r="BH147" i="127"/>
  <c r="X147" i="127" s="1"/>
  <c r="BE147" i="127"/>
  <c r="BH118" i="128"/>
  <c r="X118" i="128" s="1"/>
  <c r="BE118" i="128"/>
  <c r="BH146" i="128"/>
  <c r="X146" i="128" s="1"/>
  <c r="BE146" i="128"/>
  <c r="BH161" i="127"/>
  <c r="X161" i="127" s="1"/>
  <c r="BE161" i="127"/>
  <c r="BH160" i="129"/>
  <c r="X160" i="129" s="1"/>
  <c r="BE160" i="129"/>
  <c r="BH98" i="128"/>
  <c r="X98" i="128" s="1"/>
  <c r="BE98" i="128"/>
  <c r="BH115" i="127"/>
  <c r="X115" i="127" s="1"/>
  <c r="BE115" i="127"/>
  <c r="BH96" i="129"/>
  <c r="X96" i="129" s="1"/>
  <c r="BE96" i="129"/>
  <c r="BH70" i="127"/>
  <c r="X70" i="127" s="1"/>
  <c r="BE70" i="127"/>
  <c r="BH144" i="129"/>
  <c r="X144" i="129" s="1"/>
  <c r="BE144" i="129"/>
  <c r="BH96" i="128"/>
  <c r="X96" i="128" s="1"/>
  <c r="BE96" i="128"/>
  <c r="BH95" i="129"/>
  <c r="X95" i="129" s="1"/>
  <c r="BE95" i="129"/>
  <c r="BH93" i="127"/>
  <c r="X93" i="127" s="1"/>
  <c r="BE93" i="127"/>
  <c r="BH176" i="129"/>
  <c r="X176" i="129" s="1"/>
  <c r="BE176" i="129"/>
  <c r="BH129" i="127"/>
  <c r="X129" i="127" s="1"/>
  <c r="BE129" i="127"/>
  <c r="BH111" i="129"/>
  <c r="X111" i="129" s="1"/>
  <c r="BE111" i="129"/>
  <c r="BH93" i="128"/>
  <c r="X93" i="128" s="1"/>
  <c r="BE93" i="128"/>
  <c r="BH128" i="127"/>
  <c r="X128" i="127" s="1"/>
  <c r="BE128" i="127"/>
  <c r="BH66" i="127"/>
  <c r="X66" i="127" s="1"/>
  <c r="BE66" i="127"/>
  <c r="BH90" i="127"/>
  <c r="X90" i="127" s="1"/>
  <c r="BE90" i="127"/>
  <c r="BH138" i="127"/>
  <c r="X138" i="127" s="1"/>
  <c r="BE138" i="127"/>
  <c r="BH88" i="127"/>
  <c r="X88" i="127" s="1"/>
  <c r="BE88" i="127"/>
  <c r="BH173" i="127"/>
  <c r="X173" i="127" s="1"/>
  <c r="BE173" i="127"/>
  <c r="BH66" i="129"/>
  <c r="X66" i="129" s="1"/>
  <c r="BE66" i="129"/>
  <c r="BH171" i="129"/>
  <c r="X171" i="129" s="1"/>
  <c r="BE171" i="129"/>
  <c r="BH157" i="128"/>
  <c r="X157" i="128" s="1"/>
  <c r="BE157" i="128"/>
  <c r="BH165" i="129"/>
  <c r="X165" i="129" s="1"/>
  <c r="BE165" i="129"/>
  <c r="BH98" i="127"/>
  <c r="X98" i="127" s="1"/>
  <c r="BE98" i="127"/>
  <c r="BH113" i="127"/>
  <c r="X113" i="127" s="1"/>
  <c r="BE113" i="127"/>
  <c r="BH140" i="127"/>
  <c r="X140" i="127" s="1"/>
  <c r="BE140" i="127"/>
  <c r="BH110" i="129"/>
  <c r="X110" i="129" s="1"/>
  <c r="BE110" i="129"/>
  <c r="BH140" i="129"/>
  <c r="X140" i="129" s="1"/>
  <c r="BE140" i="129"/>
  <c r="M6" i="128"/>
  <c r="S183" i="128"/>
  <c r="M11" i="129"/>
  <c r="S189" i="129"/>
  <c r="BH144" i="127"/>
  <c r="X144" i="127" s="1"/>
  <c r="BE144" i="127"/>
  <c r="BH131" i="128"/>
  <c r="X131" i="128" s="1"/>
  <c r="BE131" i="128"/>
  <c r="BH130" i="128"/>
  <c r="X130" i="128" s="1"/>
  <c r="BE130" i="128"/>
  <c r="BH91" i="127"/>
  <c r="X91" i="127" s="1"/>
  <c r="BE91" i="127"/>
  <c r="BH109" i="129"/>
  <c r="X109" i="129" s="1"/>
  <c r="BE109" i="129"/>
  <c r="M11" i="127"/>
  <c r="S189" i="127"/>
  <c r="M189" i="127"/>
  <c r="M199" i="127" s="1"/>
  <c r="M417" i="127" s="1"/>
  <c r="BH73" i="128"/>
  <c r="X73" i="128" s="1"/>
  <c r="BE73" i="128"/>
  <c r="BH96" i="127"/>
  <c r="X96" i="127" s="1"/>
  <c r="BE96" i="127"/>
  <c r="BH142" i="127"/>
  <c r="X142" i="127" s="1"/>
  <c r="BE142" i="127"/>
  <c r="BH129" i="128"/>
  <c r="X129" i="128" s="1"/>
  <c r="BE129" i="128"/>
  <c r="BH174" i="127"/>
  <c r="X174" i="127" s="1"/>
  <c r="BE174" i="127"/>
  <c r="BH171" i="128"/>
  <c r="X171" i="128" s="1"/>
  <c r="BE171" i="128"/>
  <c r="M8" i="128"/>
  <c r="S185" i="128"/>
  <c r="BH165" i="128"/>
  <c r="X165" i="128" s="1"/>
  <c r="BE165" i="128"/>
  <c r="BH102" i="127"/>
  <c r="X102" i="127" s="1"/>
  <c r="BE102" i="127"/>
  <c r="BH117" i="129"/>
  <c r="X117" i="129" s="1"/>
  <c r="BE117" i="129"/>
  <c r="BH74" i="128"/>
  <c r="X74" i="128" s="1"/>
  <c r="BE74" i="128"/>
  <c r="BH117" i="127"/>
  <c r="X117" i="127" s="1"/>
  <c r="BE117" i="127"/>
  <c r="BH100" i="128"/>
  <c r="X100" i="128" s="1"/>
  <c r="BE100" i="128"/>
  <c r="BH145" i="128"/>
  <c r="X145" i="128" s="1"/>
  <c r="BE145" i="128"/>
  <c r="BH72" i="129"/>
  <c r="X72" i="129" s="1"/>
  <c r="BE72" i="129"/>
  <c r="BH115" i="128"/>
  <c r="X115" i="128" s="1"/>
  <c r="BE115" i="128"/>
  <c r="BH159" i="127"/>
  <c r="X159" i="127" s="1"/>
  <c r="BE159" i="127"/>
  <c r="BH177" i="129"/>
  <c r="X177" i="129" s="1"/>
  <c r="BE177" i="129"/>
  <c r="BH95" i="127"/>
  <c r="X95" i="127" s="1"/>
  <c r="BE95" i="127"/>
  <c r="BH113" i="129"/>
  <c r="X113" i="129" s="1"/>
  <c r="BE113" i="129"/>
  <c r="BH176" i="127"/>
  <c r="X176" i="127" s="1"/>
  <c r="BE176" i="127"/>
  <c r="BH130" i="127"/>
  <c r="X130" i="127" s="1"/>
  <c r="BE130" i="127"/>
  <c r="BH153" i="128"/>
  <c r="X153" i="128" s="1"/>
  <c r="BE153" i="128"/>
  <c r="BH68" i="127"/>
  <c r="X68" i="127" s="1"/>
  <c r="BE68" i="127"/>
  <c r="BH175" i="127"/>
  <c r="X175" i="127" s="1"/>
  <c r="BE175" i="127"/>
  <c r="BH92" i="129"/>
  <c r="X92" i="129" s="1"/>
  <c r="BE92" i="129"/>
  <c r="BH68" i="129"/>
  <c r="X68" i="129" s="1"/>
  <c r="BE68" i="129"/>
  <c r="BH174" i="128"/>
  <c r="X174" i="128" s="1"/>
  <c r="BE174" i="128"/>
  <c r="BH67" i="129"/>
  <c r="X67" i="129" s="1"/>
  <c r="BE67" i="129"/>
  <c r="BH67" i="128"/>
  <c r="X67" i="128" s="1"/>
  <c r="BE67" i="128"/>
  <c r="BH89" i="128"/>
  <c r="X89" i="128" s="1"/>
  <c r="BE89" i="128"/>
  <c r="BH158" i="127"/>
  <c r="X158" i="127" s="1"/>
  <c r="BE158" i="127"/>
  <c r="BH65" i="127"/>
  <c r="X65" i="127" s="1"/>
  <c r="BE65" i="127"/>
  <c r="BH88" i="128"/>
  <c r="X88" i="128" s="1"/>
  <c r="BE88" i="128"/>
  <c r="BH65" i="129"/>
  <c r="X65" i="129" s="1"/>
  <c r="BE65" i="129"/>
  <c r="M10" i="128"/>
  <c r="S187" i="128"/>
  <c r="BH164" i="128"/>
  <c r="X164" i="128" s="1"/>
  <c r="BE164" i="128"/>
  <c r="BH72" i="128"/>
  <c r="X72" i="128" s="1"/>
  <c r="BE72" i="128"/>
  <c r="BH177" i="128"/>
  <c r="X177" i="128" s="1"/>
  <c r="BE177" i="128"/>
  <c r="BH141" i="128"/>
  <c r="X141" i="128" s="1"/>
  <c r="BE141" i="128"/>
  <c r="BH81" i="129"/>
  <c r="X81" i="129" s="1"/>
  <c r="BE81" i="129"/>
  <c r="BH128" i="128"/>
  <c r="X128" i="128" s="1"/>
  <c r="BE128" i="128"/>
  <c r="BH126" i="127"/>
  <c r="X126" i="127" s="1"/>
  <c r="BE126" i="127"/>
  <c r="BH73" i="127"/>
  <c r="X73" i="127" s="1"/>
  <c r="BE73" i="127"/>
  <c r="BH161" i="128"/>
  <c r="X161" i="128" s="1"/>
  <c r="BE161" i="128"/>
  <c r="BH144" i="128"/>
  <c r="X144" i="128" s="1"/>
  <c r="BE144" i="128"/>
  <c r="BH176" i="128"/>
  <c r="X176" i="128" s="1"/>
  <c r="BE176" i="128"/>
  <c r="BH141" i="129"/>
  <c r="X141" i="129" s="1"/>
  <c r="BE141" i="129"/>
  <c r="BH92" i="128"/>
  <c r="X92" i="128" s="1"/>
  <c r="BE92" i="128"/>
  <c r="BH110" i="128"/>
  <c r="X110" i="128" s="1"/>
  <c r="BE110" i="128"/>
  <c r="M6" i="129"/>
  <c r="S183" i="129"/>
  <c r="BH74" i="127"/>
  <c r="X74" i="127" s="1"/>
  <c r="BE74" i="127"/>
  <c r="BH98" i="129"/>
  <c r="X98" i="129" s="1"/>
  <c r="BE98" i="129"/>
  <c r="BH159" i="129"/>
  <c r="X159" i="129" s="1"/>
  <c r="BE159" i="129"/>
  <c r="BH70" i="129"/>
  <c r="X70" i="129" s="1"/>
  <c r="BE70" i="129"/>
  <c r="BH139" i="127"/>
  <c r="X139" i="127" s="1"/>
  <c r="BE139" i="127"/>
  <c r="BH158" i="128"/>
  <c r="X158" i="128" s="1"/>
  <c r="BE158" i="128"/>
  <c r="M8" i="129"/>
  <c r="S185" i="129"/>
  <c r="M7" i="127"/>
  <c r="S184" i="127"/>
  <c r="BH103" i="129"/>
  <c r="X103" i="129" s="1"/>
  <c r="BE103" i="129"/>
  <c r="BH164" i="129"/>
  <c r="X164" i="129" s="1"/>
  <c r="BE164" i="129"/>
  <c r="BH163" i="127"/>
  <c r="X163" i="127" s="1"/>
  <c r="BE163" i="127"/>
  <c r="BH100" i="127"/>
  <c r="X100" i="127" s="1"/>
  <c r="BE100" i="127"/>
  <c r="BH147" i="129"/>
  <c r="X147" i="129" s="1"/>
  <c r="BE147" i="129"/>
  <c r="BH73" i="129"/>
  <c r="X73" i="129" s="1"/>
  <c r="BE73" i="129"/>
  <c r="BH116" i="128"/>
  <c r="X116" i="128" s="1"/>
  <c r="BE116" i="128"/>
  <c r="BH160" i="127"/>
  <c r="X160" i="127" s="1"/>
  <c r="BE160" i="127"/>
  <c r="BH132" i="129"/>
  <c r="X132" i="129" s="1"/>
  <c r="BE132" i="129"/>
  <c r="BH132" i="127"/>
  <c r="X132" i="127" s="1"/>
  <c r="BE132" i="127"/>
  <c r="BH131" i="127"/>
  <c r="X131" i="127" s="1"/>
  <c r="BE131" i="127"/>
  <c r="BH177" i="127"/>
  <c r="X177" i="127" s="1"/>
  <c r="BE177" i="127"/>
  <c r="BH153" i="127"/>
  <c r="X153" i="127" s="1"/>
  <c r="BE153" i="127"/>
  <c r="BH69" i="129"/>
  <c r="X69" i="129" s="1"/>
  <c r="BE69" i="129"/>
  <c r="BH153" i="129"/>
  <c r="X153" i="129" s="1"/>
  <c r="BE153" i="129"/>
  <c r="BH142" i="128"/>
  <c r="X142" i="128" s="1"/>
  <c r="BE142" i="128"/>
  <c r="BH68" i="128"/>
  <c r="X68" i="128" s="1"/>
  <c r="BE68" i="128"/>
  <c r="BH112" i="128"/>
  <c r="X112" i="128" s="1"/>
  <c r="BE112" i="128"/>
  <c r="BH67" i="127"/>
  <c r="X67" i="127" s="1"/>
  <c r="BE67" i="127"/>
  <c r="BH155" i="128"/>
  <c r="X155" i="128" s="1"/>
  <c r="BE155" i="128"/>
  <c r="BH111" i="127"/>
  <c r="X111" i="127" s="1"/>
  <c r="BE111" i="127"/>
  <c r="BH128" i="129"/>
  <c r="X128" i="129" s="1"/>
  <c r="BE128" i="129"/>
  <c r="BH88" i="129"/>
  <c r="X88" i="129" s="1"/>
  <c r="BE88" i="129"/>
  <c r="BH80" i="129"/>
  <c r="X80" i="129" s="1"/>
  <c r="BE80" i="129"/>
  <c r="BH173" i="128"/>
  <c r="X173" i="128" s="1"/>
  <c r="BE173" i="128"/>
  <c r="BH126" i="128"/>
  <c r="X126" i="128" s="1"/>
  <c r="BE126" i="128"/>
  <c r="BH126" i="129"/>
  <c r="X126" i="129" s="1"/>
  <c r="BE126" i="129"/>
  <c r="BH157" i="129"/>
  <c r="X157" i="129" s="1"/>
  <c r="BE157" i="129"/>
  <c r="BH120" i="129"/>
  <c r="X120" i="129" s="1"/>
  <c r="BE120" i="129"/>
  <c r="BH117" i="128"/>
  <c r="X117" i="128" s="1"/>
  <c r="BE117" i="128"/>
  <c r="BH71" i="128"/>
  <c r="X71" i="128" s="1"/>
  <c r="BE71" i="128"/>
  <c r="BH69" i="128"/>
  <c r="X69" i="128" s="1"/>
  <c r="BE69" i="128"/>
  <c r="BH91" i="129"/>
  <c r="X91" i="129" s="1"/>
  <c r="BE91" i="129"/>
  <c r="BH80" i="128"/>
  <c r="X80" i="128" s="1"/>
  <c r="BE80" i="128"/>
  <c r="BH119" i="128"/>
  <c r="X119" i="128" s="1"/>
  <c r="BE119" i="128"/>
  <c r="BH131" i="129"/>
  <c r="X131" i="129" s="1"/>
  <c r="BE131" i="129"/>
  <c r="BH92" i="127"/>
  <c r="X92" i="127" s="1"/>
  <c r="BE92" i="127"/>
  <c r="BH158" i="129"/>
  <c r="X158" i="129" s="1"/>
  <c r="BE158" i="129"/>
  <c r="BH120" i="127"/>
  <c r="X120" i="127" s="1"/>
  <c r="BE120" i="127"/>
  <c r="M9" i="127"/>
  <c r="S186" i="127"/>
  <c r="M186" i="127"/>
  <c r="M10" i="129"/>
  <c r="S187" i="129"/>
  <c r="M7" i="128"/>
  <c r="S184" i="128"/>
  <c r="BH120" i="128"/>
  <c r="X120" i="128" s="1"/>
  <c r="BE120" i="128"/>
  <c r="BH103" i="128"/>
  <c r="X103" i="128" s="1"/>
  <c r="BE103" i="128"/>
  <c r="BH146" i="127"/>
  <c r="X146" i="127" s="1"/>
  <c r="BE146" i="127"/>
  <c r="BH74" i="129"/>
  <c r="X74" i="129" s="1"/>
  <c r="BE74" i="129"/>
  <c r="BH145" i="127"/>
  <c r="X145" i="127" s="1"/>
  <c r="BE145" i="127"/>
  <c r="BH161" i="129"/>
  <c r="X161" i="129" s="1"/>
  <c r="BE161" i="129"/>
  <c r="BH115" i="129"/>
  <c r="X115" i="129" s="1"/>
  <c r="BE115" i="129"/>
  <c r="BH97" i="127"/>
  <c r="X97" i="127" s="1"/>
  <c r="BE97" i="127"/>
  <c r="BH132" i="128"/>
  <c r="X132" i="128" s="1"/>
  <c r="BE132" i="128"/>
  <c r="BH154" i="127"/>
  <c r="X154" i="127" s="1"/>
  <c r="BE154" i="127"/>
  <c r="BH114" i="128"/>
  <c r="X114" i="128" s="1"/>
  <c r="BE114" i="128"/>
  <c r="BH114" i="127"/>
  <c r="X114" i="127" s="1"/>
  <c r="BE114" i="127"/>
  <c r="BH93" i="129"/>
  <c r="X93" i="129" s="1"/>
  <c r="BE93" i="129"/>
  <c r="BH130" i="129"/>
  <c r="X130" i="129" s="1"/>
  <c r="BE130" i="129"/>
  <c r="BH82" i="129"/>
  <c r="X82" i="129" s="1"/>
  <c r="BE82" i="129"/>
  <c r="BH142" i="129"/>
  <c r="X142" i="129" s="1"/>
  <c r="BE142" i="129"/>
  <c r="BH112" i="127"/>
  <c r="X112" i="127" s="1"/>
  <c r="BE112" i="127"/>
  <c r="BH91" i="128"/>
  <c r="X91" i="128" s="1"/>
  <c r="BE91" i="128"/>
  <c r="BH140" i="128"/>
  <c r="X140" i="128" s="1"/>
  <c r="BE140" i="128"/>
  <c r="BH139" i="128"/>
  <c r="X139" i="128" s="1"/>
  <c r="BE139" i="128"/>
  <c r="BH173" i="129"/>
  <c r="X173" i="129" s="1"/>
  <c r="BE173" i="129"/>
  <c r="BH110" i="127"/>
  <c r="X110" i="127" s="1"/>
  <c r="BE110" i="127"/>
  <c r="BH109" i="128"/>
  <c r="X109" i="128" s="1"/>
  <c r="BE109" i="128"/>
  <c r="BH138" i="129"/>
  <c r="X138" i="129" s="1"/>
  <c r="BE138" i="129"/>
  <c r="BH139" i="129"/>
  <c r="X139" i="129" s="1"/>
  <c r="BE139" i="129"/>
  <c r="BH100" i="129"/>
  <c r="X100" i="129" s="1"/>
  <c r="BE100" i="129"/>
  <c r="BH159" i="128"/>
  <c r="X159" i="128" s="1"/>
  <c r="BE159" i="128"/>
  <c r="BH154" i="129"/>
  <c r="X154" i="129" s="1"/>
  <c r="BE154" i="129"/>
  <c r="BH119" i="127"/>
  <c r="X119" i="127" s="1"/>
  <c r="BE119" i="127"/>
  <c r="BH71" i="127"/>
  <c r="X71" i="127" s="1"/>
  <c r="BE71" i="127"/>
  <c r="BH94" i="127"/>
  <c r="X94" i="127" s="1"/>
  <c r="BE94" i="127"/>
  <c r="BH82" i="128"/>
  <c r="X82" i="128" s="1"/>
  <c r="BE82" i="128"/>
  <c r="BH174" i="129"/>
  <c r="X174" i="129" s="1"/>
  <c r="BE174" i="129"/>
  <c r="BH157" i="127"/>
  <c r="X157" i="127" s="1"/>
  <c r="BE157" i="127"/>
  <c r="BH164" i="127"/>
  <c r="X164" i="127" s="1"/>
  <c r="BE164" i="127"/>
  <c r="BH146" i="129"/>
  <c r="X146" i="129" s="1"/>
  <c r="BE146" i="129"/>
  <c r="BH143" i="128"/>
  <c r="X143" i="128" s="1"/>
  <c r="BE143" i="128"/>
  <c r="BH141" i="127"/>
  <c r="X141" i="127" s="1"/>
  <c r="BE141" i="127"/>
  <c r="BH156" i="128"/>
  <c r="X156" i="128" s="1"/>
  <c r="BE156" i="128"/>
  <c r="BH81" i="128"/>
  <c r="X81" i="128" s="1"/>
  <c r="BE81" i="128"/>
  <c r="BD171" i="127"/>
  <c r="BD171" i="128"/>
  <c r="BD157" i="128"/>
  <c r="BD126" i="127"/>
  <c r="BD139" i="129"/>
  <c r="BD65" i="129"/>
  <c r="BD157" i="127"/>
  <c r="BD65" i="128"/>
  <c r="BD126" i="128"/>
  <c r="BD171" i="129"/>
  <c r="BD138" i="129"/>
  <c r="BD109" i="128"/>
  <c r="BD109" i="127"/>
  <c r="BD88" i="128"/>
  <c r="BD126" i="129"/>
  <c r="BD138" i="128"/>
  <c r="BD157" i="129"/>
  <c r="BD66" i="128"/>
  <c r="BD127" i="127"/>
  <c r="BD173" i="127"/>
  <c r="BD158" i="129"/>
  <c r="BD109" i="129"/>
  <c r="BD140" i="129"/>
  <c r="BD158" i="128"/>
  <c r="BD88" i="127"/>
  <c r="BD110" i="127"/>
  <c r="BD66" i="129"/>
  <c r="BD80" i="129"/>
  <c r="BD90" i="128"/>
  <c r="BD110" i="128"/>
  <c r="BD127" i="128"/>
  <c r="BD138" i="127"/>
  <c r="BD173" i="129"/>
  <c r="BD139" i="128"/>
  <c r="BD80" i="127"/>
  <c r="BD158" i="127"/>
  <c r="BD89" i="128"/>
  <c r="BD127" i="129"/>
  <c r="BD88" i="129"/>
  <c r="BD80" i="128"/>
  <c r="BD65" i="127"/>
  <c r="BD173" i="128"/>
  <c r="BD89" i="129"/>
  <c r="BD67" i="128"/>
  <c r="BD174" i="127"/>
  <c r="BD81" i="127"/>
  <c r="BD139" i="127"/>
  <c r="BD90" i="129"/>
  <c r="BD174" i="128"/>
  <c r="BD90" i="127"/>
  <c r="BD141" i="129"/>
  <c r="BD111" i="127"/>
  <c r="BD155" i="127"/>
  <c r="BD155" i="129"/>
  <c r="BD81" i="128"/>
  <c r="BD89" i="127"/>
  <c r="BD66" i="127"/>
  <c r="BD128" i="129"/>
  <c r="BD111" i="128"/>
  <c r="BD155" i="128"/>
  <c r="BD128" i="127"/>
  <c r="BD174" i="129"/>
  <c r="BD92" i="128"/>
  <c r="BD140" i="128"/>
  <c r="BD81" i="129"/>
  <c r="BD67" i="129"/>
  <c r="BD110" i="129"/>
  <c r="BD91" i="128"/>
  <c r="BD128" i="128"/>
  <c r="BD156" i="129"/>
  <c r="BD129" i="129"/>
  <c r="BD92" i="129"/>
  <c r="BD68" i="129"/>
  <c r="BD141" i="128"/>
  <c r="BD94" i="128"/>
  <c r="BD175" i="128"/>
  <c r="BD112" i="127"/>
  <c r="BD91" i="127"/>
  <c r="BD93" i="128"/>
  <c r="BD156" i="127"/>
  <c r="BD175" i="127"/>
  <c r="BD67" i="127"/>
  <c r="BD140" i="127"/>
  <c r="BD129" i="127"/>
  <c r="BD129" i="128"/>
  <c r="BD82" i="128"/>
  <c r="BD91" i="129"/>
  <c r="BD82" i="129"/>
  <c r="BD111" i="129"/>
  <c r="BD112" i="128"/>
  <c r="BD68" i="128"/>
  <c r="BD92" i="127"/>
  <c r="BD175" i="129"/>
  <c r="BD142" i="129"/>
  <c r="BD156" i="128"/>
  <c r="BD82" i="127"/>
  <c r="BD112" i="129"/>
  <c r="BD141" i="127"/>
  <c r="BD153" i="129"/>
  <c r="BD93" i="127"/>
  <c r="BD68" i="127"/>
  <c r="BD153" i="128"/>
  <c r="BD93" i="129"/>
  <c r="BD94" i="127"/>
  <c r="BD95" i="128"/>
  <c r="BD176" i="129"/>
  <c r="BD143" i="129"/>
  <c r="BD113" i="128"/>
  <c r="BD113" i="127"/>
  <c r="BD130" i="128"/>
  <c r="BD176" i="128"/>
  <c r="BD130" i="127"/>
  <c r="BD69" i="129"/>
  <c r="BD153" i="127"/>
  <c r="BD94" i="129"/>
  <c r="BD69" i="128"/>
  <c r="BD176" i="127"/>
  <c r="BD130" i="129"/>
  <c r="BD142" i="128"/>
  <c r="BD177" i="129"/>
  <c r="BD95" i="129"/>
  <c r="BD154" i="129"/>
  <c r="BD70" i="129"/>
  <c r="BD154" i="128"/>
  <c r="BD177" i="128"/>
  <c r="BD114" i="128"/>
  <c r="BD131" i="127"/>
  <c r="BD95" i="127"/>
  <c r="BD143" i="128"/>
  <c r="BD131" i="129"/>
  <c r="BD70" i="128"/>
  <c r="BD96" i="128"/>
  <c r="BD142" i="127"/>
  <c r="BD69" i="127"/>
  <c r="BD131" i="128"/>
  <c r="BD154" i="127"/>
  <c r="BD177" i="127"/>
  <c r="BD113" i="129"/>
  <c r="BD114" i="127"/>
  <c r="BD144" i="129"/>
  <c r="BD71" i="129"/>
  <c r="BD132" i="128"/>
  <c r="BD115" i="128"/>
  <c r="BD132" i="127"/>
  <c r="BD159" i="128"/>
  <c r="BD70" i="127"/>
  <c r="BD96" i="127"/>
  <c r="BD132" i="129"/>
  <c r="BD159" i="127"/>
  <c r="BD115" i="127"/>
  <c r="BD159" i="129"/>
  <c r="BD145" i="129"/>
  <c r="BD71" i="128"/>
  <c r="BD144" i="128"/>
  <c r="BD96" i="129"/>
  <c r="BD143" i="127"/>
  <c r="BD97" i="128"/>
  <c r="BD114" i="129"/>
  <c r="BD72" i="129"/>
  <c r="BD146" i="129"/>
  <c r="BD116" i="128"/>
  <c r="BD97" i="127"/>
  <c r="BD160" i="128"/>
  <c r="BD116" i="127"/>
  <c r="BD160" i="127"/>
  <c r="BD97" i="129"/>
  <c r="BD145" i="128"/>
  <c r="BD71" i="127"/>
  <c r="BD72" i="128"/>
  <c r="BD115" i="129"/>
  <c r="BD98" i="128"/>
  <c r="BD160" i="129"/>
  <c r="BD144" i="127"/>
  <c r="BD161" i="129"/>
  <c r="BD146" i="128"/>
  <c r="BD100" i="128"/>
  <c r="BD116" i="129"/>
  <c r="BD73" i="129"/>
  <c r="BD161" i="128"/>
  <c r="BD98" i="129"/>
  <c r="BD117" i="128"/>
  <c r="BD145" i="127"/>
  <c r="BD117" i="127"/>
  <c r="BD161" i="127"/>
  <c r="BD147" i="129"/>
  <c r="BD73" i="128"/>
  <c r="BD72" i="127"/>
  <c r="BD98" i="127"/>
  <c r="BD117" i="129"/>
  <c r="BD146" i="127"/>
  <c r="BD74" i="129"/>
  <c r="BD74" i="128"/>
  <c r="BD118" i="128"/>
  <c r="BD163" i="128"/>
  <c r="BD73" i="127"/>
  <c r="BD118" i="127"/>
  <c r="BD100" i="129"/>
  <c r="BD100" i="127"/>
  <c r="BD163" i="127"/>
  <c r="BD102" i="128"/>
  <c r="BD163" i="129"/>
  <c r="BD147" i="128"/>
  <c r="BD74" i="127"/>
  <c r="BD119" i="127"/>
  <c r="BD102" i="127"/>
  <c r="BD119" i="128"/>
  <c r="BD164" i="128"/>
  <c r="BD164" i="129"/>
  <c r="BD102" i="129"/>
  <c r="BD164" i="127"/>
  <c r="BD147" i="127"/>
  <c r="BD118" i="129"/>
  <c r="BD103" i="128"/>
  <c r="BD120" i="127"/>
  <c r="BD119" i="129"/>
  <c r="BD165" i="129"/>
  <c r="BD103" i="129"/>
  <c r="BD120" i="128"/>
  <c r="BD165" i="128"/>
  <c r="BD103" i="127"/>
  <c r="BD165" i="127"/>
  <c r="BD120" i="129"/>
  <c r="M9" i="128"/>
  <c r="M186" i="128"/>
  <c r="S186" i="128"/>
  <c r="M10" i="127"/>
  <c r="S187" i="127"/>
  <c r="M7" i="129"/>
  <c r="S184" i="129"/>
  <c r="BH119" i="129"/>
  <c r="X119" i="129" s="1"/>
  <c r="BE119" i="129"/>
  <c r="BH118" i="129"/>
  <c r="X118" i="129" s="1"/>
  <c r="BE118" i="129"/>
  <c r="BH102" i="128"/>
  <c r="X102" i="128" s="1"/>
  <c r="BE102" i="128"/>
  <c r="BH118" i="127"/>
  <c r="X118" i="127" s="1"/>
  <c r="BE118" i="127"/>
  <c r="BH72" i="127"/>
  <c r="X72" i="127" s="1"/>
  <c r="BE72" i="127"/>
  <c r="BH116" i="129"/>
  <c r="X116" i="129" s="1"/>
  <c r="BE116" i="129"/>
  <c r="BH116" i="127"/>
  <c r="X116" i="127" s="1"/>
  <c r="BE116" i="127"/>
  <c r="BH160" i="128"/>
  <c r="X160" i="128" s="1"/>
  <c r="BE160" i="128"/>
  <c r="BH97" i="128"/>
  <c r="X97" i="128" s="1"/>
  <c r="BE97" i="128"/>
  <c r="BH114" i="129"/>
  <c r="X114" i="129" s="1"/>
  <c r="BE114" i="129"/>
  <c r="BH69" i="127"/>
  <c r="X69" i="127" s="1"/>
  <c r="BE69" i="127"/>
  <c r="BH70" i="128"/>
  <c r="X70" i="128" s="1"/>
  <c r="BE70" i="128"/>
  <c r="BH154" i="128"/>
  <c r="X154" i="128" s="1"/>
  <c r="BE154" i="128"/>
  <c r="BH143" i="129"/>
  <c r="X143" i="129" s="1"/>
  <c r="BE143" i="129"/>
  <c r="BH112" i="129"/>
  <c r="X112" i="129" s="1"/>
  <c r="BE112" i="129"/>
  <c r="BH94" i="129"/>
  <c r="X94" i="129" s="1"/>
  <c r="BE94" i="129"/>
  <c r="BH94" i="128"/>
  <c r="X94" i="128" s="1"/>
  <c r="BE94" i="128"/>
  <c r="BH129" i="129"/>
  <c r="X129" i="129" s="1"/>
  <c r="BE129" i="129"/>
  <c r="BH175" i="129"/>
  <c r="X175" i="129" s="1"/>
  <c r="BE175" i="129"/>
  <c r="BH175" i="128"/>
  <c r="X175" i="128" s="1"/>
  <c r="BE175" i="128"/>
  <c r="BH89" i="129"/>
  <c r="X89" i="129" s="1"/>
  <c r="BE89" i="129"/>
  <c r="BH111" i="128"/>
  <c r="X111" i="128" s="1"/>
  <c r="BE111" i="128"/>
  <c r="BH90" i="129"/>
  <c r="X90" i="129" s="1"/>
  <c r="BE90" i="129"/>
  <c r="BH155" i="127"/>
  <c r="X155" i="127" s="1"/>
  <c r="BE155" i="127"/>
  <c r="BH90" i="128"/>
  <c r="X90" i="128" s="1"/>
  <c r="BE90" i="128"/>
  <c r="BH80" i="127"/>
  <c r="X80" i="127" s="1"/>
  <c r="BE80" i="127"/>
  <c r="BH65" i="128"/>
  <c r="X65" i="128" s="1"/>
  <c r="BE65" i="128"/>
  <c r="BH109" i="127"/>
  <c r="X109" i="127" s="1"/>
  <c r="BE109" i="127"/>
  <c r="N122" i="52"/>
  <c r="M122" i="52"/>
  <c r="N105" i="52"/>
  <c r="M105" i="52"/>
  <c r="J105" i="52"/>
  <c r="F105" i="52"/>
  <c r="BE156" i="52"/>
  <c r="BE153" i="52"/>
  <c r="BE154" i="52"/>
  <c r="BD120" i="52"/>
  <c r="BE161" i="52"/>
  <c r="BE119" i="52"/>
  <c r="BE160" i="52"/>
  <c r="BE163" i="52"/>
  <c r="BE159" i="52"/>
  <c r="BE157" i="52"/>
  <c r="BD103" i="52"/>
  <c r="BE155" i="52"/>
  <c r="BD171" i="52"/>
  <c r="BD138" i="52"/>
  <c r="BD157" i="52"/>
  <c r="BD109" i="52"/>
  <c r="BD80" i="52"/>
  <c r="BD126" i="52"/>
  <c r="BD139" i="52"/>
  <c r="BD88" i="52"/>
  <c r="BD65" i="52"/>
  <c r="BD81" i="52"/>
  <c r="BD158" i="52"/>
  <c r="BD127" i="52"/>
  <c r="BD173" i="52"/>
  <c r="BD110" i="52"/>
  <c r="BD155" i="52"/>
  <c r="BD89" i="52"/>
  <c r="BD140" i="52"/>
  <c r="BD82" i="52"/>
  <c r="BD111" i="52"/>
  <c r="BD66" i="52"/>
  <c r="BD174" i="52"/>
  <c r="BD90" i="52"/>
  <c r="BD128" i="52"/>
  <c r="BD141" i="52"/>
  <c r="BD91" i="52"/>
  <c r="BD92" i="52"/>
  <c r="BD175" i="52"/>
  <c r="BD156" i="52"/>
  <c r="BD112" i="52"/>
  <c r="BD129" i="52"/>
  <c r="BD67" i="52"/>
  <c r="BD142" i="52"/>
  <c r="BD130" i="52"/>
  <c r="BD68" i="52"/>
  <c r="BD93" i="52"/>
  <c r="BD153" i="52"/>
  <c r="BD94" i="52"/>
  <c r="BD176" i="52"/>
  <c r="BD113" i="52"/>
  <c r="BD69" i="52"/>
  <c r="BD95" i="52"/>
  <c r="BD114" i="52"/>
  <c r="BD70" i="52"/>
  <c r="BD154" i="52"/>
  <c r="BD143" i="52"/>
  <c r="BD177" i="52"/>
  <c r="BD131" i="52"/>
  <c r="BD71" i="52"/>
  <c r="BD115" i="52"/>
  <c r="BD160" i="52"/>
  <c r="BD132" i="52"/>
  <c r="BD96" i="52"/>
  <c r="BD144" i="52"/>
  <c r="BD159" i="52"/>
  <c r="BD161" i="52"/>
  <c r="BD145" i="52"/>
  <c r="BD72" i="52"/>
  <c r="BD116" i="52"/>
  <c r="BD97" i="52"/>
  <c r="BD98" i="52"/>
  <c r="BD117" i="52"/>
  <c r="BD163" i="52"/>
  <c r="BD146" i="52"/>
  <c r="BD73" i="52"/>
  <c r="BD74" i="52"/>
  <c r="BD147" i="52"/>
  <c r="BD164" i="52"/>
  <c r="BD100" i="52"/>
  <c r="BD118" i="52"/>
  <c r="BD102" i="52"/>
  <c r="BD165" i="52"/>
  <c r="BD119" i="52"/>
  <c r="BE158" i="52"/>
  <c r="S189" i="52"/>
  <c r="W122" i="52"/>
  <c r="Z122" i="52"/>
  <c r="X122" i="52" s="1"/>
  <c r="AA122" i="52"/>
  <c r="X105" i="52"/>
  <c r="AA105" i="52"/>
  <c r="W105" i="52"/>
  <c r="Z105" i="52"/>
  <c r="M186" i="52"/>
  <c r="S186" i="52"/>
  <c r="BE164" i="52"/>
  <c r="BE102" i="52"/>
  <c r="BH73" i="52"/>
  <c r="X73" i="52" s="1"/>
  <c r="BE73" i="52"/>
  <c r="BH96" i="52"/>
  <c r="X96" i="52" s="1"/>
  <c r="BE96" i="52"/>
  <c r="BH176" i="52"/>
  <c r="X176" i="52" s="1"/>
  <c r="BE176" i="52"/>
  <c r="BH92" i="52"/>
  <c r="X92" i="52" s="1"/>
  <c r="BE92" i="52"/>
  <c r="BH82" i="52"/>
  <c r="X82" i="52" s="1"/>
  <c r="BE82" i="52"/>
  <c r="BH109" i="52"/>
  <c r="X109" i="52" s="1"/>
  <c r="BE109" i="52"/>
  <c r="BH98" i="52"/>
  <c r="X98" i="52" s="1"/>
  <c r="BE98" i="52"/>
  <c r="BH94" i="52"/>
  <c r="X94" i="52" s="1"/>
  <c r="BE94" i="52"/>
  <c r="BH111" i="52"/>
  <c r="X111" i="52" s="1"/>
  <c r="BE111" i="52"/>
  <c r="BH145" i="52"/>
  <c r="X145" i="52" s="1"/>
  <c r="BE145" i="52"/>
  <c r="BH70" i="52"/>
  <c r="X70" i="52" s="1"/>
  <c r="BE70" i="52"/>
  <c r="BH113" i="52"/>
  <c r="X113" i="52" s="1"/>
  <c r="BE113" i="52"/>
  <c r="BH66" i="52"/>
  <c r="X66" i="52" s="1"/>
  <c r="BE66" i="52"/>
  <c r="BH126" i="52"/>
  <c r="X126" i="52" s="1"/>
  <c r="BE126" i="52"/>
  <c r="BH72" i="52"/>
  <c r="X72" i="52" s="1"/>
  <c r="BE72" i="52"/>
  <c r="BH131" i="52"/>
  <c r="X131" i="52" s="1"/>
  <c r="BE131" i="52"/>
  <c r="BH68" i="52"/>
  <c r="X68" i="52" s="1"/>
  <c r="BE68" i="52"/>
  <c r="BH112" i="52"/>
  <c r="X112" i="52" s="1"/>
  <c r="BE112" i="52"/>
  <c r="BH174" i="52"/>
  <c r="X174" i="52" s="1"/>
  <c r="BE174" i="52"/>
  <c r="BH100" i="52"/>
  <c r="X100" i="52" s="1"/>
  <c r="BE100" i="52"/>
  <c r="BH116" i="52"/>
  <c r="X116" i="52" s="1"/>
  <c r="BE116" i="52"/>
  <c r="BH129" i="52"/>
  <c r="X129" i="52" s="1"/>
  <c r="BE129" i="52"/>
  <c r="BH65" i="52"/>
  <c r="X65" i="52" s="1"/>
  <c r="BE65" i="52"/>
  <c r="BH80" i="52"/>
  <c r="X80" i="52" s="1"/>
  <c r="BE80" i="52"/>
  <c r="BH95" i="52"/>
  <c r="X95" i="52" s="1"/>
  <c r="BE95" i="52"/>
  <c r="BH69" i="52"/>
  <c r="X69" i="52" s="1"/>
  <c r="BE69" i="52"/>
  <c r="BH141" i="52"/>
  <c r="X141" i="52" s="1"/>
  <c r="BE141" i="52"/>
  <c r="BH81" i="52"/>
  <c r="X81" i="52" s="1"/>
  <c r="BE81" i="52"/>
  <c r="BH138" i="52"/>
  <c r="X138" i="52" s="1"/>
  <c r="BE138" i="52"/>
  <c r="M10" i="52"/>
  <c r="S187" i="52"/>
  <c r="F200" i="52"/>
  <c r="BH74" i="52"/>
  <c r="X74" i="52" s="1"/>
  <c r="BE74" i="52"/>
  <c r="BH97" i="52"/>
  <c r="X97" i="52" s="1"/>
  <c r="BE97" i="52"/>
  <c r="BH142" i="52"/>
  <c r="X142" i="52" s="1"/>
  <c r="BE142" i="52"/>
  <c r="BH173" i="52"/>
  <c r="X173" i="52" s="1"/>
  <c r="BE173" i="52"/>
  <c r="BH171" i="52"/>
  <c r="X171" i="52" s="1"/>
  <c r="BE171" i="52"/>
  <c r="BH114" i="52"/>
  <c r="X114" i="52" s="1"/>
  <c r="BE114" i="52"/>
  <c r="BH130" i="52"/>
  <c r="X130" i="52" s="1"/>
  <c r="BE130" i="52"/>
  <c r="BH128" i="52"/>
  <c r="X128" i="52" s="1"/>
  <c r="BE128" i="52"/>
  <c r="BH88" i="52"/>
  <c r="X88" i="52" s="1"/>
  <c r="BE88" i="52"/>
  <c r="BE147" i="52"/>
  <c r="BH132" i="52"/>
  <c r="X132" i="52" s="1"/>
  <c r="BE132" i="52"/>
  <c r="BH177" i="52"/>
  <c r="X177" i="52" s="1"/>
  <c r="BE177" i="52"/>
  <c r="BH89" i="52"/>
  <c r="X89" i="52" s="1"/>
  <c r="BE89" i="52"/>
  <c r="BH139" i="52"/>
  <c r="X139" i="52" s="1"/>
  <c r="BE139" i="52"/>
  <c r="BH144" i="52"/>
  <c r="X144" i="52" s="1"/>
  <c r="BE144" i="52"/>
  <c r="BH143" i="52"/>
  <c r="X143" i="52" s="1"/>
  <c r="BE143" i="52"/>
  <c r="BH67" i="52"/>
  <c r="X67" i="52" s="1"/>
  <c r="BE67" i="52"/>
  <c r="BH90" i="52"/>
  <c r="X90" i="52" s="1"/>
  <c r="BE90" i="52"/>
  <c r="BH110" i="52"/>
  <c r="X110" i="52" s="1"/>
  <c r="BE110" i="52"/>
  <c r="BH117" i="52"/>
  <c r="X117" i="52" s="1"/>
  <c r="BE117" i="52"/>
  <c r="BH71" i="52"/>
  <c r="X71" i="52" s="1"/>
  <c r="BE71" i="52"/>
  <c r="BH175" i="52"/>
  <c r="X175" i="52" s="1"/>
  <c r="BE175" i="52"/>
  <c r="BH140" i="52"/>
  <c r="X140" i="52" s="1"/>
  <c r="BE140" i="52"/>
  <c r="BH146" i="52"/>
  <c r="X146" i="52" s="1"/>
  <c r="BE146" i="52"/>
  <c r="BH115" i="52"/>
  <c r="X115" i="52" s="1"/>
  <c r="BE115" i="52"/>
  <c r="BH93" i="52"/>
  <c r="X93" i="52" s="1"/>
  <c r="BE93" i="52"/>
  <c r="BH91" i="52"/>
  <c r="X91" i="52" s="1"/>
  <c r="BE91" i="52"/>
  <c r="BE118" i="52"/>
  <c r="C104" i="52"/>
  <c r="N103" i="52"/>
  <c r="BE103" i="52" s="1"/>
  <c r="C166" i="52"/>
  <c r="N165" i="52"/>
  <c r="BE165" i="52" s="1"/>
  <c r="B123" i="52"/>
  <c r="S183" i="52"/>
  <c r="S185" i="52"/>
  <c r="N120" i="52"/>
  <c r="BE120" i="52" s="1"/>
  <c r="C121" i="52"/>
  <c r="B106" i="52"/>
  <c r="C225" i="7"/>
  <c r="C236" i="7" s="1"/>
  <c r="C247" i="7" s="1"/>
  <c r="C222" i="7"/>
  <c r="C233" i="7" s="1"/>
  <c r="C244" i="7" s="1"/>
  <c r="C263" i="7" s="1"/>
  <c r="C226" i="7"/>
  <c r="C237" i="7" s="1"/>
  <c r="C248" i="7" s="1"/>
  <c r="C221" i="7"/>
  <c r="C232" i="7" s="1"/>
  <c r="C243" i="7" s="1"/>
  <c r="C262" i="7" s="1"/>
  <c r="C223" i="7"/>
  <c r="C234" i="7" s="1"/>
  <c r="C245" i="7" s="1"/>
  <c r="Z245" i="7" s="1"/>
  <c r="C231" i="7"/>
  <c r="C242" i="7" s="1"/>
  <c r="C261" i="7" s="1"/>
  <c r="C219" i="7"/>
  <c r="M197" i="127" l="1"/>
  <c r="C122" i="52"/>
  <c r="C123" i="52" s="1"/>
  <c r="N121" i="52"/>
  <c r="C167" i="52"/>
  <c r="C168" i="52" s="1"/>
  <c r="N166" i="52"/>
  <c r="C105" i="52"/>
  <c r="C106" i="52" s="1"/>
  <c r="N104" i="52"/>
  <c r="F262" i="7"/>
  <c r="J262" i="7"/>
  <c r="Q262" i="7"/>
  <c r="Z262" i="7"/>
  <c r="S262" i="7"/>
  <c r="X262" i="7"/>
  <c r="O262" i="7"/>
  <c r="H262" i="7"/>
  <c r="Q245" i="7"/>
  <c r="J245" i="7"/>
  <c r="F263" i="7"/>
  <c r="Z263" i="7"/>
  <c r="Q263" i="7"/>
  <c r="S263" i="7"/>
  <c r="O263" i="7"/>
  <c r="H263" i="7"/>
  <c r="J263" i="7"/>
  <c r="X263" i="7"/>
  <c r="F245" i="7"/>
  <c r="O245" i="7"/>
  <c r="F261" i="7"/>
  <c r="J261" i="7"/>
  <c r="Q261" i="7"/>
  <c r="X261" i="7"/>
  <c r="Z261" i="7"/>
  <c r="S261" i="7"/>
  <c r="H261" i="7"/>
  <c r="O261" i="7"/>
  <c r="X245" i="7"/>
  <c r="C264" i="7"/>
  <c r="O247" i="7"/>
  <c r="C266" i="7"/>
  <c r="S247" i="7"/>
  <c r="F247" i="7"/>
  <c r="X247" i="7"/>
  <c r="J247" i="7"/>
  <c r="Z247" i="7"/>
  <c r="H247" i="7"/>
  <c r="Q247" i="7"/>
  <c r="S245" i="7"/>
  <c r="H245" i="7"/>
  <c r="Z244" i="7"/>
  <c r="S244" i="7"/>
  <c r="F244" i="7"/>
  <c r="Q244" i="7"/>
  <c r="J244" i="7"/>
  <c r="H244" i="7"/>
  <c r="X244" i="7"/>
  <c r="O244" i="7"/>
  <c r="Z248" i="7"/>
  <c r="X248" i="7"/>
  <c r="S248" i="7"/>
  <c r="J248" i="7"/>
  <c r="Q248" i="7"/>
  <c r="H248" i="7"/>
  <c r="F248" i="7"/>
  <c r="O248" i="7"/>
  <c r="C230" i="7"/>
  <c r="C241" i="7" s="1"/>
  <c r="J242" i="7"/>
  <c r="X242" i="7"/>
  <c r="F242" i="7"/>
  <c r="S242" i="7"/>
  <c r="H242" i="7"/>
  <c r="Q242" i="7"/>
  <c r="Z242" i="7"/>
  <c r="O242" i="7"/>
  <c r="O243" i="7"/>
  <c r="F243" i="7"/>
  <c r="S243" i="7"/>
  <c r="X243" i="7"/>
  <c r="J243" i="7"/>
  <c r="H243" i="7"/>
  <c r="Q243" i="7"/>
  <c r="Z243" i="7"/>
  <c r="M415" i="127" l="1"/>
  <c r="BG157" i="129"/>
  <c r="BG109" i="127"/>
  <c r="BG88" i="128"/>
  <c r="BG139" i="129"/>
  <c r="BG157" i="127"/>
  <c r="BG157" i="128"/>
  <c r="BG109" i="128"/>
  <c r="BG88" i="127"/>
  <c r="BG66" i="129"/>
  <c r="BG90" i="128"/>
  <c r="BG127" i="127"/>
  <c r="BG140" i="129"/>
  <c r="BG88" i="129"/>
  <c r="BG127" i="129"/>
  <c r="BG127" i="128"/>
  <c r="BG139" i="128"/>
  <c r="BG109" i="129"/>
  <c r="BG66" i="128"/>
  <c r="BG141" i="129"/>
  <c r="BG111" i="128"/>
  <c r="BG155" i="127"/>
  <c r="BG140" i="128"/>
  <c r="BG111" i="127"/>
  <c r="BG139" i="127"/>
  <c r="BG155" i="129"/>
  <c r="BG90" i="129"/>
  <c r="BG155" i="128"/>
  <c r="BG90" i="127"/>
  <c r="BG67" i="129"/>
  <c r="BG66" i="127"/>
  <c r="BG92" i="128"/>
  <c r="BG67" i="128"/>
  <c r="BG141" i="128"/>
  <c r="BG140" i="127"/>
  <c r="BG67" i="127"/>
  <c r="BG92" i="129"/>
  <c r="BG111" i="129"/>
  <c r="BG92" i="127"/>
  <c r="BG153" i="129"/>
  <c r="BG153" i="127"/>
  <c r="BG141" i="127"/>
  <c r="BG113" i="128"/>
  <c r="BG153" i="128"/>
  <c r="BG113" i="127"/>
  <c r="BG113" i="129"/>
  <c r="BG157" i="52"/>
  <c r="BG88" i="52"/>
  <c r="BG127" i="52"/>
  <c r="BG155" i="52"/>
  <c r="BG111" i="52"/>
  <c r="BG90" i="52"/>
  <c r="BG66" i="52"/>
  <c r="BG67" i="52"/>
  <c r="BG92" i="52"/>
  <c r="BG153" i="52"/>
  <c r="BG113" i="52"/>
  <c r="C260" i="7"/>
  <c r="X153" i="52"/>
  <c r="X155" i="52"/>
  <c r="X163" i="52"/>
  <c r="X157" i="52"/>
  <c r="X158" i="52"/>
  <c r="X156" i="52"/>
  <c r="X154" i="52"/>
  <c r="X159" i="52"/>
  <c r="X160" i="52"/>
  <c r="X161" i="52"/>
  <c r="X164" i="52"/>
  <c r="X165" i="52"/>
  <c r="F266" i="7"/>
  <c r="O266" i="7"/>
  <c r="H266" i="7"/>
  <c r="X266" i="7"/>
  <c r="Z266" i="7"/>
  <c r="Q266" i="7"/>
  <c r="J266" i="7"/>
  <c r="S266" i="7"/>
  <c r="F264" i="7"/>
  <c r="S264" i="7"/>
  <c r="Z264" i="7"/>
  <c r="O264" i="7"/>
  <c r="H264" i="7"/>
  <c r="X264" i="7"/>
  <c r="Q264" i="7"/>
  <c r="J264" i="7"/>
  <c r="Z241" i="7"/>
  <c r="X241" i="7"/>
  <c r="O241" i="7"/>
  <c r="S241" i="7"/>
  <c r="F241" i="7"/>
  <c r="H241" i="7"/>
  <c r="Q241" i="7"/>
  <c r="J241" i="7"/>
  <c r="W188" i="127" l="1"/>
  <c r="W188" i="129"/>
  <c r="W188" i="128"/>
  <c r="W186" i="127"/>
  <c r="P9" i="127" s="1"/>
  <c r="W184" i="128"/>
  <c r="W183" i="128"/>
  <c r="W185" i="128"/>
  <c r="P8" i="128" s="1"/>
  <c r="W185" i="127"/>
  <c r="W187" i="128"/>
  <c r="W183" i="127"/>
  <c r="W186" i="128"/>
  <c r="W189" i="127"/>
  <c r="W183" i="129"/>
  <c r="W185" i="129"/>
  <c r="W184" i="129"/>
  <c r="W184" i="127"/>
  <c r="W187" i="127"/>
  <c r="W189" i="128"/>
  <c r="W187" i="129"/>
  <c r="W189" i="129"/>
  <c r="W186" i="129"/>
  <c r="P9" i="129" s="1"/>
  <c r="F260" i="7"/>
  <c r="S260" i="7"/>
  <c r="O260" i="7"/>
  <c r="X260" i="7"/>
  <c r="Z260" i="7"/>
  <c r="H260" i="7"/>
  <c r="J260" i="7"/>
  <c r="Q260" i="7"/>
  <c r="W188" i="52"/>
  <c r="W189" i="52"/>
  <c r="W186" i="52"/>
  <c r="W185" i="52"/>
  <c r="W187" i="52"/>
  <c r="W183" i="52"/>
  <c r="G185" i="7"/>
  <c r="F185" i="7"/>
  <c r="E185" i="7"/>
  <c r="P195" i="128" l="1"/>
  <c r="W195" i="128" s="1"/>
  <c r="P6" i="128"/>
  <c r="P196" i="128"/>
  <c r="W196" i="128" s="1"/>
  <c r="P7" i="128"/>
  <c r="P199" i="129"/>
  <c r="W199" i="129" s="1"/>
  <c r="P11" i="129"/>
  <c r="P199" i="127"/>
  <c r="W199" i="127" s="1"/>
  <c r="P11" i="127"/>
  <c r="BA174" i="129"/>
  <c r="BA158" i="129"/>
  <c r="BA145" i="129"/>
  <c r="BA115" i="129"/>
  <c r="BA96" i="129"/>
  <c r="BA88" i="129"/>
  <c r="W88" i="129" s="1"/>
  <c r="BA82" i="129"/>
  <c r="BA71" i="129"/>
  <c r="BA154" i="128"/>
  <c r="BA146" i="128"/>
  <c r="BA141" i="127"/>
  <c r="W141" i="127" s="1"/>
  <c r="Z141" i="127" s="1"/>
  <c r="BA113" i="127"/>
  <c r="W113" i="127" s="1"/>
  <c r="BA144" i="129"/>
  <c r="BA171" i="128"/>
  <c r="BA145" i="128"/>
  <c r="BA115" i="128"/>
  <c r="BA74" i="128"/>
  <c r="BA156" i="127"/>
  <c r="BA132" i="127"/>
  <c r="BA88" i="127"/>
  <c r="W88" i="127" s="1"/>
  <c r="BA119" i="129"/>
  <c r="BA80" i="129"/>
  <c r="BA142" i="128"/>
  <c r="BA112" i="128"/>
  <c r="BA129" i="127"/>
  <c r="BA163" i="129"/>
  <c r="BA155" i="129"/>
  <c r="W155" i="129" s="1"/>
  <c r="BA142" i="129"/>
  <c r="BA132" i="129"/>
  <c r="BA120" i="129"/>
  <c r="BA112" i="129"/>
  <c r="BA93" i="129"/>
  <c r="BA81" i="129"/>
  <c r="BA68" i="129"/>
  <c r="BA175" i="128"/>
  <c r="BA159" i="128"/>
  <c r="BA143" i="128"/>
  <c r="BA130" i="128"/>
  <c r="BA113" i="128"/>
  <c r="W113" i="128" s="1"/>
  <c r="BA97" i="128"/>
  <c r="BA89" i="128"/>
  <c r="BA72" i="128"/>
  <c r="BA154" i="127"/>
  <c r="BA146" i="127"/>
  <c r="BA138" i="127"/>
  <c r="BA130" i="127"/>
  <c r="BA118" i="127"/>
  <c r="BA110" i="127"/>
  <c r="BA94" i="127"/>
  <c r="BA69" i="127"/>
  <c r="BA175" i="127"/>
  <c r="BA159" i="127"/>
  <c r="BA143" i="127"/>
  <c r="BA115" i="127"/>
  <c r="BA102" i="127"/>
  <c r="BA74" i="127"/>
  <c r="BA165" i="129"/>
  <c r="BA95" i="129"/>
  <c r="BA177" i="128"/>
  <c r="BA132" i="128"/>
  <c r="BA112" i="127"/>
  <c r="BA71" i="127"/>
  <c r="BA141" i="129"/>
  <c r="W141" i="129" s="1"/>
  <c r="Z141" i="129" s="1"/>
  <c r="BA129" i="128"/>
  <c r="BA88" i="128"/>
  <c r="W88" i="128" s="1"/>
  <c r="BA177" i="127"/>
  <c r="BA109" i="127"/>
  <c r="W109" i="127" s="1"/>
  <c r="BA176" i="129"/>
  <c r="BA160" i="129"/>
  <c r="BA147" i="129"/>
  <c r="BA139" i="129"/>
  <c r="W139" i="129" s="1"/>
  <c r="Z139" i="129" s="1"/>
  <c r="BA129" i="129"/>
  <c r="BA127" i="129"/>
  <c r="BA117" i="129"/>
  <c r="BA109" i="129"/>
  <c r="W109" i="129" s="1"/>
  <c r="BA98" i="129"/>
  <c r="BA90" i="129"/>
  <c r="W90" i="129" s="1"/>
  <c r="BA73" i="129"/>
  <c r="BA65" i="129"/>
  <c r="BA164" i="128"/>
  <c r="BA156" i="128"/>
  <c r="BA140" i="128"/>
  <c r="W140" i="128" s="1"/>
  <c r="Z140" i="128" s="1"/>
  <c r="BA118" i="128"/>
  <c r="BA110" i="128"/>
  <c r="BA94" i="128"/>
  <c r="BA69" i="128"/>
  <c r="BA91" i="127"/>
  <c r="BA161" i="128"/>
  <c r="BA92" i="129"/>
  <c r="W92" i="129" s="1"/>
  <c r="BA96" i="128"/>
  <c r="BA171" i="127"/>
  <c r="BA93" i="127"/>
  <c r="BA173" i="129"/>
  <c r="BA175" i="129"/>
  <c r="BA159" i="129"/>
  <c r="BA146" i="129"/>
  <c r="BA138" i="129"/>
  <c r="BA128" i="129"/>
  <c r="BA126" i="129"/>
  <c r="BA116" i="129"/>
  <c r="BA97" i="129"/>
  <c r="BA89" i="129"/>
  <c r="BA72" i="129"/>
  <c r="BA163" i="128"/>
  <c r="BA155" i="128"/>
  <c r="W155" i="128" s="1"/>
  <c r="BA147" i="128"/>
  <c r="BA139" i="128"/>
  <c r="W139" i="128" s="1"/>
  <c r="Z139" i="128" s="1"/>
  <c r="BA117" i="128"/>
  <c r="BA109" i="128"/>
  <c r="W109" i="128" s="1"/>
  <c r="BA93" i="128"/>
  <c r="BA81" i="128"/>
  <c r="BA68" i="128"/>
  <c r="BA174" i="127"/>
  <c r="BA158" i="127"/>
  <c r="BA142" i="127"/>
  <c r="BA114" i="127"/>
  <c r="BA98" i="127"/>
  <c r="BA90" i="127"/>
  <c r="W90" i="127" s="1"/>
  <c r="BA73" i="127"/>
  <c r="BA65" i="127"/>
  <c r="BA92" i="128"/>
  <c r="W92" i="128" s="1"/>
  <c r="BA165" i="127"/>
  <c r="BA97" i="127"/>
  <c r="BA66" i="127"/>
  <c r="W66" i="127" s="1"/>
  <c r="BA157" i="129"/>
  <c r="W157" i="129" s="1"/>
  <c r="BA114" i="129"/>
  <c r="BA153" i="128"/>
  <c r="W153" i="128" s="1"/>
  <c r="BA91" i="128"/>
  <c r="BA164" i="127"/>
  <c r="BA140" i="127"/>
  <c r="W140" i="127" s="1"/>
  <c r="Z140" i="127" s="1"/>
  <c r="BA120" i="127"/>
  <c r="BA82" i="127"/>
  <c r="BA131" i="129"/>
  <c r="BA103" i="129"/>
  <c r="BA67" i="129"/>
  <c r="W67" i="129" s="1"/>
  <c r="BA174" i="128"/>
  <c r="BA127" i="128"/>
  <c r="BA82" i="128"/>
  <c r="BA161" i="127"/>
  <c r="BA145" i="127"/>
  <c r="BA117" i="127"/>
  <c r="BA164" i="129"/>
  <c r="BA156" i="129"/>
  <c r="BA143" i="129"/>
  <c r="BA113" i="129"/>
  <c r="W113" i="129" s="1"/>
  <c r="BA94" i="129"/>
  <c r="BA69" i="129"/>
  <c r="BA176" i="128"/>
  <c r="BA160" i="128"/>
  <c r="BA144" i="128"/>
  <c r="BA131" i="128"/>
  <c r="BA114" i="128"/>
  <c r="BA98" i="128"/>
  <c r="BA90" i="128"/>
  <c r="W90" i="128" s="1"/>
  <c r="BA73" i="128"/>
  <c r="BA65" i="128"/>
  <c r="BA163" i="127"/>
  <c r="BA155" i="127"/>
  <c r="W155" i="127" s="1"/>
  <c r="BA147" i="127"/>
  <c r="BA139" i="127"/>
  <c r="W139" i="127" s="1"/>
  <c r="Z139" i="127" s="1"/>
  <c r="BA131" i="127"/>
  <c r="BA119" i="127"/>
  <c r="BA111" i="127"/>
  <c r="W111" i="127" s="1"/>
  <c r="BA95" i="127"/>
  <c r="BA70" i="127"/>
  <c r="BA116" i="128"/>
  <c r="BA100" i="128"/>
  <c r="BA67" i="128"/>
  <c r="W67" i="128" s="1"/>
  <c r="BA157" i="127"/>
  <c r="W157" i="127" s="1"/>
  <c r="BA72" i="127"/>
  <c r="BA111" i="129"/>
  <c r="W111" i="129" s="1"/>
  <c r="BA100" i="129"/>
  <c r="BA120" i="128"/>
  <c r="BA71" i="128"/>
  <c r="BA81" i="127"/>
  <c r="BA177" i="129"/>
  <c r="BA171" i="129"/>
  <c r="BA161" i="129"/>
  <c r="BA153" i="129"/>
  <c r="W153" i="129" s="1"/>
  <c r="BA140" i="129"/>
  <c r="W140" i="129" s="1"/>
  <c r="Z140" i="129" s="1"/>
  <c r="BA130" i="129"/>
  <c r="BA118" i="129"/>
  <c r="BA110" i="129"/>
  <c r="BA102" i="129"/>
  <c r="BA91" i="129"/>
  <c r="BA74" i="129"/>
  <c r="BA66" i="129"/>
  <c r="W66" i="129" s="1"/>
  <c r="BA173" i="128"/>
  <c r="BA165" i="128"/>
  <c r="BA157" i="128"/>
  <c r="W157" i="128" s="1"/>
  <c r="BA141" i="128"/>
  <c r="W141" i="128" s="1"/>
  <c r="Z141" i="128" s="1"/>
  <c r="BA128" i="128"/>
  <c r="BA126" i="128"/>
  <c r="BA119" i="128"/>
  <c r="BA111" i="128"/>
  <c r="W111" i="128" s="1"/>
  <c r="BA95" i="128"/>
  <c r="BA70" i="128"/>
  <c r="BA176" i="127"/>
  <c r="BA160" i="127"/>
  <c r="BA144" i="127"/>
  <c r="BA128" i="127"/>
  <c r="BA126" i="127"/>
  <c r="BA116" i="127"/>
  <c r="BA103" i="127"/>
  <c r="BA100" i="127"/>
  <c r="BA92" i="127"/>
  <c r="W92" i="127" s="1"/>
  <c r="BA80" i="127"/>
  <c r="BA67" i="127"/>
  <c r="W67" i="127" s="1"/>
  <c r="BA138" i="128"/>
  <c r="BA103" i="128"/>
  <c r="BA80" i="128"/>
  <c r="BA173" i="127"/>
  <c r="BA89" i="127"/>
  <c r="BA70" i="129"/>
  <c r="BA102" i="128"/>
  <c r="BA66" i="128"/>
  <c r="W66" i="128" s="1"/>
  <c r="BA96" i="127"/>
  <c r="BA154" i="129"/>
  <c r="BA158" i="128"/>
  <c r="BA153" i="127"/>
  <c r="W153" i="127" s="1"/>
  <c r="BA127" i="127"/>
  <c r="BA68" i="127"/>
  <c r="BB171" i="127"/>
  <c r="Q171" i="127" s="1"/>
  <c r="M171" i="127" s="1"/>
  <c r="BB109" i="128"/>
  <c r="Q109" i="128" s="1"/>
  <c r="S109" i="128" s="1"/>
  <c r="Z109" i="128" s="1"/>
  <c r="BB80" i="129"/>
  <c r="Q80" i="129" s="1"/>
  <c r="M80" i="129" s="1"/>
  <c r="BB130" i="128"/>
  <c r="Q130" i="128" s="1"/>
  <c r="M130" i="128" s="1"/>
  <c r="M189" i="128" s="1"/>
  <c r="M199" i="128" s="1"/>
  <c r="M417" i="128" s="1"/>
  <c r="BB138" i="128"/>
  <c r="Q138" i="128" s="1"/>
  <c r="M138" i="128" s="1"/>
  <c r="BB157" i="129"/>
  <c r="Q157" i="129" s="1"/>
  <c r="S157" i="129" s="1"/>
  <c r="Z157" i="129" s="1"/>
  <c r="BB65" i="128"/>
  <c r="Q65" i="128" s="1"/>
  <c r="S65" i="128" s="1"/>
  <c r="BB126" i="127"/>
  <c r="Q126" i="127" s="1"/>
  <c r="M126" i="127" s="1"/>
  <c r="BB138" i="127"/>
  <c r="Q138" i="127" s="1"/>
  <c r="M138" i="127" s="1"/>
  <c r="BB80" i="127"/>
  <c r="Q80" i="127" s="1"/>
  <c r="M80" i="127" s="1"/>
  <c r="BB132" i="129"/>
  <c r="Q132" i="129" s="1"/>
  <c r="M132" i="129" s="1"/>
  <c r="BB129" i="128"/>
  <c r="BB157" i="128"/>
  <c r="Q157" i="128" s="1"/>
  <c r="S157" i="128" s="1"/>
  <c r="Z157" i="128" s="1"/>
  <c r="BB131" i="128"/>
  <c r="BB129" i="129"/>
  <c r="BB109" i="129"/>
  <c r="Q109" i="129" s="1"/>
  <c r="S109" i="129" s="1"/>
  <c r="Z109" i="129" s="1"/>
  <c r="BB173" i="127"/>
  <c r="Q173" i="127" s="1"/>
  <c r="M173" i="127" s="1"/>
  <c r="BB157" i="127"/>
  <c r="Q157" i="127" s="1"/>
  <c r="S157" i="127" s="1"/>
  <c r="Z157" i="127" s="1"/>
  <c r="BB65" i="129"/>
  <c r="BB130" i="129"/>
  <c r="Q130" i="129" s="1"/>
  <c r="M130" i="129" s="1"/>
  <c r="BB171" i="129"/>
  <c r="Q171" i="129" s="1"/>
  <c r="M171" i="129" s="1"/>
  <c r="M184" i="129" s="1"/>
  <c r="M196" i="129" s="1"/>
  <c r="M414" i="129" s="1"/>
  <c r="BB131" i="129"/>
  <c r="Q131" i="129" s="1"/>
  <c r="M131" i="129" s="1"/>
  <c r="BB126" i="129"/>
  <c r="Q126" i="129" s="1"/>
  <c r="M126" i="129" s="1"/>
  <c r="BB171" i="128"/>
  <c r="Q171" i="128" s="1"/>
  <c r="M171" i="128" s="1"/>
  <c r="BB126" i="128"/>
  <c r="Q126" i="128" s="1"/>
  <c r="M126" i="128" s="1"/>
  <c r="M184" i="128" s="1"/>
  <c r="M196" i="128" s="1"/>
  <c r="M414" i="128" s="1"/>
  <c r="BB138" i="129"/>
  <c r="Q138" i="129" s="1"/>
  <c r="M138" i="129" s="1"/>
  <c r="BB132" i="128"/>
  <c r="Q132" i="128" s="1"/>
  <c r="M132" i="128" s="1"/>
  <c r="BB80" i="128"/>
  <c r="Q80" i="128" s="1"/>
  <c r="M80" i="128" s="1"/>
  <c r="BB110" i="128"/>
  <c r="Q110" i="128" s="1"/>
  <c r="S110" i="128" s="1"/>
  <c r="BB110" i="129"/>
  <c r="BB173" i="129"/>
  <c r="Q173" i="129" s="1"/>
  <c r="M173" i="129" s="1"/>
  <c r="M185" i="129" s="1"/>
  <c r="M197" i="129" s="1"/>
  <c r="BB139" i="127"/>
  <c r="BB88" i="127"/>
  <c r="Q88" i="127" s="1"/>
  <c r="S88" i="127" s="1"/>
  <c r="Z88" i="127" s="1"/>
  <c r="BB88" i="129"/>
  <c r="Q88" i="129" s="1"/>
  <c r="S88" i="129" s="1"/>
  <c r="Z88" i="129" s="1"/>
  <c r="BB158" i="128"/>
  <c r="BB173" i="128"/>
  <c r="Q173" i="128" s="1"/>
  <c r="M173" i="128" s="1"/>
  <c r="BB158" i="127"/>
  <c r="Q158" i="127" s="1"/>
  <c r="S158" i="127" s="1"/>
  <c r="BB131" i="127"/>
  <c r="Q131" i="127" s="1"/>
  <c r="M131" i="127" s="1"/>
  <c r="BB127" i="127"/>
  <c r="BB111" i="128"/>
  <c r="BB127" i="129"/>
  <c r="BB158" i="129"/>
  <c r="Q158" i="129" s="1"/>
  <c r="S158" i="129" s="1"/>
  <c r="BB66" i="129"/>
  <c r="BB127" i="128"/>
  <c r="BB88" i="128"/>
  <c r="Q88" i="128" s="1"/>
  <c r="S88" i="128" s="1"/>
  <c r="Z88" i="128" s="1"/>
  <c r="BB174" i="127"/>
  <c r="Q174" i="127" s="1"/>
  <c r="M174" i="127" s="1"/>
  <c r="BB139" i="128"/>
  <c r="Q139" i="128" s="1"/>
  <c r="M139" i="128" s="1"/>
  <c r="BB81" i="128"/>
  <c r="BB65" i="127"/>
  <c r="BB81" i="129"/>
  <c r="Q81" i="129" s="1"/>
  <c r="M81" i="129" s="1"/>
  <c r="BB129" i="127"/>
  <c r="Q129" i="127" s="1"/>
  <c r="M129" i="127" s="1"/>
  <c r="BB81" i="127"/>
  <c r="BB109" i="127"/>
  <c r="Q109" i="127" s="1"/>
  <c r="S109" i="127" s="1"/>
  <c r="Z109" i="127" s="1"/>
  <c r="BB66" i="128"/>
  <c r="BB130" i="127"/>
  <c r="Q130" i="127" s="1"/>
  <c r="M130" i="127" s="1"/>
  <c r="BB139" i="129"/>
  <c r="BB132" i="127"/>
  <c r="Q132" i="127" s="1"/>
  <c r="M132" i="127" s="1"/>
  <c r="M133" i="127" s="1"/>
  <c r="BB67" i="129"/>
  <c r="Q67" i="129" s="1"/>
  <c r="S67" i="129" s="1"/>
  <c r="Z67" i="129" s="1"/>
  <c r="BB174" i="129"/>
  <c r="Q174" i="129" s="1"/>
  <c r="M174" i="129" s="1"/>
  <c r="M183" i="129" s="1"/>
  <c r="BB89" i="129"/>
  <c r="Q89" i="129" s="1"/>
  <c r="S89" i="129" s="1"/>
  <c r="BB67" i="128"/>
  <c r="BB90" i="128"/>
  <c r="Q90" i="128" s="1"/>
  <c r="S90" i="128" s="1"/>
  <c r="Z90" i="128" s="1"/>
  <c r="BB128" i="128"/>
  <c r="BB89" i="127"/>
  <c r="Q89" i="127" s="1"/>
  <c r="S89" i="127" s="1"/>
  <c r="BB82" i="129"/>
  <c r="Q82" i="129" s="1"/>
  <c r="M82" i="129" s="1"/>
  <c r="BB140" i="128"/>
  <c r="Q140" i="128" s="1"/>
  <c r="M140" i="128" s="1"/>
  <c r="BB155" i="127"/>
  <c r="Q155" i="127" s="1"/>
  <c r="S155" i="127" s="1"/>
  <c r="Z155" i="127" s="1"/>
  <c r="BB82" i="127"/>
  <c r="Q82" i="127" s="1"/>
  <c r="M82" i="127" s="1"/>
  <c r="M187" i="127" s="1"/>
  <c r="M198" i="127" s="1"/>
  <c r="M416" i="127" s="1"/>
  <c r="BB128" i="127"/>
  <c r="Q128" i="127" s="1"/>
  <c r="M128" i="127" s="1"/>
  <c r="BB140" i="129"/>
  <c r="Q140" i="129" s="1"/>
  <c r="M140" i="129" s="1"/>
  <c r="BB111" i="129"/>
  <c r="Q111" i="129" s="1"/>
  <c r="S111" i="129" s="1"/>
  <c r="Z111" i="129" s="1"/>
  <c r="BB89" i="128"/>
  <c r="Q89" i="128" s="1"/>
  <c r="S89" i="128" s="1"/>
  <c r="BB155" i="128"/>
  <c r="Q155" i="128" s="1"/>
  <c r="S155" i="128" s="1"/>
  <c r="Z155" i="128" s="1"/>
  <c r="BB66" i="127"/>
  <c r="Q66" i="127" s="1"/>
  <c r="S66" i="127" s="1"/>
  <c r="Z66" i="127" s="1"/>
  <c r="BB140" i="127"/>
  <c r="Q140" i="127" s="1"/>
  <c r="M140" i="127" s="1"/>
  <c r="BB128" i="129"/>
  <c r="Q128" i="129" s="1"/>
  <c r="M128" i="129" s="1"/>
  <c r="BB82" i="128"/>
  <c r="Q82" i="128" s="1"/>
  <c r="M82" i="128" s="1"/>
  <c r="BB174" i="128"/>
  <c r="BB90" i="127"/>
  <c r="Q90" i="127" s="1"/>
  <c r="S90" i="127" s="1"/>
  <c r="Z90" i="127" s="1"/>
  <c r="BB110" i="127"/>
  <c r="BB90" i="129"/>
  <c r="Q90" i="129" s="1"/>
  <c r="S90" i="129" s="1"/>
  <c r="Z90" i="129" s="1"/>
  <c r="BB112" i="128"/>
  <c r="Q112" i="128" s="1"/>
  <c r="S112" i="128" s="1"/>
  <c r="BB155" i="129"/>
  <c r="Q155" i="129" s="1"/>
  <c r="S155" i="129" s="1"/>
  <c r="Z155" i="129" s="1"/>
  <c r="BB175" i="127"/>
  <c r="Q175" i="127" s="1"/>
  <c r="M175" i="127" s="1"/>
  <c r="BB175" i="129"/>
  <c r="Q175" i="129" s="1"/>
  <c r="M175" i="129" s="1"/>
  <c r="M189" i="129" s="1"/>
  <c r="M199" i="129" s="1"/>
  <c r="M417" i="129" s="1"/>
  <c r="BB113" i="128"/>
  <c r="BB92" i="127"/>
  <c r="Q92" i="127" s="1"/>
  <c r="S92" i="127" s="1"/>
  <c r="Z92" i="127" s="1"/>
  <c r="BB175" i="128"/>
  <c r="Q175" i="128" s="1"/>
  <c r="M175" i="128" s="1"/>
  <c r="BB91" i="127"/>
  <c r="Q91" i="127" s="1"/>
  <c r="S91" i="127" s="1"/>
  <c r="BB156" i="128"/>
  <c r="Q156" i="128" s="1"/>
  <c r="S156" i="128" s="1"/>
  <c r="BB111" i="127"/>
  <c r="Q111" i="127" s="1"/>
  <c r="S111" i="127" s="1"/>
  <c r="Z111" i="127" s="1"/>
  <c r="BB92" i="128"/>
  <c r="Q92" i="128" s="1"/>
  <c r="S92" i="128" s="1"/>
  <c r="Z92" i="128" s="1"/>
  <c r="BB67" i="127"/>
  <c r="BB141" i="127"/>
  <c r="Q141" i="127" s="1"/>
  <c r="M141" i="127" s="1"/>
  <c r="BB91" i="129"/>
  <c r="Q91" i="129" s="1"/>
  <c r="S91" i="129" s="1"/>
  <c r="BB176" i="127"/>
  <c r="Q176" i="127" s="1"/>
  <c r="M176" i="127" s="1"/>
  <c r="BB141" i="128"/>
  <c r="Q141" i="128" s="1"/>
  <c r="M141" i="128" s="1"/>
  <c r="BB141" i="129"/>
  <c r="Q141" i="129" s="1"/>
  <c r="M141" i="129" s="1"/>
  <c r="BB156" i="129"/>
  <c r="BB92" i="129"/>
  <c r="Q92" i="129" s="1"/>
  <c r="S92" i="129" s="1"/>
  <c r="Z92" i="129" s="1"/>
  <c r="BB91" i="128"/>
  <c r="BB156" i="127"/>
  <c r="Q156" i="127" s="1"/>
  <c r="S156" i="127" s="1"/>
  <c r="BB68" i="128"/>
  <c r="BB68" i="129"/>
  <c r="Q68" i="129" s="1"/>
  <c r="S68" i="129" s="1"/>
  <c r="BB112" i="129"/>
  <c r="Q112" i="129" s="1"/>
  <c r="S112" i="129" s="1"/>
  <c r="BB69" i="129"/>
  <c r="Q69" i="129" s="1"/>
  <c r="S69" i="129" s="1"/>
  <c r="BB153" i="129"/>
  <c r="Q153" i="129" s="1"/>
  <c r="S153" i="129" s="1"/>
  <c r="Z153" i="129" s="1"/>
  <c r="BB176" i="128"/>
  <c r="Q176" i="128" s="1"/>
  <c r="M176" i="128" s="1"/>
  <c r="BB142" i="128"/>
  <c r="BB93" i="129"/>
  <c r="BB94" i="129"/>
  <c r="Q94" i="129" s="1"/>
  <c r="S94" i="129" s="1"/>
  <c r="BB142" i="127"/>
  <c r="Q142" i="127" s="1"/>
  <c r="M142" i="127" s="1"/>
  <c r="BB68" i="127"/>
  <c r="Q68" i="127" s="1"/>
  <c r="S68" i="127" s="1"/>
  <c r="BB176" i="129"/>
  <c r="Q176" i="129" s="1"/>
  <c r="M176" i="129" s="1"/>
  <c r="M187" i="129" s="1"/>
  <c r="BB69" i="128"/>
  <c r="Q69" i="128" s="1"/>
  <c r="S69" i="128" s="1"/>
  <c r="BB153" i="127"/>
  <c r="Q153" i="127" s="1"/>
  <c r="S153" i="127" s="1"/>
  <c r="Z153" i="127" s="1"/>
  <c r="BB93" i="128"/>
  <c r="Q93" i="128" s="1"/>
  <c r="S93" i="128" s="1"/>
  <c r="BB113" i="129"/>
  <c r="Q113" i="129" s="1"/>
  <c r="S113" i="129" s="1"/>
  <c r="Z113" i="129" s="1"/>
  <c r="BB114" i="128"/>
  <c r="BB112" i="127"/>
  <c r="Q112" i="127" s="1"/>
  <c r="S112" i="127" s="1"/>
  <c r="BB177" i="127"/>
  <c r="Q177" i="127" s="1"/>
  <c r="M177" i="127" s="1"/>
  <c r="M178" i="127" s="1"/>
  <c r="BB94" i="128"/>
  <c r="Q94" i="128" s="1"/>
  <c r="S94" i="128" s="1"/>
  <c r="BB93" i="127"/>
  <c r="Q93" i="127" s="1"/>
  <c r="S93" i="127" s="1"/>
  <c r="BB142" i="129"/>
  <c r="Q142" i="129" s="1"/>
  <c r="M142" i="129" s="1"/>
  <c r="BB153" i="128"/>
  <c r="BB94" i="127"/>
  <c r="Q94" i="127" s="1"/>
  <c r="S94" i="127" s="1"/>
  <c r="BB143" i="129"/>
  <c r="BB95" i="128"/>
  <c r="Q95" i="128" s="1"/>
  <c r="S95" i="128" s="1"/>
  <c r="BB95" i="127"/>
  <c r="Q95" i="127" s="1"/>
  <c r="S95" i="127" s="1"/>
  <c r="BB154" i="129"/>
  <c r="Q154" i="129" s="1"/>
  <c r="S154" i="129" s="1"/>
  <c r="BB95" i="129"/>
  <c r="Q95" i="129" s="1"/>
  <c r="S95" i="129" s="1"/>
  <c r="BB143" i="127"/>
  <c r="Q143" i="127" s="1"/>
  <c r="M143" i="127" s="1"/>
  <c r="BB114" i="129"/>
  <c r="Q114" i="129" s="1"/>
  <c r="S114" i="129" s="1"/>
  <c r="BB115" i="128"/>
  <c r="BB177" i="128"/>
  <c r="Q177" i="128" s="1"/>
  <c r="M177" i="128" s="1"/>
  <c r="BB154" i="127"/>
  <c r="Q154" i="127" s="1"/>
  <c r="S154" i="127" s="1"/>
  <c r="BB113" i="127"/>
  <c r="Q113" i="127" s="1"/>
  <c r="S113" i="127" s="1"/>
  <c r="Z113" i="127" s="1"/>
  <c r="BB154" i="128"/>
  <c r="Q154" i="128" s="1"/>
  <c r="S154" i="128" s="1"/>
  <c r="BB143" i="128"/>
  <c r="Q143" i="128" s="1"/>
  <c r="M143" i="128" s="1"/>
  <c r="BB70" i="129"/>
  <c r="Q70" i="129" s="1"/>
  <c r="S70" i="129" s="1"/>
  <c r="BB70" i="128"/>
  <c r="Q70" i="128" s="1"/>
  <c r="S70" i="128" s="1"/>
  <c r="BB69" i="127"/>
  <c r="Q69" i="127" s="1"/>
  <c r="S69" i="127" s="1"/>
  <c r="BB177" i="129"/>
  <c r="BB115" i="129"/>
  <c r="Q115" i="129" s="1"/>
  <c r="S115" i="129" s="1"/>
  <c r="BB144" i="127"/>
  <c r="BB114" i="127"/>
  <c r="Q114" i="127" s="1"/>
  <c r="S114" i="127" s="1"/>
  <c r="BB144" i="129"/>
  <c r="Q144" i="129" s="1"/>
  <c r="M144" i="129" s="1"/>
  <c r="BB96" i="129"/>
  <c r="Q96" i="129" s="1"/>
  <c r="S96" i="129" s="1"/>
  <c r="BB116" i="128"/>
  <c r="Q116" i="128" s="1"/>
  <c r="S116" i="128" s="1"/>
  <c r="BB70" i="127"/>
  <c r="Q70" i="127" s="1"/>
  <c r="S70" i="127" s="1"/>
  <c r="BB159" i="127"/>
  <c r="Q159" i="127" s="1"/>
  <c r="S159" i="127" s="1"/>
  <c r="BB159" i="128"/>
  <c r="Q159" i="128" s="1"/>
  <c r="S159" i="128" s="1"/>
  <c r="BB96" i="127"/>
  <c r="Q96" i="127" s="1"/>
  <c r="S96" i="127" s="1"/>
  <c r="BB96" i="128"/>
  <c r="Q96" i="128" s="1"/>
  <c r="S96" i="128" s="1"/>
  <c r="BB71" i="128"/>
  <c r="Q71" i="128" s="1"/>
  <c r="S71" i="128" s="1"/>
  <c r="BB71" i="129"/>
  <c r="BB159" i="129"/>
  <c r="BB144" i="128"/>
  <c r="Q144" i="128" s="1"/>
  <c r="M144" i="128" s="1"/>
  <c r="BB72" i="129"/>
  <c r="BB71" i="127"/>
  <c r="Q71" i="127" s="1"/>
  <c r="S71" i="127" s="1"/>
  <c r="BB160" i="129"/>
  <c r="Q160" i="129" s="1"/>
  <c r="S160" i="129" s="1"/>
  <c r="BB117" i="128"/>
  <c r="Q117" i="128" s="1"/>
  <c r="S117" i="128" s="1"/>
  <c r="BB97" i="128"/>
  <c r="BB72" i="128"/>
  <c r="Q72" i="128" s="1"/>
  <c r="S72" i="128" s="1"/>
  <c r="BB115" i="127"/>
  <c r="Q115" i="127" s="1"/>
  <c r="S115" i="127" s="1"/>
  <c r="BB116" i="129"/>
  <c r="Q116" i="129" s="1"/>
  <c r="S116" i="129" s="1"/>
  <c r="BB97" i="127"/>
  <c r="Q97" i="127" s="1"/>
  <c r="S97" i="127" s="1"/>
  <c r="BB145" i="129"/>
  <c r="Q145" i="129" s="1"/>
  <c r="M145" i="129" s="1"/>
  <c r="BB160" i="128"/>
  <c r="Q160" i="128" s="1"/>
  <c r="S160" i="128" s="1"/>
  <c r="BB145" i="128"/>
  <c r="Q145" i="128" s="1"/>
  <c r="M145" i="128" s="1"/>
  <c r="BB97" i="129"/>
  <c r="Q97" i="129" s="1"/>
  <c r="S97" i="129" s="1"/>
  <c r="BB160" i="127"/>
  <c r="BB145" i="127"/>
  <c r="Q145" i="127" s="1"/>
  <c r="M145" i="127" s="1"/>
  <c r="BB161" i="127"/>
  <c r="Q161" i="127" s="1"/>
  <c r="S161" i="127" s="1"/>
  <c r="BB73" i="129"/>
  <c r="Q73" i="129" s="1"/>
  <c r="S73" i="129" s="1"/>
  <c r="BB98" i="129"/>
  <c r="Q98" i="129" s="1"/>
  <c r="S98" i="129" s="1"/>
  <c r="BB117" i="129"/>
  <c r="Q117" i="129" s="1"/>
  <c r="S117" i="129" s="1"/>
  <c r="BB161" i="129"/>
  <c r="Q161" i="129" s="1"/>
  <c r="S161" i="129" s="1"/>
  <c r="BB161" i="128"/>
  <c r="BB72" i="127"/>
  <c r="Q72" i="127" s="1"/>
  <c r="S72" i="127" s="1"/>
  <c r="BB146" i="129"/>
  <c r="BB98" i="127"/>
  <c r="Q98" i="127" s="1"/>
  <c r="S98" i="127" s="1"/>
  <c r="BB98" i="128"/>
  <c r="Q98" i="128" s="1"/>
  <c r="S98" i="128" s="1"/>
  <c r="BB116" i="127"/>
  <c r="Q116" i="127" s="1"/>
  <c r="S116" i="127" s="1"/>
  <c r="BB146" i="127"/>
  <c r="Q146" i="127" s="1"/>
  <c r="M146" i="127" s="1"/>
  <c r="BB146" i="128"/>
  <c r="Q146" i="128" s="1"/>
  <c r="M146" i="128" s="1"/>
  <c r="BB73" i="128"/>
  <c r="Q73" i="128" s="1"/>
  <c r="S73" i="128" s="1"/>
  <c r="BB118" i="128"/>
  <c r="Q118" i="128" s="1"/>
  <c r="S118" i="128" s="1"/>
  <c r="BB74" i="128"/>
  <c r="Q74" i="128" s="1"/>
  <c r="S74" i="128" s="1"/>
  <c r="BB163" i="129"/>
  <c r="Q163" i="129" s="1"/>
  <c r="S163" i="129" s="1"/>
  <c r="BB74" i="129"/>
  <c r="Q74" i="129" s="1"/>
  <c r="S74" i="129" s="1"/>
  <c r="BB147" i="127"/>
  <c r="BB163" i="127"/>
  <c r="Q163" i="127" s="1"/>
  <c r="S163" i="127" s="1"/>
  <c r="BB147" i="129"/>
  <c r="Q147" i="129" s="1"/>
  <c r="M147" i="129" s="1"/>
  <c r="BB119" i="128"/>
  <c r="Q119" i="128" s="1"/>
  <c r="S119" i="128" s="1"/>
  <c r="BB117" i="127"/>
  <c r="Q117" i="127" s="1"/>
  <c r="S117" i="127" s="1"/>
  <c r="BB118" i="129"/>
  <c r="Q118" i="129" s="1"/>
  <c r="S118" i="129" s="1"/>
  <c r="BB73" i="127"/>
  <c r="BB147" i="128"/>
  <c r="Q147" i="128" s="1"/>
  <c r="M147" i="128" s="1"/>
  <c r="BB163" i="128"/>
  <c r="BB120" i="128"/>
  <c r="Q120" i="128" s="1"/>
  <c r="S120" i="128" s="1"/>
  <c r="BB74" i="127"/>
  <c r="Q74" i="127" s="1"/>
  <c r="S74" i="127" s="1"/>
  <c r="BB164" i="127"/>
  <c r="Q164" i="127" s="1"/>
  <c r="S164" i="127" s="1"/>
  <c r="BB100" i="127"/>
  <c r="Q100" i="127" s="1"/>
  <c r="S100" i="127" s="1"/>
  <c r="BB119" i="129"/>
  <c r="Q119" i="129" s="1"/>
  <c r="S119" i="129" s="1"/>
  <c r="BB118" i="127"/>
  <c r="BB100" i="128"/>
  <c r="BB164" i="128"/>
  <c r="BB100" i="129"/>
  <c r="Q100" i="129" s="1"/>
  <c r="S100" i="129" s="1"/>
  <c r="BB164" i="129"/>
  <c r="Q164" i="129" s="1"/>
  <c r="S164" i="129" s="1"/>
  <c r="BB165" i="127"/>
  <c r="Q165" i="127" s="1"/>
  <c r="S165" i="127" s="1"/>
  <c r="BB165" i="128"/>
  <c r="Q165" i="128" s="1"/>
  <c r="S165" i="128" s="1"/>
  <c r="BB119" i="127"/>
  <c r="Q119" i="127" s="1"/>
  <c r="S119" i="127" s="1"/>
  <c r="BB120" i="129"/>
  <c r="Q120" i="129" s="1"/>
  <c r="S120" i="129" s="1"/>
  <c r="BB165" i="129"/>
  <c r="Q165" i="129" s="1"/>
  <c r="S165" i="129" s="1"/>
  <c r="BB120" i="127"/>
  <c r="Q120" i="127" s="1"/>
  <c r="S120" i="127" s="1"/>
  <c r="BB102" i="129"/>
  <c r="BB102" i="128"/>
  <c r="Q102" i="128" s="1"/>
  <c r="S102" i="128" s="1"/>
  <c r="BB102" i="127"/>
  <c r="BB103" i="128"/>
  <c r="Q103" i="128" s="1"/>
  <c r="S103" i="128" s="1"/>
  <c r="BB103" i="129"/>
  <c r="Q103" i="129" s="1"/>
  <c r="S103" i="129" s="1"/>
  <c r="BB103" i="127"/>
  <c r="Q103" i="127" s="1"/>
  <c r="S103" i="127" s="1"/>
  <c r="P195" i="129"/>
  <c r="W195" i="129" s="1"/>
  <c r="P6" i="129"/>
  <c r="P198" i="129"/>
  <c r="W198" i="129" s="1"/>
  <c r="P10" i="129"/>
  <c r="P197" i="128"/>
  <c r="W197" i="128" s="1"/>
  <c r="P9" i="128"/>
  <c r="P197" i="129"/>
  <c r="W197" i="129" s="1"/>
  <c r="P8" i="129"/>
  <c r="P199" i="128"/>
  <c r="W199" i="128" s="1"/>
  <c r="P11" i="128"/>
  <c r="P198" i="127"/>
  <c r="W198" i="127" s="1"/>
  <c r="P10" i="127"/>
  <c r="P198" i="128"/>
  <c r="W198" i="128" s="1"/>
  <c r="P10" i="128"/>
  <c r="P196" i="127"/>
  <c r="W196" i="127" s="1"/>
  <c r="P7" i="127"/>
  <c r="P197" i="127"/>
  <c r="W197" i="127" s="1"/>
  <c r="P8" i="127"/>
  <c r="P195" i="127"/>
  <c r="W195" i="127" s="1"/>
  <c r="P6" i="127"/>
  <c r="P196" i="129"/>
  <c r="W196" i="129" s="1"/>
  <c r="P7" i="129"/>
  <c r="P197" i="52"/>
  <c r="W197" i="52" s="1"/>
  <c r="P198" i="52"/>
  <c r="W198" i="52" s="1"/>
  <c r="P11" i="52"/>
  <c r="P199" i="52"/>
  <c r="W199" i="52" s="1"/>
  <c r="P8" i="52"/>
  <c r="P10" i="52"/>
  <c r="P9" i="52"/>
  <c r="P6" i="52"/>
  <c r="P195" i="52"/>
  <c r="W195" i="52" s="1"/>
  <c r="G233" i="52" s="1"/>
  <c r="BA164" i="52"/>
  <c r="BA146" i="52"/>
  <c r="BA129" i="52"/>
  <c r="BA112" i="52"/>
  <c r="BA93" i="52"/>
  <c r="BA71" i="52"/>
  <c r="BA70" i="52"/>
  <c r="BA68" i="52"/>
  <c r="BA139" i="52"/>
  <c r="BA173" i="52"/>
  <c r="BA74" i="52"/>
  <c r="BA161" i="52"/>
  <c r="BA144" i="52"/>
  <c r="BA127" i="52"/>
  <c r="BA110" i="52"/>
  <c r="BA91" i="52"/>
  <c r="BA69" i="52"/>
  <c r="BA143" i="52"/>
  <c r="BA109" i="52"/>
  <c r="BA119" i="52"/>
  <c r="BA132" i="52"/>
  <c r="BA159" i="52"/>
  <c r="BA142" i="52"/>
  <c r="BA120" i="52"/>
  <c r="BA103" i="52"/>
  <c r="BA89" i="52"/>
  <c r="BA67" i="52"/>
  <c r="BA177" i="52"/>
  <c r="BA158" i="52"/>
  <c r="BA102" i="52"/>
  <c r="BA117" i="52"/>
  <c r="BA176" i="52"/>
  <c r="BA157" i="52"/>
  <c r="BA140" i="52"/>
  <c r="BA118" i="52"/>
  <c r="BA100" i="52"/>
  <c r="BA82" i="52"/>
  <c r="BA65" i="52"/>
  <c r="BA156" i="52"/>
  <c r="BA115" i="52"/>
  <c r="BA174" i="52"/>
  <c r="BA155" i="52"/>
  <c r="BA138" i="52"/>
  <c r="BA116" i="52"/>
  <c r="BA97" i="52"/>
  <c r="BA80" i="52"/>
  <c r="BA96" i="52"/>
  <c r="BA171" i="52"/>
  <c r="BA153" i="52"/>
  <c r="BA131" i="52"/>
  <c r="BA114" i="52"/>
  <c r="BA95" i="52"/>
  <c r="BA73" i="52"/>
  <c r="BA145" i="52"/>
  <c r="BA92" i="52"/>
  <c r="BA160" i="52"/>
  <c r="BA90" i="52"/>
  <c r="BA88" i="52"/>
  <c r="BA98" i="52"/>
  <c r="BA165" i="52"/>
  <c r="BA147" i="52"/>
  <c r="BA130" i="52"/>
  <c r="BA113" i="52"/>
  <c r="BA94" i="52"/>
  <c r="BA72" i="52"/>
  <c r="BA163" i="52"/>
  <c r="BA128" i="52"/>
  <c r="BA111" i="52"/>
  <c r="BA126" i="52"/>
  <c r="BA141" i="52"/>
  <c r="BA66" i="52"/>
  <c r="BA175" i="52"/>
  <c r="BA81" i="52"/>
  <c r="BA154" i="52"/>
  <c r="BB132" i="52"/>
  <c r="BB138" i="52"/>
  <c r="BB80" i="52"/>
  <c r="BB65" i="52"/>
  <c r="BB130" i="52"/>
  <c r="BB131" i="52"/>
  <c r="BB109" i="52"/>
  <c r="BB89" i="52"/>
  <c r="BB88" i="52"/>
  <c r="BB129" i="52"/>
  <c r="BB171" i="52"/>
  <c r="BB126" i="52"/>
  <c r="BB157" i="52"/>
  <c r="BB158" i="52"/>
  <c r="BB90" i="52"/>
  <c r="BB110" i="52"/>
  <c r="BB67" i="52"/>
  <c r="BB139" i="52"/>
  <c r="BB173" i="52"/>
  <c r="BB66" i="52"/>
  <c r="BB81" i="52"/>
  <c r="BB127" i="52"/>
  <c r="BB174" i="52"/>
  <c r="BB175" i="52"/>
  <c r="BB68" i="52"/>
  <c r="BB128" i="52"/>
  <c r="BB92" i="52"/>
  <c r="BB91" i="52"/>
  <c r="BB82" i="52"/>
  <c r="BB155" i="52"/>
  <c r="BB140" i="52"/>
  <c r="BB111" i="52"/>
  <c r="BB93" i="52"/>
  <c r="BB141" i="52"/>
  <c r="BB112" i="52"/>
  <c r="BB69" i="52"/>
  <c r="BB176" i="52"/>
  <c r="BB94" i="52"/>
  <c r="Q94" i="52" s="1"/>
  <c r="BB95" i="52"/>
  <c r="BB156" i="52"/>
  <c r="BB153" i="52"/>
  <c r="BB142" i="52"/>
  <c r="BB96" i="52"/>
  <c r="BB177" i="52"/>
  <c r="BB113" i="52"/>
  <c r="BB70" i="52"/>
  <c r="BB71" i="52"/>
  <c r="BB154" i="52"/>
  <c r="Q154" i="52" s="1"/>
  <c r="BB97" i="52"/>
  <c r="BB114" i="52"/>
  <c r="BB143" i="52"/>
  <c r="BB144" i="52"/>
  <c r="BB98" i="52"/>
  <c r="BB72" i="52"/>
  <c r="BB159" i="52"/>
  <c r="BB115" i="52"/>
  <c r="BB160" i="52"/>
  <c r="BB73" i="52"/>
  <c r="BB116" i="52"/>
  <c r="BB145" i="52"/>
  <c r="BB100" i="52"/>
  <c r="BB74" i="52"/>
  <c r="BB117" i="52"/>
  <c r="BB146" i="52"/>
  <c r="BB161" i="52"/>
  <c r="BB163" i="52"/>
  <c r="BB118" i="52"/>
  <c r="BB147" i="52"/>
  <c r="BB119" i="52"/>
  <c r="BB164" i="52"/>
  <c r="BB102" i="52"/>
  <c r="BB165" i="52"/>
  <c r="BB103" i="52"/>
  <c r="BB120" i="52"/>
  <c r="F235" i="7"/>
  <c r="S235" i="7"/>
  <c r="J235" i="7"/>
  <c r="H235" i="7"/>
  <c r="O235" i="7"/>
  <c r="X235" i="7"/>
  <c r="Q235" i="7"/>
  <c r="Z235" i="7"/>
  <c r="Z233" i="7"/>
  <c r="S234" i="7"/>
  <c r="F234" i="7"/>
  <c r="F233" i="7"/>
  <c r="O234" i="7"/>
  <c r="H236" i="7"/>
  <c r="S237" i="7"/>
  <c r="Q236" i="7"/>
  <c r="S236" i="7"/>
  <c r="O233" i="7"/>
  <c r="Q233" i="7"/>
  <c r="J234" i="7"/>
  <c r="H237" i="7"/>
  <c r="H233" i="7"/>
  <c r="X233" i="7"/>
  <c r="S233" i="7"/>
  <c r="J233" i="7"/>
  <c r="J236" i="7"/>
  <c r="Z234" i="7"/>
  <c r="O237" i="7"/>
  <c r="Q234" i="7"/>
  <c r="X236" i="7"/>
  <c r="F237" i="7"/>
  <c r="H234" i="7"/>
  <c r="O236" i="7"/>
  <c r="J237" i="7"/>
  <c r="Z237" i="7"/>
  <c r="Z236" i="7"/>
  <c r="Q237" i="7"/>
  <c r="X234" i="7"/>
  <c r="F236" i="7"/>
  <c r="X237" i="7"/>
  <c r="X231" i="7"/>
  <c r="Q231" i="7"/>
  <c r="O231" i="7"/>
  <c r="Z231" i="7"/>
  <c r="Z232" i="7"/>
  <c r="H231" i="7"/>
  <c r="J231" i="7"/>
  <c r="H232" i="7"/>
  <c r="S231" i="7"/>
  <c r="X232" i="7"/>
  <c r="F232" i="7"/>
  <c r="S232" i="7"/>
  <c r="J232" i="7"/>
  <c r="F231" i="7"/>
  <c r="O232" i="7"/>
  <c r="Q232" i="7"/>
  <c r="Z230" i="7"/>
  <c r="Q230" i="7"/>
  <c r="H230" i="7"/>
  <c r="S230" i="7"/>
  <c r="X230" i="7"/>
  <c r="O230" i="7"/>
  <c r="F230" i="7"/>
  <c r="J230" i="7"/>
  <c r="J417" i="127" l="1"/>
  <c r="P417" i="127" s="1"/>
  <c r="M233" i="127"/>
  <c r="Q164" i="128"/>
  <c r="S164" i="128" s="1"/>
  <c r="Q163" i="128"/>
  <c r="S163" i="128" s="1"/>
  <c r="Q147" i="127"/>
  <c r="M147" i="127" s="1"/>
  <c r="Q110" i="127"/>
  <c r="S110" i="127" s="1"/>
  <c r="Q139" i="129"/>
  <c r="M139" i="129" s="1"/>
  <c r="Q81" i="128"/>
  <c r="M81" i="128" s="1"/>
  <c r="Q111" i="128"/>
  <c r="S111" i="128" s="1"/>
  <c r="Z111" i="128" s="1"/>
  <c r="Q139" i="127"/>
  <c r="M139" i="127" s="1"/>
  <c r="M83" i="129"/>
  <c r="Q65" i="127"/>
  <c r="S65" i="127" s="1"/>
  <c r="J415" i="127"/>
  <c r="P415" i="127" s="1"/>
  <c r="J233" i="127"/>
  <c r="J417" i="128"/>
  <c r="P417" i="128" s="1"/>
  <c r="M233" i="128"/>
  <c r="J413" i="129"/>
  <c r="P413" i="129" s="1"/>
  <c r="G233" i="129"/>
  <c r="Q100" i="128"/>
  <c r="S100" i="128" s="1"/>
  <c r="Q72" i="129"/>
  <c r="S72" i="129" s="1"/>
  <c r="Q177" i="129"/>
  <c r="M177" i="129" s="1"/>
  <c r="Q143" i="129"/>
  <c r="M143" i="129" s="1"/>
  <c r="M148" i="129" s="1"/>
  <c r="M149" i="129" s="1"/>
  <c r="J149" i="129" s="1"/>
  <c r="Q114" i="128"/>
  <c r="S114" i="128" s="1"/>
  <c r="Q68" i="128"/>
  <c r="S68" i="128" s="1"/>
  <c r="Q128" i="128"/>
  <c r="M128" i="128" s="1"/>
  <c r="M185" i="128" s="1"/>
  <c r="M197" i="128" s="1"/>
  <c r="M415" i="129"/>
  <c r="Q129" i="129"/>
  <c r="M129" i="129" s="1"/>
  <c r="J417" i="129"/>
  <c r="P417" i="129" s="1"/>
  <c r="M233" i="129"/>
  <c r="Q118" i="127"/>
  <c r="S118" i="127" s="1"/>
  <c r="Q73" i="127"/>
  <c r="S73" i="127" s="1"/>
  <c r="Q115" i="128"/>
  <c r="S115" i="128" s="1"/>
  <c r="Q93" i="129"/>
  <c r="S93" i="129" s="1"/>
  <c r="Q113" i="128"/>
  <c r="S113" i="128" s="1"/>
  <c r="Z113" i="128" s="1"/>
  <c r="Q174" i="128"/>
  <c r="M174" i="128" s="1"/>
  <c r="M178" i="128" s="1"/>
  <c r="Q66" i="128"/>
  <c r="S66" i="128" s="1"/>
  <c r="Z66" i="128" s="1"/>
  <c r="Q110" i="129"/>
  <c r="S110" i="129" s="1"/>
  <c r="Q131" i="128"/>
  <c r="M131" i="128" s="1"/>
  <c r="M187" i="128" s="1"/>
  <c r="J413" i="127"/>
  <c r="P413" i="127" s="1"/>
  <c r="G233" i="127"/>
  <c r="J385" i="127" s="1"/>
  <c r="J416" i="129"/>
  <c r="P416" i="129" s="1"/>
  <c r="K233" i="129"/>
  <c r="J414" i="127"/>
  <c r="P414" i="127" s="1"/>
  <c r="H233" i="127"/>
  <c r="J415" i="129"/>
  <c r="P415" i="129" s="1"/>
  <c r="J233" i="129"/>
  <c r="Q146" i="129"/>
  <c r="M146" i="129" s="1"/>
  <c r="Q159" i="129"/>
  <c r="S159" i="129" s="1"/>
  <c r="Q153" i="128"/>
  <c r="S153" i="128" s="1"/>
  <c r="Z153" i="128" s="1"/>
  <c r="Q142" i="128"/>
  <c r="M142" i="128" s="1"/>
  <c r="M148" i="128" s="1"/>
  <c r="Q91" i="128"/>
  <c r="S91" i="128" s="1"/>
  <c r="Q67" i="127"/>
  <c r="S67" i="127" s="1"/>
  <c r="Z67" i="127" s="1"/>
  <c r="M83" i="128"/>
  <c r="Q67" i="128"/>
  <c r="S67" i="128" s="1"/>
  <c r="Z67" i="128" s="1"/>
  <c r="J414" i="128"/>
  <c r="P414" i="128" s="1"/>
  <c r="H233" i="128"/>
  <c r="J416" i="127"/>
  <c r="P416" i="127" s="1"/>
  <c r="K233" i="127"/>
  <c r="Q160" i="127"/>
  <c r="S160" i="127" s="1"/>
  <c r="Q71" i="129"/>
  <c r="S71" i="129" s="1"/>
  <c r="Q81" i="127"/>
  <c r="M81" i="127" s="1"/>
  <c r="M183" i="127" s="1"/>
  <c r="Q129" i="128"/>
  <c r="M129" i="128" s="1"/>
  <c r="M183" i="128" s="1"/>
  <c r="M184" i="127"/>
  <c r="M196" i="127" s="1"/>
  <c r="M414" i="127" s="1"/>
  <c r="Q102" i="129"/>
  <c r="S102" i="129" s="1"/>
  <c r="Q144" i="127"/>
  <c r="M144" i="127" s="1"/>
  <c r="J414" i="129"/>
  <c r="P414" i="129" s="1"/>
  <c r="H233" i="129"/>
  <c r="J416" i="128"/>
  <c r="P416" i="128" s="1"/>
  <c r="K233" i="128"/>
  <c r="J385" i="128" s="1"/>
  <c r="J415" i="128"/>
  <c r="P415" i="128" s="1"/>
  <c r="J233" i="128"/>
  <c r="Q102" i="127"/>
  <c r="S102" i="127" s="1"/>
  <c r="Q161" i="128"/>
  <c r="S161" i="128" s="1"/>
  <c r="Q97" i="128"/>
  <c r="S97" i="128" s="1"/>
  <c r="Q156" i="129"/>
  <c r="S156" i="129" s="1"/>
  <c r="M195" i="129"/>
  <c r="M413" i="129" s="1"/>
  <c r="Q66" i="129"/>
  <c r="S66" i="129" s="1"/>
  <c r="Z66" i="129" s="1"/>
  <c r="Q158" i="128"/>
  <c r="S158" i="128" s="1"/>
  <c r="M188" i="128"/>
  <c r="Q65" i="129"/>
  <c r="S65" i="129" s="1"/>
  <c r="M133" i="129"/>
  <c r="J413" i="128"/>
  <c r="P413" i="128" s="1"/>
  <c r="G233" i="128"/>
  <c r="Q90" i="52"/>
  <c r="S90" i="52" s="1"/>
  <c r="Q93" i="52"/>
  <c r="S93" i="52" s="1"/>
  <c r="Q119" i="52"/>
  <c r="S119" i="52" s="1"/>
  <c r="J413" i="52"/>
  <c r="P413" i="52" s="1"/>
  <c r="K233" i="52"/>
  <c r="J416" i="52"/>
  <c r="J417" i="52"/>
  <c r="M233" i="52"/>
  <c r="J415" i="52"/>
  <c r="J233" i="52"/>
  <c r="Q160" i="52"/>
  <c r="S160" i="52" s="1"/>
  <c r="Q163" i="52"/>
  <c r="S163" i="52" s="1"/>
  <c r="Q155" i="52"/>
  <c r="S155" i="52" s="1"/>
  <c r="Q143" i="52"/>
  <c r="M143" i="52" s="1"/>
  <c r="Q81" i="52"/>
  <c r="M81" i="52" s="1"/>
  <c r="Q72" i="52"/>
  <c r="S72" i="52" s="1"/>
  <c r="Q115" i="52"/>
  <c r="S115" i="52" s="1"/>
  <c r="Q113" i="52"/>
  <c r="S113" i="52" s="1"/>
  <c r="Q89" i="52"/>
  <c r="S89" i="52" s="1"/>
  <c r="Q67" i="52"/>
  <c r="S67" i="52" s="1"/>
  <c r="Q156" i="52"/>
  <c r="S156" i="52" s="1"/>
  <c r="Q110" i="52"/>
  <c r="S110" i="52" s="1"/>
  <c r="Q129" i="52"/>
  <c r="Q120" i="52"/>
  <c r="S120" i="52" s="1"/>
  <c r="Q138" i="52"/>
  <c r="M138" i="52" s="1"/>
  <c r="Q146" i="52"/>
  <c r="M146" i="52" s="1"/>
  <c r="Q131" i="52"/>
  <c r="M131" i="52" s="1"/>
  <c r="Q153" i="52"/>
  <c r="S153" i="52" s="1"/>
  <c r="Q144" i="52"/>
  <c r="M144" i="52" s="1"/>
  <c r="Q91" i="52"/>
  <c r="S91" i="52" s="1"/>
  <c r="Q65" i="52"/>
  <c r="S65" i="52" s="1"/>
  <c r="Q82" i="52"/>
  <c r="M82" i="52" s="1"/>
  <c r="Q117" i="52"/>
  <c r="S117" i="52" s="1"/>
  <c r="Q95" i="52"/>
  <c r="S95" i="52" s="1"/>
  <c r="Q92" i="52"/>
  <c r="S92" i="52" s="1"/>
  <c r="Q103" i="52"/>
  <c r="S103" i="52" s="1"/>
  <c r="Q139" i="52"/>
  <c r="M139" i="52" s="1"/>
  <c r="Q173" i="52"/>
  <c r="M173" i="52" s="1"/>
  <c r="Q161" i="52"/>
  <c r="S161" i="52" s="1"/>
  <c r="Q98" i="52"/>
  <c r="S98" i="52" s="1"/>
  <c r="Q159" i="52"/>
  <c r="S159" i="52" s="1"/>
  <c r="Q96" i="52"/>
  <c r="S96" i="52" s="1"/>
  <c r="Q140" i="52"/>
  <c r="M140" i="52" s="1"/>
  <c r="Q74" i="52"/>
  <c r="S74" i="52" s="1"/>
  <c r="Q66" i="52"/>
  <c r="S66" i="52" s="1"/>
  <c r="Q100" i="52"/>
  <c r="S100" i="52" s="1"/>
  <c r="Q97" i="52"/>
  <c r="S97" i="52" s="1"/>
  <c r="Q176" i="52"/>
  <c r="M176" i="52" s="1"/>
  <c r="Q68" i="52"/>
  <c r="S68" i="52" s="1"/>
  <c r="Q157" i="52"/>
  <c r="S157" i="52" s="1"/>
  <c r="Q118" i="52"/>
  <c r="S118" i="52" s="1"/>
  <c r="Q165" i="52"/>
  <c r="S165" i="52" s="1"/>
  <c r="Q145" i="52"/>
  <c r="M145" i="52" s="1"/>
  <c r="Q69" i="52"/>
  <c r="Q175" i="52"/>
  <c r="M175" i="52" s="1"/>
  <c r="Q126" i="52"/>
  <c r="Q80" i="52"/>
  <c r="M80" i="52" s="1"/>
  <c r="Q102" i="52"/>
  <c r="S102" i="52" s="1"/>
  <c r="Q116" i="52"/>
  <c r="S116" i="52" s="1"/>
  <c r="Q171" i="52"/>
  <c r="M171" i="52" s="1"/>
  <c r="Q73" i="52"/>
  <c r="S73" i="52" s="1"/>
  <c r="Q141" i="52"/>
  <c r="M141" i="52" s="1"/>
  <c r="Q128" i="52"/>
  <c r="Q158" i="52"/>
  <c r="S158" i="52" s="1"/>
  <c r="Q164" i="52"/>
  <c r="S164" i="52" s="1"/>
  <c r="Q70" i="52"/>
  <c r="S70" i="52" s="1"/>
  <c r="Q174" i="52"/>
  <c r="M174" i="52" s="1"/>
  <c r="Q88" i="52"/>
  <c r="S88" i="52" s="1"/>
  <c r="Q147" i="52"/>
  <c r="M147" i="52" s="1"/>
  <c r="Q177" i="52"/>
  <c r="M177" i="52" s="1"/>
  <c r="Q111" i="52"/>
  <c r="S111" i="52" s="1"/>
  <c r="Q142" i="52"/>
  <c r="M142" i="52" s="1"/>
  <c r="Q109" i="52"/>
  <c r="S109" i="52" s="1"/>
  <c r="Q130" i="52"/>
  <c r="M130" i="52" s="1"/>
  <c r="Q114" i="52"/>
  <c r="S114" i="52" s="1"/>
  <c r="Q132" i="52"/>
  <c r="M132" i="52" s="1"/>
  <c r="Q71" i="52"/>
  <c r="S71" i="52" s="1"/>
  <c r="Q112" i="52"/>
  <c r="S112" i="52" s="1"/>
  <c r="S94" i="52"/>
  <c r="S154" i="52"/>
  <c r="W153" i="52"/>
  <c r="W157" i="52"/>
  <c r="G153" i="7"/>
  <c r="G149" i="7"/>
  <c r="G148" i="7"/>
  <c r="G146" i="7"/>
  <c r="G136" i="7"/>
  <c r="G135" i="7"/>
  <c r="G134" i="7"/>
  <c r="G131" i="7"/>
  <c r="G129" i="7"/>
  <c r="G128" i="7"/>
  <c r="G126" i="7"/>
  <c r="K385" i="128" l="1"/>
  <c r="Q385" i="128"/>
  <c r="P418" i="128"/>
  <c r="P422" i="128" s="1"/>
  <c r="T413" i="128"/>
  <c r="T416" i="128"/>
  <c r="M195" i="128"/>
  <c r="M413" i="128" s="1"/>
  <c r="M190" i="128"/>
  <c r="M191" i="128" s="1"/>
  <c r="J191" i="128" s="1"/>
  <c r="M148" i="127"/>
  <c r="M190" i="127"/>
  <c r="M191" i="127" s="1"/>
  <c r="J191" i="127" s="1"/>
  <c r="M195" i="127"/>
  <c r="Q385" i="127"/>
  <c r="K385" i="127"/>
  <c r="M415" i="128"/>
  <c r="P418" i="127"/>
  <c r="J385" i="129"/>
  <c r="M198" i="128"/>
  <c r="M416" i="128" s="1"/>
  <c r="P418" i="129"/>
  <c r="P422" i="129" s="1"/>
  <c r="M133" i="128"/>
  <c r="M134" i="128" s="1"/>
  <c r="J134" i="128" s="1"/>
  <c r="T417" i="128"/>
  <c r="T415" i="128"/>
  <c r="M83" i="127"/>
  <c r="M84" i="127" s="1"/>
  <c r="J84" i="127" s="1"/>
  <c r="T416" i="127"/>
  <c r="T414" i="127"/>
  <c r="M178" i="129"/>
  <c r="M179" i="129" s="1"/>
  <c r="J179" i="129" s="1"/>
  <c r="M188" i="129"/>
  <c r="M188" i="52"/>
  <c r="M189" i="52"/>
  <c r="M199" i="52" s="1"/>
  <c r="M417" i="52" s="1"/>
  <c r="M187" i="52"/>
  <c r="M83" i="52"/>
  <c r="M129" i="52"/>
  <c r="M183" i="52" s="1"/>
  <c r="M195" i="52" s="1"/>
  <c r="M413" i="52" s="1"/>
  <c r="M128" i="52"/>
  <c r="M185" i="52" s="1"/>
  <c r="M197" i="52" s="1"/>
  <c r="M415" i="52" s="1"/>
  <c r="M126" i="52"/>
  <c r="M184" i="52" s="1"/>
  <c r="M196" i="52" s="1"/>
  <c r="M414" i="52" s="1"/>
  <c r="M178" i="52"/>
  <c r="M148" i="52"/>
  <c r="M149" i="52" s="1"/>
  <c r="Z153" i="52"/>
  <c r="Z157" i="52"/>
  <c r="D14" i="34"/>
  <c r="M413" i="127" l="1"/>
  <c r="M200" i="127"/>
  <c r="P424" i="129"/>
  <c r="S422" i="129"/>
  <c r="M198" i="129"/>
  <c r="M190" i="129"/>
  <c r="M191" i="129" s="1"/>
  <c r="J191" i="129" s="1"/>
  <c r="T413" i="127"/>
  <c r="T418" i="127" s="1"/>
  <c r="P422" i="127"/>
  <c r="P424" i="127" s="1"/>
  <c r="T418" i="128"/>
  <c r="T417" i="127"/>
  <c r="T414" i="129"/>
  <c r="P424" i="128"/>
  <c r="S422" i="128" s="1"/>
  <c r="T415" i="129"/>
  <c r="M200" i="128"/>
  <c r="T416" i="129"/>
  <c r="T415" i="127"/>
  <c r="T414" i="128"/>
  <c r="T417" i="129"/>
  <c r="K385" i="129"/>
  <c r="Q385" i="129"/>
  <c r="T413" i="129"/>
  <c r="M198" i="52"/>
  <c r="M416" i="52" s="1"/>
  <c r="J35" i="52"/>
  <c r="J36" i="52" s="1"/>
  <c r="M190" i="52"/>
  <c r="M191" i="52" s="1"/>
  <c r="M133" i="52"/>
  <c r="L31" i="20"/>
  <c r="O31" i="20" s="1"/>
  <c r="L45" i="20"/>
  <c r="N45" i="20" s="1"/>
  <c r="L44" i="20"/>
  <c r="N44" i="20" s="1"/>
  <c r="L43" i="20"/>
  <c r="O43" i="20" s="1"/>
  <c r="L39" i="20"/>
  <c r="O39" i="20" s="1"/>
  <c r="L38" i="20"/>
  <c r="O38" i="20" s="1"/>
  <c r="L37" i="20"/>
  <c r="N37" i="20" s="1"/>
  <c r="L36" i="20"/>
  <c r="N36" i="20" s="1"/>
  <c r="L35" i="20"/>
  <c r="O35" i="20" s="1"/>
  <c r="L27" i="20"/>
  <c r="O27" i="20" s="1"/>
  <c r="L26" i="20"/>
  <c r="O26" i="20" s="1"/>
  <c r="L25" i="20"/>
  <c r="O25" i="20" s="1"/>
  <c r="L24" i="20"/>
  <c r="O24" i="20" s="1"/>
  <c r="L20" i="20"/>
  <c r="O20" i="20" s="1"/>
  <c r="L19" i="20"/>
  <c r="N19" i="20" s="1"/>
  <c r="L18" i="20"/>
  <c r="O18" i="20" s="1"/>
  <c r="H24" i="20"/>
  <c r="H52" i="46"/>
  <c r="F52" i="46"/>
  <c r="H51" i="46"/>
  <c r="F51" i="46"/>
  <c r="H50" i="46"/>
  <c r="F50" i="46"/>
  <c r="H49" i="46"/>
  <c r="F49" i="46"/>
  <c r="E48" i="46"/>
  <c r="N45" i="46"/>
  <c r="L45" i="46"/>
  <c r="O45" i="46" s="1"/>
  <c r="F45" i="46"/>
  <c r="L44" i="46"/>
  <c r="N44" i="46" s="1"/>
  <c r="F44" i="46"/>
  <c r="L43" i="46"/>
  <c r="O43" i="46" s="1"/>
  <c r="F43" i="46"/>
  <c r="E42" i="46"/>
  <c r="L39" i="46"/>
  <c r="O39" i="46" s="1"/>
  <c r="F39" i="46"/>
  <c r="L38" i="46"/>
  <c r="N38" i="46" s="1"/>
  <c r="F38" i="46"/>
  <c r="N37" i="46"/>
  <c r="L37" i="46"/>
  <c r="O37" i="46" s="1"/>
  <c r="F37" i="46"/>
  <c r="L36" i="46"/>
  <c r="N36" i="46" s="1"/>
  <c r="F36" i="46"/>
  <c r="N35" i="46"/>
  <c r="L35" i="46"/>
  <c r="O35" i="46" s="1"/>
  <c r="F35" i="46"/>
  <c r="E34" i="46"/>
  <c r="L31" i="46"/>
  <c r="O31" i="46" s="1"/>
  <c r="H31" i="46"/>
  <c r="H30" i="46" s="1"/>
  <c r="F31" i="46"/>
  <c r="E30" i="46"/>
  <c r="L27" i="46"/>
  <c r="O27" i="46" s="1"/>
  <c r="F27" i="46"/>
  <c r="L26" i="46"/>
  <c r="O26" i="46" s="1"/>
  <c r="F26" i="46"/>
  <c r="L25" i="46"/>
  <c r="O25" i="46" s="1"/>
  <c r="L24" i="46"/>
  <c r="O24" i="46" s="1"/>
  <c r="H24" i="46"/>
  <c r="F24" i="46"/>
  <c r="E23" i="46"/>
  <c r="L20" i="46"/>
  <c r="O20" i="46" s="1"/>
  <c r="F20" i="46"/>
  <c r="O19" i="46"/>
  <c r="N19" i="46"/>
  <c r="L19" i="46"/>
  <c r="F19" i="46"/>
  <c r="L18" i="46"/>
  <c r="O18" i="46" s="1"/>
  <c r="F18" i="46"/>
  <c r="E17" i="46"/>
  <c r="F14" i="46"/>
  <c r="D9" i="46"/>
  <c r="D8" i="46"/>
  <c r="D7" i="46"/>
  <c r="D6" i="46"/>
  <c r="O44" i="20"/>
  <c r="O36" i="20"/>
  <c r="N27" i="20"/>
  <c r="N20" i="20"/>
  <c r="M416" i="129" l="1"/>
  <c r="M200" i="129"/>
  <c r="O36" i="46"/>
  <c r="N26" i="46"/>
  <c r="O44" i="46"/>
  <c r="S424" i="128"/>
  <c r="S423" i="128"/>
  <c r="N38" i="20"/>
  <c r="S423" i="129"/>
  <c r="S424" i="129"/>
  <c r="M418" i="127"/>
  <c r="M201" i="127"/>
  <c r="N43" i="46"/>
  <c r="S422" i="127"/>
  <c r="S424" i="127"/>
  <c r="S423" i="127"/>
  <c r="S413" i="127"/>
  <c r="N39" i="46"/>
  <c r="O38" i="46"/>
  <c r="T418" i="129"/>
  <c r="M418" i="128"/>
  <c r="M201" i="128"/>
  <c r="J122" i="52"/>
  <c r="F122" i="52"/>
  <c r="M200" i="52"/>
  <c r="M201" i="52" s="1"/>
  <c r="M419" i="52" s="1"/>
  <c r="J191" i="52"/>
  <c r="F201" i="52"/>
  <c r="F149" i="52"/>
  <c r="F191" i="52"/>
  <c r="J149" i="52"/>
  <c r="H48" i="46"/>
  <c r="O45" i="20"/>
  <c r="N43" i="20"/>
  <c r="N39" i="20"/>
  <c r="O37" i="20"/>
  <c r="N35" i="20"/>
  <c r="N26" i="20"/>
  <c r="N25" i="20"/>
  <c r="N24" i="20"/>
  <c r="O19" i="20"/>
  <c r="N18" i="20"/>
  <c r="N18" i="46"/>
  <c r="N20" i="46"/>
  <c r="N24" i="46"/>
  <c r="N25" i="46"/>
  <c r="N27" i="46"/>
  <c r="J201" i="128" l="1"/>
  <c r="M419" i="128"/>
  <c r="S414" i="128"/>
  <c r="S417" i="128"/>
  <c r="S416" i="128"/>
  <c r="S415" i="128"/>
  <c r="S413" i="128"/>
  <c r="S418" i="128" s="1"/>
  <c r="M419" i="127"/>
  <c r="J201" i="127"/>
  <c r="S417" i="127"/>
  <c r="S415" i="127"/>
  <c r="S416" i="127"/>
  <c r="S414" i="127"/>
  <c r="M418" i="129"/>
  <c r="M201" i="129"/>
  <c r="S418" i="127"/>
  <c r="S416" i="129"/>
  <c r="M418" i="52"/>
  <c r="S414" i="52" s="1"/>
  <c r="J201" i="52"/>
  <c r="P55" i="52"/>
  <c r="AG55" i="52" s="1"/>
  <c r="P50" i="52"/>
  <c r="AG50" i="52" s="1"/>
  <c r="P53" i="52"/>
  <c r="AG53" i="52" s="1"/>
  <c r="P51" i="52"/>
  <c r="AG51" i="52" s="1"/>
  <c r="P45" i="52"/>
  <c r="AG45" i="52" s="1"/>
  <c r="P54" i="52"/>
  <c r="AG54" i="52" s="1"/>
  <c r="P49" i="52"/>
  <c r="AG49" i="52" s="1"/>
  <c r="G7" i="52"/>
  <c r="P52" i="52"/>
  <c r="AG52" i="52" s="1"/>
  <c r="C131" i="28"/>
  <c r="F131" i="28" s="1"/>
  <c r="F130" i="28"/>
  <c r="C129" i="28"/>
  <c r="F129" i="28" s="1"/>
  <c r="F128" i="28"/>
  <c r="C127" i="28"/>
  <c r="F127" i="28" s="1"/>
  <c r="F126" i="28"/>
  <c r="C125" i="28"/>
  <c r="F125" i="28" s="1"/>
  <c r="F124" i="28"/>
  <c r="C123" i="28"/>
  <c r="F123" i="28" s="1"/>
  <c r="F122" i="28"/>
  <c r="C121" i="28"/>
  <c r="F121" i="28" s="1"/>
  <c r="F120" i="28"/>
  <c r="C119" i="28"/>
  <c r="F119" i="28" s="1"/>
  <c r="F118" i="28"/>
  <c r="C117" i="28"/>
  <c r="F117" i="28" s="1"/>
  <c r="F116" i="28"/>
  <c r="F115" i="28"/>
  <c r="C114" i="28"/>
  <c r="F114" i="28" s="1"/>
  <c r="F113" i="28"/>
  <c r="C112" i="28"/>
  <c r="F112" i="28" s="1"/>
  <c r="F111" i="28"/>
  <c r="C110" i="28"/>
  <c r="F110" i="28" s="1"/>
  <c r="F109" i="28"/>
  <c r="R108" i="28"/>
  <c r="Q108" i="28"/>
  <c r="N108" i="28"/>
  <c r="M108" i="28"/>
  <c r="L108" i="28"/>
  <c r="K108" i="28"/>
  <c r="J108" i="28"/>
  <c r="I108" i="28"/>
  <c r="H108" i="28"/>
  <c r="G108" i="28"/>
  <c r="C108" i="28"/>
  <c r="F108" i="28" s="1"/>
  <c r="F107" i="28"/>
  <c r="R106" i="28"/>
  <c r="Q106" i="28"/>
  <c r="N106" i="28"/>
  <c r="M106" i="28"/>
  <c r="L106" i="28"/>
  <c r="K106" i="28"/>
  <c r="J106" i="28"/>
  <c r="I106" i="28"/>
  <c r="H106" i="28"/>
  <c r="G106" i="28"/>
  <c r="C106" i="28"/>
  <c r="F106" i="28" s="1"/>
  <c r="F105" i="28"/>
  <c r="C104" i="28"/>
  <c r="F104" i="28" s="1"/>
  <c r="F103" i="28"/>
  <c r="R102" i="28"/>
  <c r="Q102" i="28"/>
  <c r="M102" i="28"/>
  <c r="L102" i="28"/>
  <c r="K102" i="28"/>
  <c r="J102" i="28"/>
  <c r="I102" i="28"/>
  <c r="H102" i="28"/>
  <c r="G102" i="28"/>
  <c r="C102" i="28"/>
  <c r="F102" i="28" s="1"/>
  <c r="F101" i="28"/>
  <c r="K18" i="20" s="1"/>
  <c r="Q99" i="28"/>
  <c r="R99" i="28" s="1"/>
  <c r="G99" i="28"/>
  <c r="H99" i="28" s="1"/>
  <c r="I99" i="28" s="1"/>
  <c r="J99" i="28" s="1"/>
  <c r="K99" i="28" s="1"/>
  <c r="L99" i="28" s="1"/>
  <c r="M99" i="28" s="1"/>
  <c r="N99" i="28" s="1"/>
  <c r="P168" i="7"/>
  <c r="P167" i="7"/>
  <c r="P166" i="7"/>
  <c r="P163" i="7"/>
  <c r="P161" i="7"/>
  <c r="P160" i="7"/>
  <c r="P159" i="7"/>
  <c r="P158" i="7"/>
  <c r="G168" i="7"/>
  <c r="G167" i="7"/>
  <c r="G166" i="7"/>
  <c r="G163" i="7"/>
  <c r="G161" i="7"/>
  <c r="G160" i="7"/>
  <c r="S417" i="129" l="1"/>
  <c r="S414" i="129"/>
  <c r="S413" i="129"/>
  <c r="S415" i="129"/>
  <c r="M419" i="129"/>
  <c r="J201" i="129"/>
  <c r="S413" i="52"/>
  <c r="S416" i="52"/>
  <c r="S417" i="52"/>
  <c r="S415" i="52"/>
  <c r="K45" i="20"/>
  <c r="K43" i="20"/>
  <c r="K38" i="20"/>
  <c r="K36" i="20"/>
  <c r="K31" i="20"/>
  <c r="H26" i="20"/>
  <c r="K20" i="20"/>
  <c r="H45" i="20"/>
  <c r="H43" i="20"/>
  <c r="H38" i="20"/>
  <c r="H36" i="20"/>
  <c r="K27" i="20"/>
  <c r="K25" i="20"/>
  <c r="H20" i="20"/>
  <c r="H18" i="20"/>
  <c r="H39" i="20"/>
  <c r="H37" i="20"/>
  <c r="K44" i="20"/>
  <c r="K39" i="20"/>
  <c r="K37" i="20"/>
  <c r="K35" i="20"/>
  <c r="H27" i="20"/>
  <c r="K24" i="20"/>
  <c r="K19" i="20"/>
  <c r="H44" i="20"/>
  <c r="H35" i="20"/>
  <c r="K26" i="20"/>
  <c r="H19" i="20"/>
  <c r="S418" i="129" l="1"/>
  <c r="S418" i="52"/>
  <c r="Q144" i="7"/>
  <c r="S148" i="7"/>
  <c r="S149" i="7"/>
  <c r="S153" i="7"/>
  <c r="S104" i="7"/>
  <c r="S100" i="7"/>
  <c r="S99" i="7"/>
  <c r="S60" i="7"/>
  <c r="AB60" i="7" s="1"/>
  <c r="S69" i="7"/>
  <c r="S68" i="7"/>
  <c r="AB68" i="7" s="1"/>
  <c r="S67" i="7"/>
  <c r="S135" i="7" s="1"/>
  <c r="S66" i="7"/>
  <c r="S134" i="7" s="1"/>
  <c r="S65" i="7"/>
  <c r="S64" i="7"/>
  <c r="S132" i="7" s="1"/>
  <c r="S63" i="7"/>
  <c r="AB63" i="7" s="1"/>
  <c r="S62" i="7"/>
  <c r="S130" i="7" s="1"/>
  <c r="S61" i="7"/>
  <c r="Q69" i="7"/>
  <c r="Q68" i="7"/>
  <c r="Q67" i="7"/>
  <c r="Q66" i="7"/>
  <c r="Q65" i="7"/>
  <c r="Q64" i="7"/>
  <c r="Q63" i="7"/>
  <c r="Q62" i="7"/>
  <c r="Q61" i="7"/>
  <c r="Q60" i="7"/>
  <c r="Q59" i="7"/>
  <c r="Q58" i="7"/>
  <c r="S57" i="7"/>
  <c r="H148" i="7"/>
  <c r="I148" i="7"/>
  <c r="J148" i="7"/>
  <c r="J164" i="7" s="1"/>
  <c r="H149" i="7"/>
  <c r="I149" i="7"/>
  <c r="J149" i="7"/>
  <c r="J165" i="7" s="1"/>
  <c r="H153" i="7"/>
  <c r="I153" i="7"/>
  <c r="J153" i="7"/>
  <c r="J169" i="7" s="1"/>
  <c r="F136" i="7"/>
  <c r="J136" i="7" s="1"/>
  <c r="F135" i="7"/>
  <c r="J135" i="7" s="1"/>
  <c r="F134" i="7"/>
  <c r="J134" i="7" s="1"/>
  <c r="F131" i="7"/>
  <c r="J131" i="7" s="1"/>
  <c r="F129" i="7"/>
  <c r="J129" i="7" s="1"/>
  <c r="F128" i="7"/>
  <c r="J128" i="7" s="1"/>
  <c r="F126" i="7"/>
  <c r="J126" i="7" s="1"/>
  <c r="P99" i="7"/>
  <c r="P100" i="7"/>
  <c r="P104" i="7"/>
  <c r="Y69" i="7"/>
  <c r="Y68" i="7"/>
  <c r="Y67" i="7"/>
  <c r="Y66" i="7"/>
  <c r="Y65" i="7"/>
  <c r="Y64" i="7"/>
  <c r="Y63" i="7"/>
  <c r="Y62" i="7"/>
  <c r="Y61" i="7"/>
  <c r="Y60" i="7"/>
  <c r="P57" i="7"/>
  <c r="G218" i="7"/>
  <c r="H218" i="7" s="1"/>
  <c r="G221" i="7"/>
  <c r="G41" i="7"/>
  <c r="G20" i="7" s="1"/>
  <c r="G40" i="7"/>
  <c r="H224" i="7" l="1"/>
  <c r="H223" i="7"/>
  <c r="H225" i="7"/>
  <c r="H222" i="7"/>
  <c r="H226" i="7"/>
  <c r="H221" i="7"/>
  <c r="H220" i="7"/>
  <c r="H219" i="7"/>
  <c r="G222" i="7"/>
  <c r="S136" i="7"/>
  <c r="AB64" i="7"/>
  <c r="S164" i="7"/>
  <c r="AB164" i="7" s="1"/>
  <c r="AB66" i="7"/>
  <c r="H128" i="7"/>
  <c r="S131" i="7"/>
  <c r="AB62" i="7"/>
  <c r="AB67" i="7"/>
  <c r="AB61" i="7"/>
  <c r="S129" i="7"/>
  <c r="AB65" i="7"/>
  <c r="S133" i="7"/>
  <c r="S165" i="7" s="1"/>
  <c r="AB165" i="7" s="1"/>
  <c r="AB69" i="7"/>
  <c r="S137" i="7"/>
  <c r="S169" i="7" s="1"/>
  <c r="AB169" i="7" s="1"/>
  <c r="S128" i="7"/>
  <c r="G43" i="7"/>
  <c r="V22" i="42"/>
  <c r="T22" i="42"/>
  <c r="O22" i="42"/>
  <c r="N22" i="42"/>
  <c r="L22" i="42"/>
  <c r="I22" i="42"/>
  <c r="G22" i="42"/>
  <c r="V23" i="42"/>
  <c r="T23" i="42"/>
  <c r="O23" i="42"/>
  <c r="N23" i="42"/>
  <c r="L23" i="42"/>
  <c r="I23" i="42"/>
  <c r="G23" i="42"/>
  <c r="V24" i="42"/>
  <c r="T24" i="42"/>
  <c r="O24" i="42"/>
  <c r="N24" i="42"/>
  <c r="L24" i="42"/>
  <c r="I24" i="42"/>
  <c r="G24" i="42"/>
  <c r="V25" i="42"/>
  <c r="T25" i="42"/>
  <c r="O25" i="42"/>
  <c r="N25" i="42"/>
  <c r="L25" i="42"/>
  <c r="I25" i="42"/>
  <c r="G25" i="42"/>
  <c r="V26" i="42"/>
  <c r="T26" i="42"/>
  <c r="O26" i="42"/>
  <c r="N26" i="42"/>
  <c r="L26" i="42"/>
  <c r="I26" i="42"/>
  <c r="G26" i="42"/>
  <c r="V27" i="42"/>
  <c r="T27" i="42"/>
  <c r="O27" i="42"/>
  <c r="N27" i="42"/>
  <c r="L27" i="42"/>
  <c r="I27" i="42"/>
  <c r="G27" i="42"/>
  <c r="V28" i="42"/>
  <c r="T28" i="42"/>
  <c r="O28" i="42"/>
  <c r="N28" i="42"/>
  <c r="L28" i="42"/>
  <c r="I28" i="42"/>
  <c r="G28" i="42"/>
  <c r="V29" i="42"/>
  <c r="T29" i="42"/>
  <c r="O29" i="42"/>
  <c r="N29" i="42"/>
  <c r="L29" i="42"/>
  <c r="I29" i="42"/>
  <c r="G29" i="42"/>
  <c r="V30" i="42"/>
  <c r="T30" i="42"/>
  <c r="O30" i="42"/>
  <c r="N30" i="42"/>
  <c r="L30" i="42"/>
  <c r="I30" i="42"/>
  <c r="G30" i="42"/>
  <c r="V31" i="42"/>
  <c r="T31" i="42"/>
  <c r="O31" i="42"/>
  <c r="N31" i="42"/>
  <c r="L31" i="42"/>
  <c r="I31" i="42"/>
  <c r="G31" i="42"/>
  <c r="V32" i="42"/>
  <c r="T32" i="42"/>
  <c r="O32" i="42"/>
  <c r="N32" i="42"/>
  <c r="L32" i="42"/>
  <c r="I32" i="42"/>
  <c r="G32" i="42"/>
  <c r="V33" i="42"/>
  <c r="T33" i="42"/>
  <c r="O33" i="42"/>
  <c r="N33" i="42"/>
  <c r="L33" i="42"/>
  <c r="I33" i="42"/>
  <c r="G33" i="42"/>
  <c r="V34" i="42"/>
  <c r="T34" i="42"/>
  <c r="O34" i="42"/>
  <c r="N34" i="42"/>
  <c r="L34" i="42"/>
  <c r="I34" i="42"/>
  <c r="G34" i="42"/>
  <c r="V35" i="42"/>
  <c r="T35" i="42"/>
  <c r="O35" i="42"/>
  <c r="N35" i="42"/>
  <c r="L35" i="42"/>
  <c r="I35" i="42"/>
  <c r="G35" i="42"/>
  <c r="V36" i="42"/>
  <c r="T36" i="42"/>
  <c r="O36" i="42"/>
  <c r="N36" i="42"/>
  <c r="L36" i="42"/>
  <c r="I36" i="42"/>
  <c r="G36" i="42"/>
  <c r="V37" i="42"/>
  <c r="T37" i="42"/>
  <c r="O37" i="42"/>
  <c r="N37" i="42"/>
  <c r="L37" i="42"/>
  <c r="I37" i="42"/>
  <c r="G37" i="42"/>
  <c r="V38" i="42"/>
  <c r="T38" i="42"/>
  <c r="O38" i="42"/>
  <c r="N38" i="42"/>
  <c r="L38" i="42"/>
  <c r="I38" i="42"/>
  <c r="G38" i="42"/>
  <c r="V39" i="42"/>
  <c r="T39" i="42"/>
  <c r="O39" i="42"/>
  <c r="N39" i="42"/>
  <c r="L39" i="42"/>
  <c r="I39" i="42"/>
  <c r="G39" i="42"/>
  <c r="V40" i="42"/>
  <c r="T40" i="42"/>
  <c r="O40" i="42"/>
  <c r="N40" i="42"/>
  <c r="L40" i="42"/>
  <c r="I40" i="42"/>
  <c r="G40" i="42"/>
  <c r="V41" i="42"/>
  <c r="T41" i="42"/>
  <c r="O41" i="42"/>
  <c r="N41" i="42"/>
  <c r="L41" i="42"/>
  <c r="I41" i="42"/>
  <c r="G41" i="42"/>
  <c r="V42" i="42"/>
  <c r="T42" i="42"/>
  <c r="O42" i="42"/>
  <c r="N42" i="42"/>
  <c r="L42" i="42"/>
  <c r="I42" i="42"/>
  <c r="G42" i="42"/>
  <c r="V43" i="42"/>
  <c r="T43" i="42"/>
  <c r="O43" i="42"/>
  <c r="N43" i="42"/>
  <c r="L43" i="42"/>
  <c r="I43" i="42"/>
  <c r="G43" i="42"/>
  <c r="V44" i="42"/>
  <c r="T44" i="42"/>
  <c r="O44" i="42"/>
  <c r="N44" i="42"/>
  <c r="L44" i="42"/>
  <c r="I44" i="42"/>
  <c r="G44" i="42"/>
  <c r="V45" i="42"/>
  <c r="T45" i="42"/>
  <c r="O45" i="42"/>
  <c r="N45" i="42"/>
  <c r="L45" i="42"/>
  <c r="I45" i="42"/>
  <c r="G45" i="42"/>
  <c r="V46" i="42"/>
  <c r="T46" i="42"/>
  <c r="O46" i="42"/>
  <c r="N46" i="42"/>
  <c r="L46" i="42"/>
  <c r="I46" i="42"/>
  <c r="G46" i="42"/>
  <c r="V47" i="42"/>
  <c r="T47" i="42"/>
  <c r="O47" i="42"/>
  <c r="N47" i="42"/>
  <c r="L47" i="42"/>
  <c r="I47" i="42"/>
  <c r="G47" i="42"/>
  <c r="V48" i="42"/>
  <c r="T48" i="42"/>
  <c r="O48" i="42"/>
  <c r="N48" i="42"/>
  <c r="L48" i="42"/>
  <c r="I48" i="42"/>
  <c r="G48" i="42"/>
  <c r="V49" i="42"/>
  <c r="T49" i="42"/>
  <c r="O49" i="42"/>
  <c r="N49" i="42"/>
  <c r="L49" i="42"/>
  <c r="I49" i="42"/>
  <c r="G49" i="42"/>
  <c r="V50" i="42"/>
  <c r="T50" i="42"/>
  <c r="O50" i="42"/>
  <c r="N50" i="42"/>
  <c r="L50" i="42"/>
  <c r="I50" i="42"/>
  <c r="G50" i="42"/>
  <c r="V51" i="42"/>
  <c r="T51" i="42"/>
  <c r="O51" i="42"/>
  <c r="N51" i="42"/>
  <c r="L51" i="42"/>
  <c r="I51" i="42"/>
  <c r="G51" i="42"/>
  <c r="V52" i="42"/>
  <c r="T52" i="42"/>
  <c r="O52" i="42"/>
  <c r="N52" i="42"/>
  <c r="L52" i="42"/>
  <c r="I52" i="42"/>
  <c r="G52" i="42"/>
  <c r="V53" i="42"/>
  <c r="T53" i="42"/>
  <c r="O53" i="42"/>
  <c r="N53" i="42"/>
  <c r="L53" i="42"/>
  <c r="I53" i="42"/>
  <c r="G53" i="42"/>
  <c r="V54" i="42"/>
  <c r="T54" i="42"/>
  <c r="O54" i="42"/>
  <c r="N54" i="42"/>
  <c r="L54" i="42"/>
  <c r="I54" i="42"/>
  <c r="G54" i="42"/>
  <c r="V55" i="42"/>
  <c r="T55" i="42"/>
  <c r="O55" i="42"/>
  <c r="N55" i="42"/>
  <c r="L55" i="42"/>
  <c r="I55" i="42"/>
  <c r="G55" i="42"/>
  <c r="V56" i="42"/>
  <c r="T56" i="42"/>
  <c r="O56" i="42"/>
  <c r="N56" i="42"/>
  <c r="L56" i="42"/>
  <c r="I56" i="42"/>
  <c r="G56" i="42"/>
  <c r="V57" i="42"/>
  <c r="T57" i="42"/>
  <c r="O57" i="42"/>
  <c r="N57" i="42"/>
  <c r="L57" i="42"/>
  <c r="I57" i="42"/>
  <c r="G57" i="42"/>
  <c r="V58" i="42"/>
  <c r="T58" i="42"/>
  <c r="O58" i="42"/>
  <c r="N58" i="42"/>
  <c r="L58" i="42"/>
  <c r="I58" i="42"/>
  <c r="G58" i="42"/>
  <c r="V59" i="42"/>
  <c r="T59" i="42"/>
  <c r="O59" i="42"/>
  <c r="N59" i="42"/>
  <c r="L59" i="42"/>
  <c r="I59" i="42"/>
  <c r="G59" i="42"/>
  <c r="V60" i="42"/>
  <c r="T60" i="42"/>
  <c r="O60" i="42"/>
  <c r="N60" i="42"/>
  <c r="L60" i="42"/>
  <c r="I60" i="42"/>
  <c r="G60" i="42"/>
  <c r="V61" i="42"/>
  <c r="T61" i="42"/>
  <c r="O61" i="42"/>
  <c r="N61" i="42"/>
  <c r="L61" i="42"/>
  <c r="I61" i="42"/>
  <c r="G61" i="42"/>
  <c r="V62" i="42"/>
  <c r="T62" i="42"/>
  <c r="O62" i="42"/>
  <c r="N62" i="42"/>
  <c r="L62" i="42"/>
  <c r="I62" i="42"/>
  <c r="G62" i="42"/>
  <c r="V63" i="42"/>
  <c r="T63" i="42"/>
  <c r="O63" i="42"/>
  <c r="N63" i="42"/>
  <c r="L63" i="42"/>
  <c r="I63" i="42"/>
  <c r="G63" i="42"/>
  <c r="V64" i="42"/>
  <c r="T64" i="42"/>
  <c r="O64" i="42"/>
  <c r="N64" i="42"/>
  <c r="L64" i="42"/>
  <c r="I64" i="42"/>
  <c r="G64" i="42"/>
  <c r="V65" i="42"/>
  <c r="T65" i="42"/>
  <c r="O65" i="42"/>
  <c r="N65" i="42"/>
  <c r="L65" i="42"/>
  <c r="I65" i="42"/>
  <c r="G65" i="42"/>
  <c r="V66" i="42"/>
  <c r="T66" i="42"/>
  <c r="O66" i="42"/>
  <c r="N66" i="42"/>
  <c r="L66" i="42"/>
  <c r="I66" i="42"/>
  <c r="G66" i="42"/>
  <c r="V67" i="42"/>
  <c r="T67" i="42"/>
  <c r="O67" i="42"/>
  <c r="N67" i="42"/>
  <c r="L67" i="42"/>
  <c r="I67" i="42"/>
  <c r="G67" i="42"/>
  <c r="V68" i="42"/>
  <c r="T68" i="42"/>
  <c r="O68" i="42"/>
  <c r="N68" i="42"/>
  <c r="L68" i="42"/>
  <c r="I68" i="42"/>
  <c r="G68" i="42"/>
  <c r="V69" i="42"/>
  <c r="T69" i="42"/>
  <c r="O69" i="42"/>
  <c r="N69" i="42"/>
  <c r="L69" i="42"/>
  <c r="I69" i="42"/>
  <c r="G69" i="42"/>
  <c r="V70" i="42"/>
  <c r="T70" i="42"/>
  <c r="O70" i="42"/>
  <c r="N70" i="42"/>
  <c r="L70" i="42"/>
  <c r="I70" i="42"/>
  <c r="G70" i="42"/>
  <c r="V71" i="42"/>
  <c r="T71" i="42"/>
  <c r="O71" i="42"/>
  <c r="N71" i="42"/>
  <c r="L71" i="42"/>
  <c r="I71" i="42"/>
  <c r="G71" i="42"/>
  <c r="V72" i="42"/>
  <c r="T72" i="42"/>
  <c r="O72" i="42"/>
  <c r="N72" i="42"/>
  <c r="L72" i="42"/>
  <c r="I72" i="42"/>
  <c r="G72" i="42"/>
  <c r="V73" i="42"/>
  <c r="T73" i="42"/>
  <c r="O73" i="42"/>
  <c r="N73" i="42"/>
  <c r="L73" i="42"/>
  <c r="I73" i="42"/>
  <c r="G73" i="42"/>
  <c r="V74" i="42"/>
  <c r="T74" i="42"/>
  <c r="O74" i="42"/>
  <c r="N74" i="42"/>
  <c r="L74" i="42"/>
  <c r="I74" i="42"/>
  <c r="G74" i="42"/>
  <c r="V75" i="42"/>
  <c r="T75" i="42"/>
  <c r="O75" i="42"/>
  <c r="N75" i="42"/>
  <c r="L75" i="42"/>
  <c r="I75" i="42"/>
  <c r="G75" i="42"/>
  <c r="V76" i="42"/>
  <c r="T76" i="42"/>
  <c r="O76" i="42"/>
  <c r="N76" i="42"/>
  <c r="L76" i="42"/>
  <c r="I76" i="42"/>
  <c r="G76" i="42"/>
  <c r="V77" i="42"/>
  <c r="T77" i="42"/>
  <c r="O77" i="42"/>
  <c r="N77" i="42"/>
  <c r="L77" i="42"/>
  <c r="I77" i="42"/>
  <c r="G77" i="42"/>
  <c r="V78" i="42"/>
  <c r="T78" i="42"/>
  <c r="O78" i="42"/>
  <c r="N78" i="42"/>
  <c r="L78" i="42"/>
  <c r="I78" i="42"/>
  <c r="G78" i="42"/>
  <c r="V79" i="42"/>
  <c r="T79" i="42"/>
  <c r="O79" i="42"/>
  <c r="N79" i="42"/>
  <c r="L79" i="42"/>
  <c r="I79" i="42"/>
  <c r="G79" i="42"/>
  <c r="V80" i="42"/>
  <c r="T80" i="42"/>
  <c r="O80" i="42"/>
  <c r="N80" i="42"/>
  <c r="L80" i="42"/>
  <c r="I80" i="42"/>
  <c r="G80" i="42"/>
  <c r="V81" i="42"/>
  <c r="T81" i="42"/>
  <c r="O81" i="42"/>
  <c r="N81" i="42"/>
  <c r="L81" i="42"/>
  <c r="I81" i="42"/>
  <c r="G81" i="42"/>
  <c r="V82" i="42"/>
  <c r="T82" i="42"/>
  <c r="O82" i="42"/>
  <c r="N82" i="42"/>
  <c r="L82" i="42"/>
  <c r="I82" i="42"/>
  <c r="G82" i="42"/>
  <c r="V83" i="42"/>
  <c r="T83" i="42"/>
  <c r="O83" i="42"/>
  <c r="N83" i="42"/>
  <c r="L83" i="42"/>
  <c r="I83" i="42"/>
  <c r="G83" i="42"/>
  <c r="V84" i="42"/>
  <c r="T84" i="42"/>
  <c r="O84" i="42"/>
  <c r="N84" i="42"/>
  <c r="L84" i="42"/>
  <c r="I84" i="42"/>
  <c r="G84" i="42"/>
  <c r="V85" i="42"/>
  <c r="T85" i="42"/>
  <c r="O85" i="42"/>
  <c r="N85" i="42"/>
  <c r="L85" i="42"/>
  <c r="I85" i="42"/>
  <c r="G85" i="42"/>
  <c r="V86" i="42"/>
  <c r="T86" i="42"/>
  <c r="O86" i="42"/>
  <c r="N86" i="42"/>
  <c r="L86" i="42"/>
  <c r="I86" i="42"/>
  <c r="G86" i="42"/>
  <c r="V87" i="42"/>
  <c r="T87" i="42"/>
  <c r="O87" i="42"/>
  <c r="N87" i="42"/>
  <c r="L87" i="42"/>
  <c r="I87" i="42"/>
  <c r="G87" i="42"/>
  <c r="V88" i="42"/>
  <c r="T88" i="42"/>
  <c r="O88" i="42"/>
  <c r="N88" i="42"/>
  <c r="L88" i="42"/>
  <c r="I88" i="42"/>
  <c r="G88" i="42"/>
  <c r="V89" i="42"/>
  <c r="T89" i="42"/>
  <c r="O89" i="42"/>
  <c r="N89" i="42"/>
  <c r="L89" i="42"/>
  <c r="I89" i="42"/>
  <c r="G89" i="42"/>
  <c r="V90" i="42"/>
  <c r="T90" i="42"/>
  <c r="O90" i="42"/>
  <c r="N90" i="42"/>
  <c r="L90" i="42"/>
  <c r="I90" i="42"/>
  <c r="G90" i="42"/>
  <c r="V91" i="42"/>
  <c r="T91" i="42"/>
  <c r="O91" i="42"/>
  <c r="N91" i="42"/>
  <c r="L91" i="42"/>
  <c r="I91" i="42"/>
  <c r="G91" i="42"/>
  <c r="V92" i="42"/>
  <c r="T92" i="42"/>
  <c r="O92" i="42"/>
  <c r="N92" i="42"/>
  <c r="L92" i="42"/>
  <c r="I92" i="42"/>
  <c r="G92" i="42"/>
  <c r="V93" i="42"/>
  <c r="T93" i="42"/>
  <c r="O93" i="42"/>
  <c r="N93" i="42"/>
  <c r="L93" i="42"/>
  <c r="I93" i="42"/>
  <c r="G93" i="42"/>
  <c r="V94" i="42"/>
  <c r="T94" i="42"/>
  <c r="O94" i="42"/>
  <c r="N94" i="42"/>
  <c r="L94" i="42"/>
  <c r="I94" i="42"/>
  <c r="G94" i="42"/>
  <c r="V95" i="42"/>
  <c r="T95" i="42"/>
  <c r="O95" i="42"/>
  <c r="N95" i="42"/>
  <c r="L95" i="42"/>
  <c r="I95" i="42"/>
  <c r="G95" i="42"/>
  <c r="V96" i="42"/>
  <c r="T96" i="42"/>
  <c r="O96" i="42"/>
  <c r="N96" i="42"/>
  <c r="L96" i="42"/>
  <c r="I96" i="42"/>
  <c r="G96" i="42"/>
  <c r="V97" i="42"/>
  <c r="T97" i="42"/>
  <c r="O97" i="42"/>
  <c r="N97" i="42"/>
  <c r="L97" i="42"/>
  <c r="I97" i="42"/>
  <c r="G97" i="42"/>
  <c r="V98" i="42"/>
  <c r="T98" i="42"/>
  <c r="O98" i="42"/>
  <c r="N98" i="42"/>
  <c r="L98" i="42"/>
  <c r="I98" i="42"/>
  <c r="G98" i="42"/>
  <c r="V99" i="42"/>
  <c r="T99" i="42"/>
  <c r="O99" i="42"/>
  <c r="N99" i="42"/>
  <c r="L99" i="42"/>
  <c r="I99" i="42"/>
  <c r="G99" i="42"/>
  <c r="V100" i="42"/>
  <c r="T100" i="42"/>
  <c r="O100" i="42"/>
  <c r="N100" i="42"/>
  <c r="L100" i="42"/>
  <c r="I100" i="42"/>
  <c r="G100" i="42"/>
  <c r="V101" i="42"/>
  <c r="T101" i="42"/>
  <c r="O101" i="42"/>
  <c r="N101" i="42"/>
  <c r="L101" i="42"/>
  <c r="I101" i="42"/>
  <c r="G101" i="42"/>
  <c r="V102" i="42"/>
  <c r="T102" i="42"/>
  <c r="O102" i="42"/>
  <c r="N102" i="42"/>
  <c r="L102" i="42"/>
  <c r="I102" i="42"/>
  <c r="G102" i="42"/>
  <c r="V103" i="42"/>
  <c r="T103" i="42"/>
  <c r="O103" i="42"/>
  <c r="N103" i="42"/>
  <c r="L103" i="42"/>
  <c r="I103" i="42"/>
  <c r="G103" i="42"/>
  <c r="V104" i="42"/>
  <c r="T104" i="42"/>
  <c r="O104" i="42"/>
  <c r="N104" i="42"/>
  <c r="L104" i="42"/>
  <c r="I104" i="42"/>
  <c r="G104" i="42"/>
  <c r="V105" i="42"/>
  <c r="T105" i="42"/>
  <c r="O105" i="42"/>
  <c r="N105" i="42"/>
  <c r="L105" i="42"/>
  <c r="I105" i="42"/>
  <c r="G105" i="42"/>
  <c r="V106" i="42"/>
  <c r="T106" i="42"/>
  <c r="O106" i="42"/>
  <c r="N106" i="42"/>
  <c r="L106" i="42"/>
  <c r="I106" i="42"/>
  <c r="G106" i="42"/>
  <c r="V107" i="42"/>
  <c r="T107" i="42"/>
  <c r="O107" i="42"/>
  <c r="N107" i="42"/>
  <c r="L107" i="42"/>
  <c r="I107" i="42"/>
  <c r="G107" i="42"/>
  <c r="V108" i="42"/>
  <c r="T108" i="42"/>
  <c r="O108" i="42"/>
  <c r="N108" i="42"/>
  <c r="L108" i="42"/>
  <c r="I108" i="42"/>
  <c r="G108" i="42"/>
  <c r="V109" i="42"/>
  <c r="T109" i="42"/>
  <c r="O109" i="42"/>
  <c r="N109" i="42"/>
  <c r="L109" i="42"/>
  <c r="I109" i="42"/>
  <c r="G109" i="42"/>
  <c r="V110" i="42"/>
  <c r="T110" i="42"/>
  <c r="O110" i="42"/>
  <c r="N110" i="42"/>
  <c r="L110" i="42"/>
  <c r="I110" i="42"/>
  <c r="G110" i="42"/>
  <c r="V111" i="42"/>
  <c r="T111" i="42"/>
  <c r="O111" i="42"/>
  <c r="N111" i="42"/>
  <c r="L111" i="42"/>
  <c r="I111" i="42"/>
  <c r="G111" i="42"/>
  <c r="V112" i="42"/>
  <c r="T112" i="42"/>
  <c r="O112" i="42"/>
  <c r="N112" i="42"/>
  <c r="L112" i="42"/>
  <c r="I112" i="42"/>
  <c r="G112" i="42"/>
  <c r="V113" i="42"/>
  <c r="T113" i="42"/>
  <c r="O113" i="42"/>
  <c r="N113" i="42"/>
  <c r="L113" i="42"/>
  <c r="I113" i="42"/>
  <c r="G113" i="42"/>
  <c r="G21" i="42"/>
  <c r="S124" i="7" l="1"/>
  <c r="AB56" i="7"/>
  <c r="S56" i="7"/>
  <c r="Y56" i="7"/>
  <c r="G72" i="7"/>
  <c r="P124" i="7"/>
  <c r="P56" i="7"/>
  <c r="G124" i="7"/>
  <c r="G56" i="7"/>
  <c r="Q22" i="42"/>
  <c r="W22" i="42" s="1"/>
  <c r="J24" i="42"/>
  <c r="J23" i="42"/>
  <c r="J22" i="42"/>
  <c r="Q24" i="42"/>
  <c r="W24" i="42" s="1"/>
  <c r="Q23" i="42"/>
  <c r="W23" i="42" s="1"/>
  <c r="Q25" i="42"/>
  <c r="W25" i="42" s="1"/>
  <c r="Q27" i="42"/>
  <c r="W27" i="42" s="1"/>
  <c r="J25" i="42"/>
  <c r="Q26" i="42"/>
  <c r="W26" i="42" s="1"/>
  <c r="J26" i="42"/>
  <c r="J27" i="42"/>
  <c r="Q28" i="42"/>
  <c r="W28" i="42" s="1"/>
  <c r="J28" i="42"/>
  <c r="Q29" i="42"/>
  <c r="W29" i="42" s="1"/>
  <c r="J29" i="42"/>
  <c r="Q30" i="42"/>
  <c r="W30" i="42" s="1"/>
  <c r="J30" i="42"/>
  <c r="Q31" i="42"/>
  <c r="W31" i="42" s="1"/>
  <c r="Q33" i="42"/>
  <c r="W33" i="42" s="1"/>
  <c r="J31" i="42"/>
  <c r="J38" i="42"/>
  <c r="Q32" i="42"/>
  <c r="W32" i="42" s="1"/>
  <c r="Q35" i="42"/>
  <c r="W35" i="42" s="1"/>
  <c r="J33" i="42"/>
  <c r="J32" i="42"/>
  <c r="Q37" i="42"/>
  <c r="W37" i="42" s="1"/>
  <c r="Q34" i="42"/>
  <c r="W34" i="42" s="1"/>
  <c r="Q36" i="42"/>
  <c r="W36" i="42" s="1"/>
  <c r="J34" i="42"/>
  <c r="J35" i="42"/>
  <c r="J36" i="42"/>
  <c r="Q40" i="42"/>
  <c r="W40" i="42" s="1"/>
  <c r="J37" i="42"/>
  <c r="Q38" i="42"/>
  <c r="W38" i="42" s="1"/>
  <c r="Q39" i="42"/>
  <c r="W39" i="42" s="1"/>
  <c r="J40" i="42"/>
  <c r="J39" i="42"/>
  <c r="Q41" i="42"/>
  <c r="W41" i="42" s="1"/>
  <c r="Q43" i="42"/>
  <c r="W43" i="42" s="1"/>
  <c r="J41" i="42"/>
  <c r="Q42" i="42"/>
  <c r="W42" i="42" s="1"/>
  <c r="Q44" i="42"/>
  <c r="W44" i="42" s="1"/>
  <c r="J42" i="42"/>
  <c r="Q45" i="42"/>
  <c r="W45" i="42" s="1"/>
  <c r="J43" i="42"/>
  <c r="J45" i="42"/>
  <c r="J44" i="42"/>
  <c r="Q46" i="42"/>
  <c r="W46" i="42" s="1"/>
  <c r="Q48" i="42"/>
  <c r="W48" i="42" s="1"/>
  <c r="J46" i="42"/>
  <c r="Q47" i="42"/>
  <c r="W47" i="42" s="1"/>
  <c r="J48" i="42"/>
  <c r="J47" i="42"/>
  <c r="Q49" i="42"/>
  <c r="W49" i="42" s="1"/>
  <c r="J49" i="42"/>
  <c r="Q50" i="42"/>
  <c r="W50" i="42" s="1"/>
  <c r="J50" i="42"/>
  <c r="Q55" i="42"/>
  <c r="W55" i="42" s="1"/>
  <c r="J56" i="42"/>
  <c r="Q51" i="42"/>
  <c r="W51" i="42" s="1"/>
  <c r="J51" i="42"/>
  <c r="Q52" i="42"/>
  <c r="W52" i="42" s="1"/>
  <c r="Q54" i="42"/>
  <c r="W54" i="42" s="1"/>
  <c r="J52" i="42"/>
  <c r="Q53" i="42"/>
  <c r="W53" i="42" s="1"/>
  <c r="Q58" i="42"/>
  <c r="W58" i="42" s="1"/>
  <c r="J55" i="42"/>
  <c r="J54" i="42"/>
  <c r="J53" i="42"/>
  <c r="Q56" i="42"/>
  <c r="W56" i="42" s="1"/>
  <c r="Q57" i="42"/>
  <c r="W57" i="42" s="1"/>
  <c r="Q60" i="42"/>
  <c r="W60" i="42" s="1"/>
  <c r="J58" i="42"/>
  <c r="J57" i="42"/>
  <c r="Q59" i="42"/>
  <c r="W59" i="42" s="1"/>
  <c r="Q62" i="42"/>
  <c r="W62" i="42" s="1"/>
  <c r="J60" i="42"/>
  <c r="J59" i="42"/>
  <c r="Q61" i="42"/>
  <c r="W61" i="42" s="1"/>
  <c r="J61" i="42"/>
  <c r="J62" i="42"/>
  <c r="Q63" i="42"/>
  <c r="W63" i="42" s="1"/>
  <c r="Q64" i="42"/>
  <c r="W64" i="42" s="1"/>
  <c r="J63" i="42"/>
  <c r="J64" i="42"/>
  <c r="Q65" i="42"/>
  <c r="W65" i="42" s="1"/>
  <c r="J67" i="42"/>
  <c r="J65" i="42"/>
  <c r="Q66" i="42"/>
  <c r="W66" i="42" s="1"/>
  <c r="Q69" i="42"/>
  <c r="W69" i="42" s="1"/>
  <c r="J66" i="42"/>
  <c r="Q67" i="42"/>
  <c r="W67" i="42" s="1"/>
  <c r="Q68" i="42"/>
  <c r="W68" i="42" s="1"/>
  <c r="J68" i="42"/>
  <c r="J69" i="42"/>
  <c r="Q70" i="42"/>
  <c r="W70" i="42" s="1"/>
  <c r="J70" i="42"/>
  <c r="Q74" i="42"/>
  <c r="W74" i="42" s="1"/>
  <c r="Q71" i="42"/>
  <c r="W71" i="42" s="1"/>
  <c r="Q73" i="42"/>
  <c r="W73" i="42" s="1"/>
  <c r="J71" i="42"/>
  <c r="Q72" i="42"/>
  <c r="W72" i="42" s="1"/>
  <c r="J74" i="42"/>
  <c r="J73" i="42"/>
  <c r="J72" i="42"/>
  <c r="Q77" i="42"/>
  <c r="W77" i="42" s="1"/>
  <c r="Q75" i="42"/>
  <c r="W75" i="42" s="1"/>
  <c r="J75" i="42"/>
  <c r="Q76" i="42"/>
  <c r="W76" i="42" s="1"/>
  <c r="J76" i="42"/>
  <c r="J77" i="42"/>
  <c r="Q78" i="42"/>
  <c r="W78" i="42" s="1"/>
  <c r="J80" i="42"/>
  <c r="J78" i="42"/>
  <c r="Q79" i="42"/>
  <c r="W79" i="42" s="1"/>
  <c r="J79" i="42"/>
  <c r="Q80" i="42"/>
  <c r="W80" i="42" s="1"/>
  <c r="Q83" i="42"/>
  <c r="W83" i="42" s="1"/>
  <c r="Q81" i="42"/>
  <c r="W81" i="42" s="1"/>
  <c r="J81" i="42"/>
  <c r="Q82" i="42"/>
  <c r="W82" i="42" s="1"/>
  <c r="J85" i="42"/>
  <c r="Q84" i="42"/>
  <c r="W84" i="42" s="1"/>
  <c r="J83" i="42"/>
  <c r="J82" i="42"/>
  <c r="J84" i="42"/>
  <c r="Q89" i="42"/>
  <c r="W89" i="42" s="1"/>
  <c r="J88" i="42"/>
  <c r="Q85" i="42"/>
  <c r="W85" i="42" s="1"/>
  <c r="Q86" i="42"/>
  <c r="W86" i="42" s="1"/>
  <c r="J86" i="42"/>
  <c r="Q87" i="42"/>
  <c r="W87" i="42" s="1"/>
  <c r="J87" i="42"/>
  <c r="Q88" i="42"/>
  <c r="W88" i="42" s="1"/>
  <c r="J89" i="42"/>
  <c r="Q90" i="42"/>
  <c r="W90" i="42" s="1"/>
  <c r="Q93" i="42"/>
  <c r="W93" i="42" s="1"/>
  <c r="Q92" i="42"/>
  <c r="W92" i="42" s="1"/>
  <c r="J90" i="42"/>
  <c r="Q91" i="42"/>
  <c r="W91" i="42" s="1"/>
  <c r="J91" i="42"/>
  <c r="J92" i="42"/>
  <c r="Q94" i="42"/>
  <c r="W94" i="42" s="1"/>
  <c r="J93" i="42"/>
  <c r="Q95" i="42"/>
  <c r="W95" i="42" s="1"/>
  <c r="J96" i="42"/>
  <c r="J94" i="42"/>
  <c r="J95" i="42"/>
  <c r="Q96" i="42"/>
  <c r="W96" i="42" s="1"/>
  <c r="Q97" i="42"/>
  <c r="W97" i="42" s="1"/>
  <c r="Q98" i="42"/>
  <c r="W98" i="42" s="1"/>
  <c r="J97" i="42"/>
  <c r="J98" i="42"/>
  <c r="Q99" i="42"/>
  <c r="W99" i="42" s="1"/>
  <c r="J99" i="42"/>
  <c r="Q100" i="42"/>
  <c r="W100" i="42" s="1"/>
  <c r="Q102" i="42"/>
  <c r="W102" i="42" s="1"/>
  <c r="J100" i="42"/>
  <c r="Q101" i="42"/>
  <c r="W101" i="42" s="1"/>
  <c r="J101" i="42"/>
  <c r="J102" i="42"/>
  <c r="Q103" i="42"/>
  <c r="W103" i="42" s="1"/>
  <c r="J103" i="42"/>
  <c r="Q104" i="42"/>
  <c r="W104" i="42" s="1"/>
  <c r="Q106" i="42"/>
  <c r="W106" i="42" s="1"/>
  <c r="J104" i="42"/>
  <c r="J108" i="42"/>
  <c r="Q105" i="42"/>
  <c r="W105" i="42" s="1"/>
  <c r="J105" i="42"/>
  <c r="J106" i="42"/>
  <c r="Q107" i="42"/>
  <c r="W107" i="42" s="1"/>
  <c r="J107" i="42"/>
  <c r="Q108" i="42"/>
  <c r="W108" i="42" s="1"/>
  <c r="Q109" i="42"/>
  <c r="W109" i="42" s="1"/>
  <c r="Q110" i="42"/>
  <c r="W110" i="42" s="1"/>
  <c r="J109" i="42"/>
  <c r="Q112" i="42"/>
  <c r="W112" i="42" s="1"/>
  <c r="J110" i="42"/>
  <c r="Q111" i="42"/>
  <c r="W111" i="42" s="1"/>
  <c r="J111" i="42"/>
  <c r="J112" i="42"/>
  <c r="Q113" i="42"/>
  <c r="W113" i="42" s="1"/>
  <c r="J113" i="42"/>
  <c r="I21" i="42" l="1"/>
  <c r="D9" i="42"/>
  <c r="D8" i="42"/>
  <c r="D7" i="42"/>
  <c r="D6" i="42"/>
  <c r="E57" i="43"/>
  <c r="F57" i="43" s="1"/>
  <c r="E48" i="43"/>
  <c r="F48" i="43" s="1"/>
  <c r="E40" i="43"/>
  <c r="F40" i="43" s="1"/>
  <c r="E32" i="43"/>
  <c r="F32" i="43" s="1"/>
  <c r="E24" i="43"/>
  <c r="F24" i="43" s="1"/>
  <c r="E14" i="43"/>
  <c r="F14" i="43" s="1"/>
  <c r="E4" i="43"/>
  <c r="F4" i="43" s="1"/>
  <c r="B4" i="43"/>
  <c r="B14" i="43" s="1"/>
  <c r="B24" i="43" s="1"/>
  <c r="U139" i="42"/>
  <c r="S139" i="42"/>
  <c r="M139" i="42" a="1"/>
  <c r="M139" i="42" s="1"/>
  <c r="K139" i="42"/>
  <c r="H139" i="42"/>
  <c r="F139" i="42"/>
  <c r="E139" i="42" a="1"/>
  <c r="E139" i="42" s="1"/>
  <c r="U136" i="42"/>
  <c r="S136" i="42"/>
  <c r="P136" i="42"/>
  <c r="M136" i="42"/>
  <c r="K136" i="42"/>
  <c r="H136" i="42"/>
  <c r="F136" i="42"/>
  <c r="E133" i="42"/>
  <c r="I133" i="42" s="1"/>
  <c r="P126" i="42"/>
  <c r="W125" i="42"/>
  <c r="P125" i="42"/>
  <c r="W124" i="42"/>
  <c r="P124" i="42"/>
  <c r="W123" i="42"/>
  <c r="P123" i="42"/>
  <c r="W122" i="42"/>
  <c r="P122" i="42"/>
  <c r="V121" i="42"/>
  <c r="T121" i="42"/>
  <c r="O121" i="42"/>
  <c r="N121" i="42"/>
  <c r="L121" i="42"/>
  <c r="I121" i="42"/>
  <c r="G121" i="42"/>
  <c r="V119" i="42"/>
  <c r="T119" i="42"/>
  <c r="O119" i="42"/>
  <c r="N119" i="42"/>
  <c r="L119" i="42"/>
  <c r="I119" i="42"/>
  <c r="G119" i="42"/>
  <c r="V118" i="42"/>
  <c r="T118" i="42"/>
  <c r="O118" i="42"/>
  <c r="N118" i="42"/>
  <c r="L118" i="42"/>
  <c r="I118" i="42"/>
  <c r="G118" i="42"/>
  <c r="V117" i="42"/>
  <c r="T117" i="42"/>
  <c r="O117" i="42"/>
  <c r="N117" i="42"/>
  <c r="L117" i="42"/>
  <c r="I117" i="42"/>
  <c r="G117" i="42"/>
  <c r="V116" i="42"/>
  <c r="T116" i="42"/>
  <c r="O116" i="42"/>
  <c r="N116" i="42"/>
  <c r="L116" i="42"/>
  <c r="I116" i="42"/>
  <c r="G116" i="42"/>
  <c r="V115" i="42"/>
  <c r="T115" i="42"/>
  <c r="O115" i="42"/>
  <c r="N115" i="42"/>
  <c r="L115" i="42"/>
  <c r="I115" i="42"/>
  <c r="G115" i="42"/>
  <c r="V114" i="42"/>
  <c r="T114" i="42"/>
  <c r="O114" i="42"/>
  <c r="N114" i="42"/>
  <c r="L114" i="42"/>
  <c r="I114" i="42"/>
  <c r="G114" i="42"/>
  <c r="V21" i="42"/>
  <c r="T21" i="42"/>
  <c r="O21" i="42"/>
  <c r="N21" i="42"/>
  <c r="L21" i="42"/>
  <c r="D46" i="39"/>
  <c r="R40" i="39"/>
  <c r="J116" i="42" l="1"/>
  <c r="Q114" i="42"/>
  <c r="W114" i="42" s="1"/>
  <c r="J121" i="42"/>
  <c r="Q118" i="42"/>
  <c r="Q119" i="42"/>
  <c r="J115" i="42"/>
  <c r="Q116" i="42"/>
  <c r="Q117" i="42"/>
  <c r="Q121" i="42"/>
  <c r="W121" i="42" s="1"/>
  <c r="Q21" i="42"/>
  <c r="W21" i="42" s="1"/>
  <c r="J21" i="42"/>
  <c r="J114" i="42"/>
  <c r="Q115" i="42"/>
  <c r="J119" i="42"/>
  <c r="J117" i="42"/>
  <c r="B32" i="43"/>
  <c r="B40" i="43" s="1"/>
  <c r="J118" i="42"/>
  <c r="H18" i="33"/>
  <c r="K44" i="9" a="1"/>
  <c r="K44" i="9" s="1"/>
  <c r="R41" i="9"/>
  <c r="P41" i="9"/>
  <c r="N41" i="9"/>
  <c r="K41" i="9"/>
  <c r="I41" i="9"/>
  <c r="G41" i="9"/>
  <c r="E41" i="9"/>
  <c r="Q124" i="42" l="1" a="1"/>
  <c r="Q124" i="42" s="1"/>
  <c r="Q125" i="42" a="1"/>
  <c r="Q125" i="42" s="1"/>
  <c r="Q122" i="42" a="1"/>
  <c r="Q122" i="42" s="1"/>
  <c r="Q123" i="42" a="1"/>
  <c r="Q123" i="42" s="1"/>
  <c r="W126" i="42"/>
  <c r="D15" i="42" s="1"/>
  <c r="Q126" i="42"/>
  <c r="D14" i="42" s="1"/>
  <c r="B48" i="43"/>
  <c r="B57" i="43" s="1"/>
  <c r="M25" i="39"/>
  <c r="M26" i="39"/>
  <c r="M27" i="39"/>
  <c r="M28" i="39"/>
  <c r="M29" i="39"/>
  <c r="M30" i="39"/>
  <c r="M31" i="39"/>
  <c r="M32" i="39"/>
  <c r="M33" i="39"/>
  <c r="M34" i="39"/>
  <c r="M35" i="39"/>
  <c r="M36" i="39"/>
  <c r="M37" i="39"/>
  <c r="M38" i="39"/>
  <c r="M39" i="39"/>
  <c r="M40" i="39"/>
  <c r="D36" i="39"/>
  <c r="D29" i="39"/>
  <c r="B3" i="35" l="1"/>
  <c r="B94" i="80" l="1"/>
  <c r="E277" i="52"/>
  <c r="AE42" i="51"/>
  <c r="AD42" i="51"/>
  <c r="C42" i="51"/>
  <c r="B55" i="46"/>
  <c r="B141" i="42"/>
  <c r="B198" i="39"/>
  <c r="B38" i="32"/>
  <c r="B42" i="26"/>
  <c r="B39" i="34"/>
  <c r="B93" i="33"/>
  <c r="B46" i="9"/>
  <c r="B24" i="1"/>
  <c r="B44" i="41"/>
  <c r="B43" i="27"/>
  <c r="B37" i="12"/>
  <c r="B33" i="30"/>
  <c r="B55" i="20"/>
  <c r="B35" i="31"/>
  <c r="B114" i="37"/>
  <c r="B74" i="35"/>
  <c r="B54" i="38"/>
  <c r="H44" i="38"/>
  <c r="H43" i="38"/>
  <c r="F42" i="41"/>
  <c r="F41" i="41"/>
  <c r="F40" i="41"/>
  <c r="F39" i="41"/>
  <c r="F36" i="41"/>
  <c r="F35" i="41"/>
  <c r="F32" i="41"/>
  <c r="F31" i="41"/>
  <c r="F30" i="41"/>
  <c r="F29" i="41"/>
  <c r="F26" i="41"/>
  <c r="F25" i="41"/>
  <c r="F22" i="41"/>
  <c r="F21" i="41"/>
  <c r="F18" i="41"/>
  <c r="F17" i="41"/>
  <c r="F16" i="41"/>
  <c r="F13" i="41"/>
  <c r="F12" i="41"/>
  <c r="F11" i="41"/>
  <c r="F10" i="41"/>
  <c r="F9" i="41"/>
  <c r="C196" i="39"/>
  <c r="C195" i="39"/>
  <c r="C194" i="39"/>
  <c r="C193" i="39"/>
  <c r="C192" i="39"/>
  <c r="C191" i="39"/>
  <c r="C190" i="39"/>
  <c r="C189" i="39"/>
  <c r="C188" i="39"/>
  <c r="C187" i="39"/>
  <c r="C186" i="39"/>
  <c r="C185" i="39"/>
  <c r="C184" i="39"/>
  <c r="C182" i="39"/>
  <c r="C181" i="39"/>
  <c r="C180" i="39"/>
  <c r="C179" i="39"/>
  <c r="C178" i="39"/>
  <c r="C177" i="39"/>
  <c r="C176" i="39"/>
  <c r="C175" i="39"/>
  <c r="C174" i="39"/>
  <c r="C173" i="39"/>
  <c r="C170" i="39"/>
  <c r="C169" i="39"/>
  <c r="C168" i="39"/>
  <c r="C167" i="39"/>
  <c r="C166" i="39"/>
  <c r="C165" i="39"/>
  <c r="C164" i="39"/>
  <c r="C163" i="39"/>
  <c r="C161" i="39"/>
  <c r="C160" i="39"/>
  <c r="C159" i="39"/>
  <c r="C158" i="39"/>
  <c r="C157" i="39"/>
  <c r="C156" i="39"/>
  <c r="C155" i="39"/>
  <c r="C154" i="39"/>
  <c r="C153" i="39"/>
  <c r="C152" i="39"/>
  <c r="C151" i="39"/>
  <c r="C150" i="39"/>
  <c r="C149" i="39"/>
  <c r="C148" i="39"/>
  <c r="C145" i="39"/>
  <c r="C144" i="39"/>
  <c r="C143" i="39"/>
  <c r="C142" i="39"/>
  <c r="C140" i="39"/>
  <c r="C139" i="39"/>
  <c r="C138" i="39"/>
  <c r="C137" i="39"/>
  <c r="C136" i="39"/>
  <c r="C135" i="39"/>
  <c r="C134" i="39"/>
  <c r="C133" i="39"/>
  <c r="C131" i="39"/>
  <c r="C130" i="39"/>
  <c r="C129" i="39"/>
  <c r="C128" i="39"/>
  <c r="C127" i="39"/>
  <c r="C126" i="39"/>
  <c r="C125" i="39"/>
  <c r="C118" i="39"/>
  <c r="C117" i="39"/>
  <c r="C116" i="39"/>
  <c r="C115" i="39"/>
  <c r="C114" i="39"/>
  <c r="C113" i="39"/>
  <c r="C112" i="39"/>
  <c r="C111" i="39"/>
  <c r="C110" i="39"/>
  <c r="C109" i="39"/>
  <c r="C107" i="39"/>
  <c r="C106" i="39"/>
  <c r="C105" i="39"/>
  <c r="C104" i="39"/>
  <c r="C103" i="39"/>
  <c r="C102" i="39"/>
  <c r="C101" i="39"/>
  <c r="C100" i="39"/>
  <c r="C99" i="39"/>
  <c r="C96" i="39"/>
  <c r="C95" i="39"/>
  <c r="C94" i="39"/>
  <c r="C93" i="39"/>
  <c r="C92" i="39"/>
  <c r="C91" i="39"/>
  <c r="C90" i="39"/>
  <c r="C89" i="39"/>
  <c r="C88" i="39"/>
  <c r="C86" i="39"/>
  <c r="C85" i="39"/>
  <c r="C84" i="39"/>
  <c r="C83" i="39"/>
  <c r="C82" i="39"/>
  <c r="C81" i="39"/>
  <c r="C80" i="39"/>
  <c r="C79" i="39"/>
  <c r="C78" i="39"/>
  <c r="C77" i="39"/>
  <c r="C76" i="39"/>
  <c r="C72" i="39"/>
  <c r="C71" i="39"/>
  <c r="C70" i="39"/>
  <c r="C68" i="39"/>
  <c r="C67" i="39"/>
  <c r="C66" i="39"/>
  <c r="C65" i="39"/>
  <c r="C64" i="39"/>
  <c r="C63" i="39"/>
  <c r="C62" i="39"/>
  <c r="C61" i="39"/>
  <c r="C59" i="39"/>
  <c r="C58" i="39"/>
  <c r="C57" i="39"/>
  <c r="C56" i="39"/>
  <c r="D49" i="39"/>
  <c r="C49" i="39"/>
  <c r="D48" i="39"/>
  <c r="C48" i="39"/>
  <c r="D47" i="39"/>
  <c r="C47" i="39"/>
  <c r="C46" i="39"/>
  <c r="D45" i="39"/>
  <c r="C45" i="39"/>
  <c r="D44" i="39"/>
  <c r="C44" i="39"/>
  <c r="D43" i="39"/>
  <c r="C43" i="39"/>
  <c r="D42" i="39"/>
  <c r="C42" i="39"/>
  <c r="D40" i="39"/>
  <c r="C40" i="39"/>
  <c r="D39" i="39"/>
  <c r="C39" i="39"/>
  <c r="D38" i="39"/>
  <c r="C38" i="39"/>
  <c r="D37" i="39"/>
  <c r="C37" i="39"/>
  <c r="C36" i="39"/>
  <c r="D35" i="39"/>
  <c r="C35" i="39"/>
  <c r="D34" i="39"/>
  <c r="C34" i="39"/>
  <c r="D33" i="39"/>
  <c r="C33" i="39"/>
  <c r="D32" i="39"/>
  <c r="C32" i="39"/>
  <c r="D31" i="39"/>
  <c r="C31" i="39"/>
  <c r="D30" i="39"/>
  <c r="C30" i="39"/>
  <c r="C29" i="39"/>
  <c r="D28" i="39"/>
  <c r="C28" i="39"/>
  <c r="D27" i="39"/>
  <c r="C27" i="39"/>
  <c r="D26" i="39"/>
  <c r="C26" i="39"/>
  <c r="D25" i="39"/>
  <c r="C25" i="39"/>
  <c r="C75" i="39"/>
  <c r="I3" i="41"/>
  <c r="H26" i="39"/>
  <c r="I26" i="39"/>
  <c r="J26" i="39"/>
  <c r="K26" i="39"/>
  <c r="H27" i="39"/>
  <c r="I27" i="39"/>
  <c r="J27" i="39"/>
  <c r="K27" i="39"/>
  <c r="H28" i="39"/>
  <c r="I28" i="39"/>
  <c r="J28" i="39"/>
  <c r="K28" i="39"/>
  <c r="H29" i="39"/>
  <c r="I29" i="39"/>
  <c r="J29" i="39"/>
  <c r="K29" i="39"/>
  <c r="H30" i="39"/>
  <c r="I30" i="39"/>
  <c r="J30" i="39"/>
  <c r="K30" i="39"/>
  <c r="H31" i="39"/>
  <c r="I31" i="39"/>
  <c r="J31" i="39"/>
  <c r="K31" i="39"/>
  <c r="H32" i="39"/>
  <c r="I32" i="39"/>
  <c r="J32" i="39"/>
  <c r="K32" i="39"/>
  <c r="H33" i="39"/>
  <c r="I33" i="39"/>
  <c r="J33" i="39"/>
  <c r="K33" i="39"/>
  <c r="H34" i="39"/>
  <c r="I34" i="39"/>
  <c r="J34" i="39"/>
  <c r="K34" i="39"/>
  <c r="H35" i="39"/>
  <c r="I35" i="39"/>
  <c r="J35" i="39"/>
  <c r="K35" i="39"/>
  <c r="H36" i="39"/>
  <c r="I36" i="39"/>
  <c r="J36" i="39"/>
  <c r="K36" i="39"/>
  <c r="H37" i="39"/>
  <c r="I37" i="39"/>
  <c r="J37" i="39"/>
  <c r="K37" i="39"/>
  <c r="H38" i="39"/>
  <c r="I38" i="39"/>
  <c r="J38" i="39"/>
  <c r="K38" i="39"/>
  <c r="H39" i="39"/>
  <c r="I39" i="39"/>
  <c r="J39" i="39"/>
  <c r="K39" i="39"/>
  <c r="H40" i="39"/>
  <c r="I40" i="39"/>
  <c r="J40" i="39"/>
  <c r="K40" i="39"/>
  <c r="R50" i="39"/>
  <c r="I25" i="39" l="1"/>
  <c r="J25" i="39"/>
  <c r="K25" i="39"/>
  <c r="H25" i="39"/>
  <c r="U3" i="39"/>
  <c r="AN205" i="39"/>
  <c r="AO205" i="39"/>
  <c r="AP205" i="39"/>
  <c r="AQ205" i="39"/>
  <c r="AR205" i="39"/>
  <c r="AS205" i="39"/>
  <c r="AT205" i="39"/>
  <c r="AU205" i="39"/>
  <c r="AN208" i="39"/>
  <c r="AO208" i="39"/>
  <c r="AP208" i="39"/>
  <c r="AQ208" i="39"/>
  <c r="AR208" i="39"/>
  <c r="AS208" i="39"/>
  <c r="AT208" i="39"/>
  <c r="AU208" i="39"/>
  <c r="AE209" i="39"/>
  <c r="AF209" i="39"/>
  <c r="AG209" i="39"/>
  <c r="AH209" i="39"/>
  <c r="AI209" i="39"/>
  <c r="AJ209" i="39"/>
  <c r="AK209" i="39"/>
  <c r="AL209" i="39"/>
  <c r="AN211" i="39"/>
  <c r="AO211" i="39"/>
  <c r="AP211" i="39"/>
  <c r="AQ211" i="39"/>
  <c r="AR211" i="39"/>
  <c r="AS211" i="39"/>
  <c r="AT211" i="39"/>
  <c r="AU211" i="39"/>
  <c r="V212" i="39"/>
  <c r="W212" i="39"/>
  <c r="X212" i="39"/>
  <c r="Y212" i="39"/>
  <c r="Z212" i="39"/>
  <c r="AA212" i="39"/>
  <c r="AB212" i="39"/>
  <c r="AC212" i="39"/>
  <c r="AN216" i="39"/>
  <c r="AO216" i="39"/>
  <c r="AP216" i="39"/>
  <c r="AQ216" i="39"/>
  <c r="AR216" i="39"/>
  <c r="AS216" i="39"/>
  <c r="AT216" i="39"/>
  <c r="AU216" i="39"/>
  <c r="AN219" i="39"/>
  <c r="AO219" i="39"/>
  <c r="AP219" i="39"/>
  <c r="AQ219" i="39"/>
  <c r="AR219" i="39"/>
  <c r="AS219" i="39"/>
  <c r="AT219" i="39"/>
  <c r="AU219" i="39"/>
  <c r="AE220" i="39"/>
  <c r="AF220" i="39"/>
  <c r="AG220" i="39"/>
  <c r="AH220" i="39"/>
  <c r="AI220" i="39"/>
  <c r="AJ220" i="39"/>
  <c r="AK220" i="39"/>
  <c r="AL220" i="39"/>
  <c r="AN222" i="39"/>
  <c r="AO222" i="39"/>
  <c r="AP222" i="39"/>
  <c r="AQ222" i="39"/>
  <c r="AR222" i="39"/>
  <c r="AS222" i="39"/>
  <c r="AT222" i="39"/>
  <c r="AU222" i="39"/>
  <c r="R31" i="39"/>
  <c r="R47" i="39"/>
  <c r="R46" i="39"/>
  <c r="R45" i="39"/>
  <c r="R44" i="39"/>
  <c r="R43" i="39"/>
  <c r="R42" i="39"/>
  <c r="R41" i="39"/>
  <c r="D9" i="39"/>
  <c r="D8" i="39"/>
  <c r="D7" i="39"/>
  <c r="D6" i="39"/>
  <c r="G79" i="39"/>
  <c r="G64" i="39"/>
  <c r="G61" i="39"/>
  <c r="G58" i="39"/>
  <c r="H20" i="26"/>
  <c r="N162" i="7"/>
  <c r="E130" i="7"/>
  <c r="G130" i="7" s="1"/>
  <c r="P162" i="7" l="1"/>
  <c r="H146" i="7"/>
  <c r="G115" i="39"/>
  <c r="G78" i="39"/>
  <c r="G114" i="39"/>
  <c r="G137" i="39"/>
  <c r="G156" i="39"/>
  <c r="G175" i="39"/>
  <c r="G138" i="39"/>
  <c r="G157" i="39"/>
  <c r="G176" i="39"/>
  <c r="G139" i="39"/>
  <c r="G158" i="39"/>
  <c r="G177" i="39"/>
  <c r="G99" i="39"/>
  <c r="G62" i="39"/>
  <c r="G81" i="39"/>
  <c r="G100" i="39"/>
  <c r="G178" i="39"/>
  <c r="G80" i="39"/>
  <c r="G63" i="39"/>
  <c r="G82" i="39"/>
  <c r="G101" i="39"/>
  <c r="G142" i="39"/>
  <c r="G179" i="39"/>
  <c r="G102" i="39"/>
  <c r="G65" i="39"/>
  <c r="G84" i="39"/>
  <c r="G103" i="39"/>
  <c r="G126" i="39"/>
  <c r="G144" i="39"/>
  <c r="G163" i="39"/>
  <c r="G143" i="39"/>
  <c r="G66" i="39"/>
  <c r="G85" i="39"/>
  <c r="G104" i="39"/>
  <c r="G127" i="39"/>
  <c r="G145" i="39"/>
  <c r="G164" i="39"/>
  <c r="G180" i="39"/>
  <c r="G67" i="39"/>
  <c r="G105" i="39"/>
  <c r="G148" i="39"/>
  <c r="G165" i="39"/>
  <c r="G184" i="39"/>
  <c r="G83" i="39"/>
  <c r="G125" i="39"/>
  <c r="G88" i="39"/>
  <c r="G106" i="39"/>
  <c r="G149" i="39"/>
  <c r="G166" i="39"/>
  <c r="G185" i="39"/>
  <c r="G89" i="39"/>
  <c r="G150" i="39"/>
  <c r="G167" i="39"/>
  <c r="G186" i="39"/>
  <c r="G70" i="39"/>
  <c r="G71" i="39"/>
  <c r="G90" i="39"/>
  <c r="G109" i="39"/>
  <c r="G151" i="39"/>
  <c r="G168" i="39"/>
  <c r="G187" i="39"/>
  <c r="G133" i="39"/>
  <c r="G152" i="39"/>
  <c r="G169" i="39"/>
  <c r="G188" i="39"/>
  <c r="G91" i="39"/>
  <c r="G75" i="39"/>
  <c r="G92" i="39"/>
  <c r="G111" i="39"/>
  <c r="G134" i="39"/>
  <c r="G153" i="39"/>
  <c r="G189" i="39"/>
  <c r="G72" i="39"/>
  <c r="G56" i="39"/>
  <c r="G76" i="39"/>
  <c r="G93" i="39"/>
  <c r="G112" i="39"/>
  <c r="G135" i="39"/>
  <c r="G154" i="39"/>
  <c r="G173" i="39"/>
  <c r="G190" i="39"/>
  <c r="G110" i="39"/>
  <c r="G57" i="39"/>
  <c r="G77" i="39"/>
  <c r="G94" i="39"/>
  <c r="G113" i="39"/>
  <c r="G136" i="39"/>
  <c r="G155" i="39"/>
  <c r="G174" i="39"/>
  <c r="H43" i="39"/>
  <c r="I43" i="39"/>
  <c r="J43" i="39"/>
  <c r="K43" i="39"/>
  <c r="H44" i="39"/>
  <c r="I44" i="39"/>
  <c r="J44" i="39"/>
  <c r="K44" i="39"/>
  <c r="H45" i="39"/>
  <c r="I45" i="39"/>
  <c r="J45" i="39"/>
  <c r="K45" i="39"/>
  <c r="I42" i="39"/>
  <c r="J42" i="39"/>
  <c r="H42" i="39"/>
  <c r="K42" i="39"/>
  <c r="H47" i="39"/>
  <c r="J46" i="39"/>
  <c r="H46" i="39"/>
  <c r="I47" i="39"/>
  <c r="J47" i="39"/>
  <c r="K47" i="39"/>
  <c r="H48" i="39"/>
  <c r="I48" i="39"/>
  <c r="J48" i="39"/>
  <c r="K48" i="39"/>
  <c r="H49" i="39"/>
  <c r="I49" i="39"/>
  <c r="J49" i="39"/>
  <c r="K49" i="39"/>
  <c r="I46" i="39"/>
  <c r="K46" i="39"/>
  <c r="D68" i="39"/>
  <c r="D15" i="39"/>
  <c r="AW200" i="39" s="1"/>
  <c r="AW211" i="39" s="1"/>
  <c r="J108" i="39" s="1"/>
  <c r="K195" i="39"/>
  <c r="D96" i="39"/>
  <c r="D70" i="39"/>
  <c r="D86" i="39"/>
  <c r="D89" i="39"/>
  <c r="D143" i="39"/>
  <c r="D58" i="39"/>
  <c r="D56" i="39"/>
  <c r="D81" i="39"/>
  <c r="D178" i="39"/>
  <c r="D115" i="39"/>
  <c r="D136" i="39"/>
  <c r="D144" i="39"/>
  <c r="D194" i="39"/>
  <c r="D82" i="39"/>
  <c r="D179" i="39"/>
  <c r="D66" i="39"/>
  <c r="D137" i="39"/>
  <c r="D145" i="39"/>
  <c r="D75" i="39"/>
  <c r="D129" i="39"/>
  <c r="D109" i="39"/>
  <c r="D138" i="39"/>
  <c r="D59" i="39"/>
  <c r="D101" i="39"/>
  <c r="D117" i="39"/>
  <c r="D130" i="39"/>
  <c r="D164" i="39"/>
  <c r="D110" i="39"/>
  <c r="D148" i="39"/>
  <c r="D102" i="39"/>
  <c r="D131" i="39"/>
  <c r="D165" i="39"/>
  <c r="D94" i="39"/>
  <c r="D157" i="39"/>
  <c r="D103" i="39"/>
  <c r="D140" i="39"/>
  <c r="D166" i="39"/>
  <c r="D80" i="39"/>
  <c r="D150" i="39"/>
  <c r="D192" i="39"/>
  <c r="D175" i="39"/>
  <c r="D88" i="39"/>
  <c r="D159" i="39"/>
  <c r="D185" i="39"/>
  <c r="D112" i="39"/>
  <c r="D118" i="39"/>
  <c r="D151" i="39"/>
  <c r="D195" i="39"/>
  <c r="D186" i="39"/>
  <c r="D105" i="39"/>
  <c r="D161" i="39"/>
  <c r="D158" i="39"/>
  <c r="D78" i="39"/>
  <c r="D99" i="39"/>
  <c r="D127" i="39"/>
  <c r="D134" i="39"/>
  <c r="D155" i="39"/>
  <c r="D176" i="39"/>
  <c r="D152" i="39"/>
  <c r="D173" i="39"/>
  <c r="D196" i="39"/>
  <c r="D67" i="39"/>
  <c r="D95" i="39"/>
  <c r="D116" i="39"/>
  <c r="D149" i="39"/>
  <c r="D193" i="39"/>
  <c r="D168" i="39"/>
  <c r="D71" i="39"/>
  <c r="D85" i="39"/>
  <c r="D92" i="39"/>
  <c r="D106" i="39"/>
  <c r="D113" i="39"/>
  <c r="D169" i="39"/>
  <c r="D190" i="39"/>
  <c r="D63" i="39"/>
  <c r="D189" i="39"/>
  <c r="D57" i="39"/>
  <c r="D64" i="39"/>
  <c r="D61" i="39"/>
  <c r="D180" i="39"/>
  <c r="D187" i="39"/>
  <c r="D79" i="39"/>
  <c r="D100" i="39"/>
  <c r="D128" i="39"/>
  <c r="D135" i="39"/>
  <c r="D142" i="39"/>
  <c r="D156" i="39"/>
  <c r="D163" i="39"/>
  <c r="D177" i="39"/>
  <c r="D184" i="39"/>
  <c r="D91" i="39"/>
  <c r="D76" i="39"/>
  <c r="D125" i="39"/>
  <c r="D153" i="39"/>
  <c r="D174" i="39"/>
  <c r="D72" i="39"/>
  <c r="D93" i="39"/>
  <c r="D107" i="39"/>
  <c r="D114" i="39"/>
  <c r="D170" i="39"/>
  <c r="D191" i="39"/>
  <c r="D65" i="39"/>
  <c r="D62" i="39"/>
  <c r="D83" i="39"/>
  <c r="D90" i="39"/>
  <c r="D104" i="39"/>
  <c r="D111" i="39"/>
  <c r="D139" i="39"/>
  <c r="D160" i="39"/>
  <c r="D167" i="39"/>
  <c r="D181" i="39"/>
  <c r="D188" i="39"/>
  <c r="D84" i="39"/>
  <c r="D182" i="39"/>
  <c r="D77" i="39"/>
  <c r="D126" i="39"/>
  <c r="D133" i="39"/>
  <c r="D154" i="39"/>
  <c r="H31" i="20"/>
  <c r="K20" i="33"/>
  <c r="H20" i="33"/>
  <c r="G20" i="33"/>
  <c r="F20" i="33"/>
  <c r="E20" i="33"/>
  <c r="D20" i="33"/>
  <c r="H51" i="38"/>
  <c r="F51" i="38"/>
  <c r="H50" i="38"/>
  <c r="F50" i="38"/>
  <c r="H49" i="38"/>
  <c r="F49" i="38"/>
  <c r="H48" i="38"/>
  <c r="F48" i="38"/>
  <c r="E47" i="38"/>
  <c r="F44" i="38"/>
  <c r="F43" i="38"/>
  <c r="E42" i="38"/>
  <c r="J36" i="38"/>
  <c r="H36" i="38" s="1"/>
  <c r="F36" i="38"/>
  <c r="H35" i="38"/>
  <c r="F35" i="38"/>
  <c r="F34" i="38"/>
  <c r="E33" i="38"/>
  <c r="F30" i="38"/>
  <c r="E29" i="38"/>
  <c r="F26" i="38"/>
  <c r="F25" i="38"/>
  <c r="F24" i="38"/>
  <c r="E23" i="38"/>
  <c r="F20" i="38"/>
  <c r="F19" i="38"/>
  <c r="F18" i="38"/>
  <c r="E17" i="38"/>
  <c r="F14" i="38"/>
  <c r="C151" i="28"/>
  <c r="F151" i="28" s="1"/>
  <c r="N43" i="38" s="1"/>
  <c r="F150" i="28"/>
  <c r="O44" i="38" s="1"/>
  <c r="C149" i="28"/>
  <c r="F149" i="28" s="1"/>
  <c r="N34" i="38" s="1"/>
  <c r="F148" i="28"/>
  <c r="O34" i="38" s="1"/>
  <c r="C146" i="28"/>
  <c r="F146" i="28" s="1"/>
  <c r="N30" i="38" s="1"/>
  <c r="F145" i="28"/>
  <c r="O30" i="38" s="1"/>
  <c r="C144" i="28"/>
  <c r="F144" i="28" s="1"/>
  <c r="N26" i="38" s="1"/>
  <c r="F143" i="28"/>
  <c r="O26" i="38" s="1"/>
  <c r="C142" i="28"/>
  <c r="F142" i="28" s="1"/>
  <c r="N25" i="38" s="1"/>
  <c r="F141" i="28"/>
  <c r="O25" i="38" s="1"/>
  <c r="C140" i="28"/>
  <c r="F140" i="28" s="1"/>
  <c r="N20" i="38" s="1"/>
  <c r="F139" i="28"/>
  <c r="O24" i="38" s="1"/>
  <c r="C138" i="28"/>
  <c r="F138" i="28" s="1"/>
  <c r="N19" i="38" s="1"/>
  <c r="F137" i="28"/>
  <c r="O19" i="38" s="1"/>
  <c r="C136" i="28"/>
  <c r="F136" i="28" s="1"/>
  <c r="F135" i="28"/>
  <c r="O18" i="38" s="1"/>
  <c r="K18" i="38" s="1"/>
  <c r="G133" i="28"/>
  <c r="H133" i="28" s="1"/>
  <c r="I133" i="28" s="1"/>
  <c r="J133" i="28" s="1"/>
  <c r="K133" i="28" s="1"/>
  <c r="L133" i="28" s="1"/>
  <c r="M133" i="28" s="1"/>
  <c r="N133" i="28" s="1"/>
  <c r="O133" i="28" s="1"/>
  <c r="P133" i="28" s="1"/>
  <c r="M48" i="39" l="1"/>
  <c r="G130" i="39" s="1"/>
  <c r="AW204" i="39"/>
  <c r="J60" i="39" s="1"/>
  <c r="AW208" i="39"/>
  <c r="J87" i="39" s="1"/>
  <c r="AW207" i="39"/>
  <c r="J74" i="39" s="1"/>
  <c r="AW212" i="39"/>
  <c r="I20" i="39" s="1"/>
  <c r="AW202" i="39"/>
  <c r="I54" i="39" s="1"/>
  <c r="H24" i="39"/>
  <c r="AW220" i="39"/>
  <c r="I171" i="39" s="1"/>
  <c r="AW205" i="39"/>
  <c r="J69" i="39" s="1"/>
  <c r="AW201" i="39"/>
  <c r="I19" i="39" s="1"/>
  <c r="AW210" i="39"/>
  <c r="J98" i="39" s="1"/>
  <c r="AW213" i="39"/>
  <c r="I123" i="39" s="1"/>
  <c r="AW216" i="39"/>
  <c r="J141" i="39" s="1"/>
  <c r="AW206" i="39"/>
  <c r="I73" i="39" s="1"/>
  <c r="AW209" i="39"/>
  <c r="I97" i="39" s="1"/>
  <c r="AW218" i="39"/>
  <c r="J147" i="39" s="1"/>
  <c r="AW214" i="39"/>
  <c r="J124" i="39" s="1"/>
  <c r="AW221" i="39"/>
  <c r="J172" i="39" s="1"/>
  <c r="AW222" i="39"/>
  <c r="J183" i="39" s="1"/>
  <c r="AW217" i="39"/>
  <c r="I146" i="39" s="1"/>
  <c r="AW203" i="39"/>
  <c r="J55" i="39" s="1"/>
  <c r="AW219" i="39"/>
  <c r="J162" i="39" s="1"/>
  <c r="AW215" i="39"/>
  <c r="J132" i="39" s="1"/>
  <c r="M46" i="39"/>
  <c r="G129" i="39" s="1"/>
  <c r="I24" i="39"/>
  <c r="K24" i="39"/>
  <c r="J24" i="39"/>
  <c r="M47" i="39"/>
  <c r="G194" i="39" s="1"/>
  <c r="M49" i="39"/>
  <c r="G196" i="39" s="1"/>
  <c r="K62" i="39"/>
  <c r="K139" i="39"/>
  <c r="K130" i="39"/>
  <c r="K116" i="39"/>
  <c r="K185" i="39"/>
  <c r="K114" i="39"/>
  <c r="K164" i="39"/>
  <c r="K127" i="39"/>
  <c r="K136" i="39"/>
  <c r="K113" i="39"/>
  <c r="K157" i="39"/>
  <c r="K104" i="39"/>
  <c r="K168" i="39"/>
  <c r="K149" i="39"/>
  <c r="K173" i="39"/>
  <c r="K159" i="39"/>
  <c r="K138" i="39"/>
  <c r="K144" i="39"/>
  <c r="K140" i="39"/>
  <c r="K129" i="39"/>
  <c r="K135" i="39"/>
  <c r="K131" i="39"/>
  <c r="K115" i="39"/>
  <c r="K126" i="39"/>
  <c r="K117" i="39"/>
  <c r="K106" i="39"/>
  <c r="K103" i="39"/>
  <c r="K109" i="39"/>
  <c r="K148" i="39"/>
  <c r="K93" i="39"/>
  <c r="K100" i="39"/>
  <c r="K137" i="39"/>
  <c r="K84" i="39"/>
  <c r="K90" i="39"/>
  <c r="K128" i="39"/>
  <c r="M44" i="39"/>
  <c r="K167" i="39"/>
  <c r="K95" i="39"/>
  <c r="K150" i="39"/>
  <c r="K182" i="39"/>
  <c r="K180" i="39"/>
  <c r="K125" i="39"/>
  <c r="K111" i="39"/>
  <c r="K61" i="39"/>
  <c r="K96" i="39"/>
  <c r="K94" i="39"/>
  <c r="K102" i="39"/>
  <c r="K177" i="39"/>
  <c r="K58" i="39"/>
  <c r="K85" i="39"/>
  <c r="K83" i="39"/>
  <c r="K184" i="39"/>
  <c r="K77" i="39"/>
  <c r="K64" i="39"/>
  <c r="K158" i="39"/>
  <c r="K156" i="39"/>
  <c r="K190" i="39"/>
  <c r="K72" i="39"/>
  <c r="K196" i="39"/>
  <c r="K152" i="39"/>
  <c r="K151" i="39"/>
  <c r="K70" i="39"/>
  <c r="K105" i="39"/>
  <c r="K112" i="39"/>
  <c r="K107" i="39"/>
  <c r="K88" i="39"/>
  <c r="K86" i="39"/>
  <c r="K66" i="39"/>
  <c r="K76" i="39"/>
  <c r="K188" i="39"/>
  <c r="K99" i="39"/>
  <c r="K79" i="39"/>
  <c r="K78" i="39"/>
  <c r="K57" i="39"/>
  <c r="K65" i="39"/>
  <c r="K179" i="39"/>
  <c r="K81" i="39"/>
  <c r="K89" i="39"/>
  <c r="K68" i="39"/>
  <c r="K67" i="39"/>
  <c r="M45" i="39"/>
  <c r="K56" i="39"/>
  <c r="K169" i="39"/>
  <c r="K71" i="39"/>
  <c r="K80" i="39"/>
  <c r="K59" i="39"/>
  <c r="K191" i="39"/>
  <c r="M43" i="39"/>
  <c r="K63" i="39"/>
  <c r="K160" i="39"/>
  <c r="M42" i="39"/>
  <c r="K193" i="39"/>
  <c r="K192" i="39"/>
  <c r="K174" i="39"/>
  <c r="K181" i="39"/>
  <c r="K189" i="39"/>
  <c r="K142" i="39"/>
  <c r="K187" i="39"/>
  <c r="K194" i="39"/>
  <c r="K176" i="39"/>
  <c r="K175" i="39"/>
  <c r="K155" i="39"/>
  <c r="K163" i="39"/>
  <c r="K170" i="39"/>
  <c r="K178" i="39"/>
  <c r="K186" i="39"/>
  <c r="K166" i="39"/>
  <c r="K165" i="39"/>
  <c r="K145" i="39"/>
  <c r="K154" i="39"/>
  <c r="K161" i="39"/>
  <c r="K153" i="39"/>
  <c r="K133" i="39"/>
  <c r="K143" i="39"/>
  <c r="K118" i="39"/>
  <c r="K134" i="39"/>
  <c r="K110" i="39"/>
  <c r="K101" i="39"/>
  <c r="K92" i="39"/>
  <c r="K91" i="39"/>
  <c r="K75" i="39"/>
  <c r="K82" i="39"/>
  <c r="H47" i="38"/>
  <c r="O43" i="38"/>
  <c r="O20" i="38"/>
  <c r="K19" i="38"/>
  <c r="N44" i="38"/>
  <c r="N24" i="38"/>
  <c r="N18" i="38"/>
  <c r="K30" i="38"/>
  <c r="C147" i="28"/>
  <c r="F147" i="28" s="1"/>
  <c r="N31" i="38" s="1"/>
  <c r="H30" i="38" s="1"/>
  <c r="G182" i="39" l="1"/>
  <c r="G161" i="39"/>
  <c r="G195" i="39"/>
  <c r="G193" i="39"/>
  <c r="G181" i="39"/>
  <c r="G160" i="39"/>
  <c r="G131" i="39"/>
  <c r="M24" i="39"/>
  <c r="G192" i="39"/>
  <c r="G118" i="39"/>
  <c r="G107" i="39"/>
  <c r="G96" i="39"/>
  <c r="G117" i="39"/>
  <c r="G140" i="39"/>
  <c r="G68" i="39"/>
  <c r="G191" i="39"/>
  <c r="G159" i="39"/>
  <c r="G59" i="39"/>
  <c r="G86" i="39"/>
  <c r="G95" i="39"/>
  <c r="G170" i="39"/>
  <c r="G116" i="39"/>
  <c r="G128" i="39"/>
  <c r="P123" i="39"/>
  <c r="P108" i="39"/>
  <c r="P69" i="39"/>
  <c r="P171" i="39"/>
  <c r="P146" i="39"/>
  <c r="P182" i="39"/>
  <c r="P55" i="39"/>
  <c r="P161" i="39"/>
  <c r="P98" i="39"/>
  <c r="P60" i="39"/>
  <c r="P140" i="39"/>
  <c r="P87" i="39"/>
  <c r="P131" i="39"/>
  <c r="P74" i="39"/>
  <c r="K20" i="38"/>
  <c r="K24" i="38"/>
  <c r="K25" i="38"/>
  <c r="K26" i="38"/>
  <c r="H34" i="38" l="1"/>
  <c r="H33" i="38" l="1"/>
  <c r="H42" i="38" l="1"/>
  <c r="Q102" i="7" l="1"/>
  <c r="H102" i="7"/>
  <c r="I102" i="7" s="1"/>
  <c r="J102" i="7" s="1"/>
  <c r="H152" i="7"/>
  <c r="H150" i="7"/>
  <c r="H147" i="7"/>
  <c r="H145" i="7"/>
  <c r="H144" i="7"/>
  <c r="H142" i="7"/>
  <c r="Q151" i="7" l="1"/>
  <c r="AG112" i="7"/>
  <c r="AG111" i="7"/>
  <c r="AF114" i="7"/>
  <c r="AF113" i="7"/>
  <c r="AF112" i="7"/>
  <c r="AF111" i="7"/>
  <c r="R103" i="7"/>
  <c r="S103" i="7" s="1"/>
  <c r="R101" i="7"/>
  <c r="S101" i="7" s="1"/>
  <c r="R98" i="7"/>
  <c r="S98" i="7" s="1"/>
  <c r="S97" i="7" s="1"/>
  <c r="H99" i="7"/>
  <c r="H100" i="7"/>
  <c r="H104" i="7"/>
  <c r="I100" i="7" l="1"/>
  <c r="J100" i="7" s="1"/>
  <c r="AB100" i="7" s="1"/>
  <c r="I99" i="7"/>
  <c r="J99" i="7" s="1"/>
  <c r="AB99" i="7" s="1"/>
  <c r="I104" i="7"/>
  <c r="J104" i="7" s="1"/>
  <c r="AB104" i="7" s="1"/>
  <c r="AG113" i="7"/>
  <c r="AH113" i="7" s="1"/>
  <c r="I147" i="7"/>
  <c r="J147" i="7" s="1"/>
  <c r="J163" i="7" s="1"/>
  <c r="AB98" i="7"/>
  <c r="I150" i="7"/>
  <c r="J150" i="7" s="1"/>
  <c r="J166" i="7" s="1"/>
  <c r="AB101" i="7"/>
  <c r="R144" i="7"/>
  <c r="J160" i="7"/>
  <c r="I152" i="7"/>
  <c r="J152" i="7" s="1"/>
  <c r="J168" i="7" s="1"/>
  <c r="AB103" i="7"/>
  <c r="I145" i="7"/>
  <c r="J145" i="7" s="1"/>
  <c r="J161" i="7" s="1"/>
  <c r="AB97" i="7"/>
  <c r="AG114" i="7"/>
  <c r="AI114" i="7" s="1"/>
  <c r="R102" i="7"/>
  <c r="S102" i="7" s="1"/>
  <c r="S151" i="7" s="1"/>
  <c r="S167" i="7" s="1"/>
  <c r="I151" i="7"/>
  <c r="J151" i="7" s="1"/>
  <c r="J167" i="7" s="1"/>
  <c r="H151" i="7"/>
  <c r="AH111" i="7"/>
  <c r="AI111" i="7"/>
  <c r="I146" i="7"/>
  <c r="J146" i="7" s="1"/>
  <c r="AI112" i="7"/>
  <c r="H143" i="7"/>
  <c r="AH112" i="7"/>
  <c r="AK111" i="7" l="1"/>
  <c r="AK112" i="7"/>
  <c r="S147" i="7"/>
  <c r="S163" i="7" s="1"/>
  <c r="AB163" i="7" s="1"/>
  <c r="AI113" i="7"/>
  <c r="AK113" i="7" s="1"/>
  <c r="S150" i="7"/>
  <c r="S166" i="7" s="1"/>
  <c r="AB166" i="7" s="1"/>
  <c r="AB167" i="7"/>
  <c r="S145" i="7"/>
  <c r="S161" i="7" s="1"/>
  <c r="AB161" i="7" s="1"/>
  <c r="S152" i="7"/>
  <c r="S168" i="7" s="1"/>
  <c r="AB168" i="7" s="1"/>
  <c r="S144" i="7"/>
  <c r="S160" i="7" s="1"/>
  <c r="AB160" i="7" s="1"/>
  <c r="AB102" i="7"/>
  <c r="AH114" i="7"/>
  <c r="AK114" i="7" s="1"/>
  <c r="S146" i="7" l="1"/>
  <c r="S162" i="7" s="1"/>
  <c r="R74" i="28"/>
  <c r="R72" i="28"/>
  <c r="R68" i="28"/>
  <c r="Q74" i="28"/>
  <c r="Q72" i="28"/>
  <c r="Q68" i="28"/>
  <c r="N74" i="28"/>
  <c r="N72" i="28"/>
  <c r="L74" i="28"/>
  <c r="L72" i="28"/>
  <c r="L68" i="28"/>
  <c r="H74" i="28"/>
  <c r="H72" i="28"/>
  <c r="H68" i="28"/>
  <c r="J74" i="28"/>
  <c r="J72" i="28"/>
  <c r="J68" i="28"/>
  <c r="M74" i="28"/>
  <c r="M72" i="28"/>
  <c r="M68" i="28"/>
  <c r="K74" i="28"/>
  <c r="K72" i="28"/>
  <c r="K68" i="28"/>
  <c r="I74" i="28"/>
  <c r="I72" i="28"/>
  <c r="I68" i="28"/>
  <c r="E42" i="20"/>
  <c r="F44" i="20"/>
  <c r="F36" i="20"/>
  <c r="F37" i="20"/>
  <c r="F38" i="20"/>
  <c r="F39" i="20"/>
  <c r="E34" i="20"/>
  <c r="C91" i="28"/>
  <c r="F91" i="28" s="1"/>
  <c r="F90" i="28"/>
  <c r="C93" i="28"/>
  <c r="F93" i="28" s="1"/>
  <c r="F92" i="28"/>
  <c r="C83" i="28"/>
  <c r="F83" i="28" s="1"/>
  <c r="F82" i="28"/>
  <c r="C85" i="28"/>
  <c r="F85" i="28" s="1"/>
  <c r="F84" i="28"/>
  <c r="C87" i="28"/>
  <c r="F87" i="28" s="1"/>
  <c r="F86" i="28"/>
  <c r="C89" i="28"/>
  <c r="F89" i="28" s="1"/>
  <c r="F88" i="28"/>
  <c r="C76" i="28"/>
  <c r="F76" i="28" s="1"/>
  <c r="F75" i="28"/>
  <c r="G74" i="28"/>
  <c r="G72" i="28"/>
  <c r="C72" i="28"/>
  <c r="F72" i="28" s="1"/>
  <c r="H24" i="38" s="1"/>
  <c r="F71" i="28"/>
  <c r="G68" i="28"/>
  <c r="H26" i="38" l="1"/>
  <c r="H20" i="38"/>
  <c r="B6" i="7" l="1"/>
  <c r="K35" i="34"/>
  <c r="D35" i="34"/>
  <c r="I35" i="34" s="1"/>
  <c r="I221" i="7"/>
  <c r="I222" i="7" s="1"/>
  <c r="E221" i="7"/>
  <c r="I218" i="7"/>
  <c r="J218" i="7" s="1"/>
  <c r="E218" i="7"/>
  <c r="F15" i="33" a="1"/>
  <c r="F15" i="33" s="1"/>
  <c r="K18" i="33"/>
  <c r="G18" i="33"/>
  <c r="F18" i="33"/>
  <c r="E18" i="33"/>
  <c r="D24" i="34"/>
  <c r="I24" i="34" s="1"/>
  <c r="K24" i="34"/>
  <c r="C15" i="33"/>
  <c r="C19" i="33"/>
  <c r="K19" i="33"/>
  <c r="H19" i="33"/>
  <c r="G19" i="33"/>
  <c r="F19" i="33"/>
  <c r="E19" i="33"/>
  <c r="D19" i="33"/>
  <c r="I20" i="33" s="1"/>
  <c r="E242" i="7" l="1"/>
  <c r="W92" i="52"/>
  <c r="Z92" i="52" s="1"/>
  <c r="F218" i="7"/>
  <c r="Y242" i="7" s="1"/>
  <c r="BG80" i="129" s="1"/>
  <c r="W80" i="129" s="1"/>
  <c r="Z80" i="129" s="1"/>
  <c r="I243" i="7"/>
  <c r="BG128" i="129" s="1"/>
  <c r="W128" i="129" s="1"/>
  <c r="Z128" i="129" s="1"/>
  <c r="G243" i="7"/>
  <c r="E243" i="7"/>
  <c r="I247" i="7"/>
  <c r="BG130" i="129" s="1"/>
  <c r="W130" i="129" s="1"/>
  <c r="Z130" i="129" s="1"/>
  <c r="G248" i="7"/>
  <c r="E241" i="7"/>
  <c r="I242" i="7"/>
  <c r="BG126" i="129" s="1"/>
  <c r="W126" i="129" s="1"/>
  <c r="Z126" i="129" s="1"/>
  <c r="G245" i="7"/>
  <c r="I248" i="7"/>
  <c r="G241" i="7"/>
  <c r="E247" i="7"/>
  <c r="G242" i="7"/>
  <c r="E248" i="7"/>
  <c r="I245" i="7"/>
  <c r="BG131" i="129" s="1"/>
  <c r="W131" i="129" s="1"/>
  <c r="Z131" i="129" s="1"/>
  <c r="I241" i="7"/>
  <c r="BG129" i="129" s="1"/>
  <c r="W129" i="129" s="1"/>
  <c r="Z129" i="129" s="1"/>
  <c r="E246" i="7"/>
  <c r="G247" i="7"/>
  <c r="G246" i="7"/>
  <c r="I246" i="7"/>
  <c r="BG132" i="129" s="1"/>
  <c r="W132" i="129" s="1"/>
  <c r="Z132" i="129" s="1"/>
  <c r="E245" i="7"/>
  <c r="J224" i="7"/>
  <c r="J223" i="7"/>
  <c r="J225" i="7"/>
  <c r="J222" i="7"/>
  <c r="J226" i="7"/>
  <c r="J220" i="7"/>
  <c r="J221" i="7"/>
  <c r="J219" i="7"/>
  <c r="E222" i="7"/>
  <c r="V233" i="7" s="1"/>
  <c r="V232" i="7"/>
  <c r="H21" i="33"/>
  <c r="G21" i="33"/>
  <c r="E21" i="33"/>
  <c r="F21" i="33"/>
  <c r="K21" i="33"/>
  <c r="F16" i="33" s="1"/>
  <c r="BG100" i="129" l="1"/>
  <c r="W100" i="129" s="1"/>
  <c r="Z100" i="129" s="1"/>
  <c r="BG103" i="129"/>
  <c r="W103" i="129" s="1"/>
  <c r="Z103" i="129" s="1"/>
  <c r="BG119" i="129"/>
  <c r="W119" i="129" s="1"/>
  <c r="Z119" i="129" s="1"/>
  <c r="BG120" i="129"/>
  <c r="W120" i="129" s="1"/>
  <c r="Z120" i="129" s="1"/>
  <c r="Z133" i="129"/>
  <c r="BG110" i="129"/>
  <c r="W110" i="129" s="1"/>
  <c r="Z110" i="129" s="1"/>
  <c r="BG112" i="129"/>
  <c r="W112" i="129" s="1"/>
  <c r="Z112" i="129" s="1"/>
  <c r="BG114" i="129"/>
  <c r="W114" i="129" s="1"/>
  <c r="Z114" i="129" s="1"/>
  <c r="BG115" i="129"/>
  <c r="W115" i="129" s="1"/>
  <c r="Z115" i="129" s="1"/>
  <c r="BG116" i="129"/>
  <c r="W116" i="129" s="1"/>
  <c r="Z116" i="129" s="1"/>
  <c r="BG117" i="129"/>
  <c r="W117" i="129" s="1"/>
  <c r="Z117" i="129" s="1"/>
  <c r="BG89" i="129"/>
  <c r="W89" i="129" s="1"/>
  <c r="Z89" i="129" s="1"/>
  <c r="BG91" i="129"/>
  <c r="W91" i="129" s="1"/>
  <c r="Z91" i="129" s="1"/>
  <c r="BG94" i="129"/>
  <c r="W94" i="129" s="1"/>
  <c r="Z94" i="129" s="1"/>
  <c r="BG93" i="129"/>
  <c r="W93" i="129" s="1"/>
  <c r="Z93" i="129" s="1"/>
  <c r="BG95" i="129"/>
  <c r="W95" i="129" s="1"/>
  <c r="Z95" i="129" s="1"/>
  <c r="BG96" i="129"/>
  <c r="W96" i="129" s="1"/>
  <c r="Z96" i="129" s="1"/>
  <c r="BG97" i="129"/>
  <c r="W97" i="129" s="1"/>
  <c r="Z97" i="129" s="1"/>
  <c r="BG98" i="129"/>
  <c r="W98" i="129" s="1"/>
  <c r="Z98" i="129" s="1"/>
  <c r="BG132" i="127"/>
  <c r="W132" i="127" s="1"/>
  <c r="Z132" i="127" s="1"/>
  <c r="BG132" i="128"/>
  <c r="W132" i="128" s="1"/>
  <c r="Z132" i="128" s="1"/>
  <c r="BG126" i="127"/>
  <c r="W126" i="127" s="1"/>
  <c r="Z126" i="127" s="1"/>
  <c r="BG126" i="128"/>
  <c r="W126" i="128" s="1"/>
  <c r="Z126" i="128" s="1"/>
  <c r="BG129" i="127"/>
  <c r="W129" i="127" s="1"/>
  <c r="Z129" i="127" s="1"/>
  <c r="BG129" i="128"/>
  <c r="W129" i="128" s="1"/>
  <c r="Z129" i="128" s="1"/>
  <c r="BG100" i="128"/>
  <c r="W100" i="128" s="1"/>
  <c r="Z100" i="128" s="1"/>
  <c r="BG103" i="128"/>
  <c r="W103" i="128" s="1"/>
  <c r="Z103" i="128" s="1"/>
  <c r="BG131" i="127"/>
  <c r="W131" i="127" s="1"/>
  <c r="Z131" i="127" s="1"/>
  <c r="BG131" i="128"/>
  <c r="W131" i="128" s="1"/>
  <c r="Z131" i="128" s="1"/>
  <c r="BG119" i="128"/>
  <c r="W119" i="128" s="1"/>
  <c r="Z119" i="128" s="1"/>
  <c r="BG120" i="128"/>
  <c r="W120" i="128" s="1"/>
  <c r="Z120" i="128" s="1"/>
  <c r="BG128" i="127"/>
  <c r="W128" i="127" s="1"/>
  <c r="Z128" i="127" s="1"/>
  <c r="BG128" i="128"/>
  <c r="W128" i="128" s="1"/>
  <c r="Z128" i="128" s="1"/>
  <c r="BG80" i="127"/>
  <c r="W80" i="127" s="1"/>
  <c r="Z80" i="127" s="1"/>
  <c r="BG80" i="128"/>
  <c r="W80" i="128" s="1"/>
  <c r="Z80" i="128" s="1"/>
  <c r="BG130" i="127"/>
  <c r="W130" i="127" s="1"/>
  <c r="Z130" i="127" s="1"/>
  <c r="BG130" i="128"/>
  <c r="W130" i="128" s="1"/>
  <c r="Z130" i="128" s="1"/>
  <c r="Z189" i="128" s="1"/>
  <c r="BG110" i="128"/>
  <c r="W110" i="128" s="1"/>
  <c r="Z110" i="128" s="1"/>
  <c r="BG112" i="128"/>
  <c r="W112" i="128" s="1"/>
  <c r="Z112" i="128" s="1"/>
  <c r="BG114" i="128"/>
  <c r="W114" i="128" s="1"/>
  <c r="Z114" i="128" s="1"/>
  <c r="BG115" i="128"/>
  <c r="W115" i="128" s="1"/>
  <c r="Z115" i="128" s="1"/>
  <c r="BG116" i="128"/>
  <c r="W116" i="128" s="1"/>
  <c r="Z116" i="128" s="1"/>
  <c r="BG117" i="128"/>
  <c r="W117" i="128" s="1"/>
  <c r="Z117" i="128" s="1"/>
  <c r="BG89" i="128"/>
  <c r="W89" i="128" s="1"/>
  <c r="Z89" i="128" s="1"/>
  <c r="BG91" i="128"/>
  <c r="W91" i="128" s="1"/>
  <c r="Z91" i="128" s="1"/>
  <c r="BG93" i="128"/>
  <c r="W93" i="128" s="1"/>
  <c r="Z93" i="128" s="1"/>
  <c r="BG94" i="128"/>
  <c r="W94" i="128" s="1"/>
  <c r="Z94" i="128" s="1"/>
  <c r="BG95" i="128"/>
  <c r="W95" i="128" s="1"/>
  <c r="Z95" i="128" s="1"/>
  <c r="BG96" i="128"/>
  <c r="W96" i="128" s="1"/>
  <c r="Z96" i="128" s="1"/>
  <c r="BG97" i="128"/>
  <c r="W97" i="128" s="1"/>
  <c r="Z97" i="128" s="1"/>
  <c r="BG98" i="128"/>
  <c r="W98" i="128" s="1"/>
  <c r="Z98" i="128" s="1"/>
  <c r="BG100" i="127"/>
  <c r="W100" i="127" s="1"/>
  <c r="Z100" i="127" s="1"/>
  <c r="BG103" i="127"/>
  <c r="W103" i="127" s="1"/>
  <c r="Z103" i="127" s="1"/>
  <c r="BG119" i="127"/>
  <c r="W119" i="127" s="1"/>
  <c r="Z119" i="127" s="1"/>
  <c r="BG120" i="127"/>
  <c r="W120" i="127" s="1"/>
  <c r="Z120" i="127" s="1"/>
  <c r="BG110" i="127"/>
  <c r="W110" i="127" s="1"/>
  <c r="Z110" i="127" s="1"/>
  <c r="BG112" i="127"/>
  <c r="W112" i="127" s="1"/>
  <c r="Z112" i="127" s="1"/>
  <c r="BG114" i="127"/>
  <c r="W114" i="127" s="1"/>
  <c r="Z114" i="127" s="1"/>
  <c r="BG115" i="127"/>
  <c r="W115" i="127" s="1"/>
  <c r="Z115" i="127" s="1"/>
  <c r="BG116" i="127"/>
  <c r="W116" i="127" s="1"/>
  <c r="Z116" i="127" s="1"/>
  <c r="BG117" i="127"/>
  <c r="W117" i="127" s="1"/>
  <c r="Z117" i="127" s="1"/>
  <c r="BG89" i="127"/>
  <c r="W89" i="127" s="1"/>
  <c r="Z89" i="127" s="1"/>
  <c r="BG91" i="127"/>
  <c r="W91" i="127" s="1"/>
  <c r="Z91" i="127" s="1"/>
  <c r="BG93" i="127"/>
  <c r="W93" i="127" s="1"/>
  <c r="Z93" i="127" s="1"/>
  <c r="BG94" i="127"/>
  <c r="W94" i="127" s="1"/>
  <c r="Z94" i="127" s="1"/>
  <c r="BG95" i="127"/>
  <c r="W95" i="127" s="1"/>
  <c r="Z95" i="127" s="1"/>
  <c r="BG96" i="127"/>
  <c r="W96" i="127" s="1"/>
  <c r="Z96" i="127" s="1"/>
  <c r="BG97" i="127"/>
  <c r="W97" i="127" s="1"/>
  <c r="Z97" i="127" s="1"/>
  <c r="BG98" i="127"/>
  <c r="W98" i="127" s="1"/>
  <c r="Z98" i="127" s="1"/>
  <c r="BG109" i="52"/>
  <c r="W109" i="52" s="1"/>
  <c r="Z109" i="52" s="1"/>
  <c r="BG129" i="52"/>
  <c r="W129" i="52" s="1"/>
  <c r="Z129" i="52" s="1"/>
  <c r="BG100" i="52"/>
  <c r="W100" i="52" s="1"/>
  <c r="Z100" i="52" s="1"/>
  <c r="BG103" i="52"/>
  <c r="W103" i="52" s="1"/>
  <c r="Z103" i="52" s="1"/>
  <c r="BG131" i="52"/>
  <c r="W131" i="52" s="1"/>
  <c r="Z131" i="52" s="1"/>
  <c r="BG119" i="52"/>
  <c r="W119" i="52" s="1"/>
  <c r="Z119" i="52" s="1"/>
  <c r="BG120" i="52"/>
  <c r="W120" i="52" s="1"/>
  <c r="Z120" i="52" s="1"/>
  <c r="BG128" i="52"/>
  <c r="W128" i="52" s="1"/>
  <c r="Z128" i="52" s="1"/>
  <c r="BG80" i="52"/>
  <c r="W80" i="52" s="1"/>
  <c r="Z80" i="52" s="1"/>
  <c r="F31" i="34" a="1"/>
  <c r="F31" i="34" s="1"/>
  <c r="F32" i="34" a="1"/>
  <c r="F32" i="34" s="1"/>
  <c r="F21" i="34" a="1"/>
  <c r="F21" i="34" s="1"/>
  <c r="BG132" i="52"/>
  <c r="W132" i="52" s="1"/>
  <c r="Z132" i="52" s="1"/>
  <c r="BG126" i="52"/>
  <c r="W126" i="52" s="1"/>
  <c r="Z126" i="52" s="1"/>
  <c r="F30" i="34" a="1"/>
  <c r="F30" i="34" s="1"/>
  <c r="F19" i="34" a="1"/>
  <c r="F19" i="34" s="1"/>
  <c r="F20" i="34" a="1"/>
  <c r="F20" i="34" s="1"/>
  <c r="BG110" i="52"/>
  <c r="W110" i="52" s="1"/>
  <c r="Z110" i="52" s="1"/>
  <c r="BG112" i="52"/>
  <c r="W112" i="52" s="1"/>
  <c r="Z112" i="52" s="1"/>
  <c r="BG114" i="52"/>
  <c r="W114" i="52" s="1"/>
  <c r="Z114" i="52" s="1"/>
  <c r="BG115" i="52"/>
  <c r="W115" i="52" s="1"/>
  <c r="Z115" i="52" s="1"/>
  <c r="BG116" i="52"/>
  <c r="W116" i="52" s="1"/>
  <c r="Z116" i="52" s="1"/>
  <c r="BG117" i="52"/>
  <c r="W117" i="52" s="1"/>
  <c r="Z117" i="52" s="1"/>
  <c r="BG130" i="52"/>
  <c r="W130" i="52" s="1"/>
  <c r="Z130" i="52" s="1"/>
  <c r="BG89" i="52"/>
  <c r="W89" i="52" s="1"/>
  <c r="Z89" i="52" s="1"/>
  <c r="BG91" i="52"/>
  <c r="W91" i="52" s="1"/>
  <c r="Z91" i="52" s="1"/>
  <c r="BG94" i="52"/>
  <c r="W94" i="52" s="1"/>
  <c r="Z94" i="52" s="1"/>
  <c r="BG93" i="52"/>
  <c r="W93" i="52" s="1"/>
  <c r="Z93" i="52" s="1"/>
  <c r="BG95" i="52"/>
  <c r="W95" i="52" s="1"/>
  <c r="Z95" i="52" s="1"/>
  <c r="BG96" i="52"/>
  <c r="W96" i="52" s="1"/>
  <c r="Z96" i="52" s="1"/>
  <c r="BG97" i="52"/>
  <c r="W97" i="52" s="1"/>
  <c r="Z97" i="52" s="1"/>
  <c r="BG98" i="52"/>
  <c r="W98" i="52" s="1"/>
  <c r="Z98" i="52" s="1"/>
  <c r="W244" i="7"/>
  <c r="W243" i="7"/>
  <c r="N246" i="7"/>
  <c r="N245" i="7"/>
  <c r="Y247" i="7"/>
  <c r="Y246" i="7"/>
  <c r="R245" i="7"/>
  <c r="BG176" i="129" s="1"/>
  <c r="W176" i="129" s="1"/>
  <c r="Z176" i="129" s="1"/>
  <c r="W241" i="7"/>
  <c r="BG74" i="129" s="1"/>
  <c r="W74" i="129" s="1"/>
  <c r="Z74" i="129" s="1"/>
  <c r="P247" i="7"/>
  <c r="R248" i="7"/>
  <c r="N244" i="7"/>
  <c r="R246" i="7"/>
  <c r="BG177" i="129" s="1"/>
  <c r="W177" i="129" s="1"/>
  <c r="Z177" i="129" s="1"/>
  <c r="P242" i="7"/>
  <c r="P248" i="7"/>
  <c r="R241" i="7"/>
  <c r="BG174" i="129" s="1"/>
  <c r="W174" i="129" s="1"/>
  <c r="Z174" i="129" s="1"/>
  <c r="P245" i="7"/>
  <c r="R242" i="7"/>
  <c r="BG171" i="129" s="1"/>
  <c r="W171" i="129" s="1"/>
  <c r="Z171" i="129" s="1"/>
  <c r="W246" i="7"/>
  <c r="R247" i="7"/>
  <c r="BG175" i="129" s="1"/>
  <c r="W175" i="129" s="1"/>
  <c r="Z175" i="129" s="1"/>
  <c r="Z189" i="129" s="1"/>
  <c r="Y248" i="7"/>
  <c r="Y244" i="7"/>
  <c r="Y245" i="7"/>
  <c r="BG82" i="129" s="1"/>
  <c r="W82" i="129" s="1"/>
  <c r="Z82" i="129" s="1"/>
  <c r="Y243" i="7"/>
  <c r="N243" i="7"/>
  <c r="BG147" i="129" s="1"/>
  <c r="W147" i="129" s="1"/>
  <c r="Z147" i="129" s="1"/>
  <c r="W242" i="7"/>
  <c r="R243" i="7"/>
  <c r="BG173" i="129" s="1"/>
  <c r="W173" i="129" s="1"/>
  <c r="Z173" i="129" s="1"/>
  <c r="N248" i="7"/>
  <c r="P246" i="7"/>
  <c r="W247" i="7"/>
  <c r="N247" i="7"/>
  <c r="Y241" i="7"/>
  <c r="BG81" i="129" s="1"/>
  <c r="W81" i="129" s="1"/>
  <c r="Z81" i="129" s="1"/>
  <c r="Z83" i="129" s="1"/>
  <c r="W248" i="7"/>
  <c r="P241" i="7"/>
  <c r="W245" i="7"/>
  <c r="R244" i="7"/>
  <c r="N242" i="7"/>
  <c r="N241" i="7"/>
  <c r="P243" i="7"/>
  <c r="P244" i="7"/>
  <c r="BG163" i="129" s="1"/>
  <c r="W163" i="129" s="1"/>
  <c r="Z163" i="129" s="1"/>
  <c r="W113" i="52"/>
  <c r="Z113" i="52" s="1"/>
  <c r="W111" i="52"/>
  <c r="Z111" i="52" s="1"/>
  <c r="W88" i="52"/>
  <c r="Z88" i="52" s="1"/>
  <c r="W90" i="52"/>
  <c r="Z90" i="52" s="1"/>
  <c r="E244" i="7"/>
  <c r="BG102" i="129" s="1"/>
  <c r="W102" i="129" s="1"/>
  <c r="Z102" i="129" s="1"/>
  <c r="G244" i="7"/>
  <c r="BG118" i="129" s="1"/>
  <c r="W118" i="129" s="1"/>
  <c r="Z118" i="129" s="1"/>
  <c r="I244" i="7"/>
  <c r="F224" i="7"/>
  <c r="F222" i="7"/>
  <c r="F225" i="7"/>
  <c r="F223" i="7"/>
  <c r="F226" i="7"/>
  <c r="F220" i="7"/>
  <c r="F221" i="7"/>
  <c r="F219" i="7"/>
  <c r="Z188" i="129" l="1"/>
  <c r="Z187" i="129"/>
  <c r="BG164" i="129"/>
  <c r="W164" i="129" s="1"/>
  <c r="Z164" i="129" s="1"/>
  <c r="BG165" i="129"/>
  <c r="W165" i="129" s="1"/>
  <c r="Z165" i="129" s="1"/>
  <c r="BG146" i="128"/>
  <c r="W146" i="128" s="1"/>
  <c r="Z146" i="128" s="1"/>
  <c r="BG146" i="129"/>
  <c r="W146" i="129" s="1"/>
  <c r="Z146" i="129" s="1"/>
  <c r="Z183" i="129" s="1"/>
  <c r="BG158" i="129"/>
  <c r="W158" i="129" s="1"/>
  <c r="Z158" i="129" s="1"/>
  <c r="BG156" i="129"/>
  <c r="W156" i="129" s="1"/>
  <c r="Z156" i="129" s="1"/>
  <c r="BG154" i="129"/>
  <c r="W154" i="129" s="1"/>
  <c r="Z154" i="129" s="1"/>
  <c r="BG159" i="129"/>
  <c r="W159" i="129" s="1"/>
  <c r="Z159" i="129" s="1"/>
  <c r="BG160" i="129"/>
  <c r="W160" i="129" s="1"/>
  <c r="Z160" i="129" s="1"/>
  <c r="BG161" i="129"/>
  <c r="W161" i="129" s="1"/>
  <c r="Z161" i="129" s="1"/>
  <c r="Z121" i="129"/>
  <c r="BG138" i="129"/>
  <c r="W138" i="129" s="1"/>
  <c r="Z138" i="129" s="1"/>
  <c r="BG142" i="129"/>
  <c r="W142" i="129" s="1"/>
  <c r="Z142" i="129" s="1"/>
  <c r="BG143" i="129"/>
  <c r="W143" i="129" s="1"/>
  <c r="Z143" i="129" s="1"/>
  <c r="BG144" i="129"/>
  <c r="W144" i="129" s="1"/>
  <c r="Z144" i="129" s="1"/>
  <c r="BG145" i="129"/>
  <c r="W145" i="129" s="1"/>
  <c r="Z145" i="129" s="1"/>
  <c r="Z185" i="129"/>
  <c r="Z186" i="129"/>
  <c r="Z178" i="129"/>
  <c r="Z179" i="129" s="1"/>
  <c r="X179" i="129" s="1"/>
  <c r="BG65" i="129"/>
  <c r="W65" i="129" s="1"/>
  <c r="Z65" i="129" s="1"/>
  <c r="BG68" i="129"/>
  <c r="W68" i="129" s="1"/>
  <c r="Z68" i="129" s="1"/>
  <c r="BG69" i="129"/>
  <c r="W69" i="129" s="1"/>
  <c r="Z69" i="129" s="1"/>
  <c r="BG70" i="129"/>
  <c r="W70" i="129" s="1"/>
  <c r="Z70" i="129" s="1"/>
  <c r="BG71" i="129"/>
  <c r="W71" i="129" s="1"/>
  <c r="Z71" i="129" s="1"/>
  <c r="BG72" i="129"/>
  <c r="W72" i="129" s="1"/>
  <c r="Z72" i="129" s="1"/>
  <c r="BG73" i="129"/>
  <c r="W73" i="129" s="1"/>
  <c r="Z73" i="129" s="1"/>
  <c r="Z133" i="127"/>
  <c r="Z99" i="129"/>
  <c r="Z101" i="129" s="1"/>
  <c r="Z104" i="129" s="1"/>
  <c r="Z188" i="128"/>
  <c r="Z187" i="128"/>
  <c r="BG173" i="127"/>
  <c r="W173" i="127" s="1"/>
  <c r="Z173" i="127" s="1"/>
  <c r="BG173" i="128"/>
  <c r="W173" i="128" s="1"/>
  <c r="Z173" i="128" s="1"/>
  <c r="BG138" i="128"/>
  <c r="W138" i="128" s="1"/>
  <c r="Z138" i="128" s="1"/>
  <c r="BG142" i="128"/>
  <c r="W142" i="128" s="1"/>
  <c r="Z142" i="128" s="1"/>
  <c r="BG143" i="128"/>
  <c r="W143" i="128" s="1"/>
  <c r="Z143" i="128" s="1"/>
  <c r="BG144" i="128"/>
  <c r="W144" i="128" s="1"/>
  <c r="Z144" i="128" s="1"/>
  <c r="BG145" i="128"/>
  <c r="W145" i="128" s="1"/>
  <c r="Z145" i="128" s="1"/>
  <c r="BG147" i="127"/>
  <c r="W147" i="127" s="1"/>
  <c r="Z147" i="127" s="1"/>
  <c r="BG147" i="128"/>
  <c r="W147" i="128" s="1"/>
  <c r="Z147" i="128" s="1"/>
  <c r="Z185" i="128" s="1"/>
  <c r="BG177" i="127"/>
  <c r="W177" i="127" s="1"/>
  <c r="Z177" i="127" s="1"/>
  <c r="BG177" i="128"/>
  <c r="W177" i="128" s="1"/>
  <c r="Z177" i="128" s="1"/>
  <c r="BG82" i="127"/>
  <c r="W82" i="127" s="1"/>
  <c r="Z82" i="127" s="1"/>
  <c r="Z187" i="127" s="1"/>
  <c r="BG82" i="128"/>
  <c r="W82" i="128" s="1"/>
  <c r="Z82" i="128" s="1"/>
  <c r="BG118" i="127"/>
  <c r="W118" i="127" s="1"/>
  <c r="Z118" i="127" s="1"/>
  <c r="BG118" i="128"/>
  <c r="W118" i="128" s="1"/>
  <c r="Z118" i="128" s="1"/>
  <c r="Z121" i="128" s="1"/>
  <c r="BG74" i="127"/>
  <c r="W74" i="127" s="1"/>
  <c r="Z74" i="127" s="1"/>
  <c r="BG74" i="128"/>
  <c r="W74" i="128" s="1"/>
  <c r="Z74" i="128" s="1"/>
  <c r="BG81" i="127"/>
  <c r="W81" i="127" s="1"/>
  <c r="Z81" i="127" s="1"/>
  <c r="BG81" i="128"/>
  <c r="W81" i="128" s="1"/>
  <c r="Z81" i="128" s="1"/>
  <c r="BG176" i="127"/>
  <c r="W176" i="127" s="1"/>
  <c r="Z176" i="127" s="1"/>
  <c r="BG176" i="128"/>
  <c r="W176" i="128" s="1"/>
  <c r="Z176" i="128" s="1"/>
  <c r="BG175" i="127"/>
  <c r="W175" i="127" s="1"/>
  <c r="Z175" i="127" s="1"/>
  <c r="BG175" i="128"/>
  <c r="W175" i="128" s="1"/>
  <c r="Z175" i="128" s="1"/>
  <c r="BG171" i="127"/>
  <c r="W171" i="127" s="1"/>
  <c r="Z171" i="127" s="1"/>
  <c r="BG171" i="128"/>
  <c r="W171" i="128" s="1"/>
  <c r="Z171" i="128" s="1"/>
  <c r="BG102" i="127"/>
  <c r="W102" i="127" s="1"/>
  <c r="Z102" i="127" s="1"/>
  <c r="BG102" i="128"/>
  <c r="W102" i="128" s="1"/>
  <c r="Z102" i="128" s="1"/>
  <c r="BG174" i="127"/>
  <c r="W174" i="127" s="1"/>
  <c r="Z174" i="127" s="1"/>
  <c r="BG174" i="128"/>
  <c r="W174" i="128" s="1"/>
  <c r="Z174" i="128" s="1"/>
  <c r="BG164" i="128"/>
  <c r="W164" i="128" s="1"/>
  <c r="Z164" i="128" s="1"/>
  <c r="BG165" i="128"/>
  <c r="W165" i="128" s="1"/>
  <c r="Z165" i="128" s="1"/>
  <c r="Z133" i="128"/>
  <c r="Z134" i="128" s="1"/>
  <c r="X134" i="128" s="1"/>
  <c r="BG163" i="127"/>
  <c r="W163" i="127" s="1"/>
  <c r="Z163" i="127" s="1"/>
  <c r="BG163" i="128"/>
  <c r="W163" i="128" s="1"/>
  <c r="Z163" i="128" s="1"/>
  <c r="BG65" i="128"/>
  <c r="W65" i="128" s="1"/>
  <c r="Z65" i="128" s="1"/>
  <c r="BG68" i="128"/>
  <c r="W68" i="128" s="1"/>
  <c r="Z68" i="128" s="1"/>
  <c r="BG69" i="128"/>
  <c r="W69" i="128" s="1"/>
  <c r="Z69" i="128" s="1"/>
  <c r="BG70" i="128"/>
  <c r="W70" i="128" s="1"/>
  <c r="Z70" i="128" s="1"/>
  <c r="BG71" i="128"/>
  <c r="W71" i="128" s="1"/>
  <c r="Z71" i="128" s="1"/>
  <c r="BG72" i="128"/>
  <c r="W72" i="128" s="1"/>
  <c r="Z72" i="128" s="1"/>
  <c r="BG73" i="128"/>
  <c r="W73" i="128" s="1"/>
  <c r="Z73" i="128" s="1"/>
  <c r="BG158" i="128"/>
  <c r="W158" i="128" s="1"/>
  <c r="Z158" i="128" s="1"/>
  <c r="BG156" i="128"/>
  <c r="W156" i="128" s="1"/>
  <c r="Z156" i="128" s="1"/>
  <c r="BG154" i="128"/>
  <c r="W154" i="128" s="1"/>
  <c r="Z154" i="128" s="1"/>
  <c r="BG159" i="128"/>
  <c r="W159" i="128" s="1"/>
  <c r="Z159" i="128" s="1"/>
  <c r="BG160" i="128"/>
  <c r="W160" i="128" s="1"/>
  <c r="Z160" i="128" s="1"/>
  <c r="BG161" i="128"/>
  <c r="W161" i="128" s="1"/>
  <c r="Z161" i="128" s="1"/>
  <c r="Z99" i="128"/>
  <c r="Z101" i="128" s="1"/>
  <c r="Z188" i="127"/>
  <c r="BG164" i="127"/>
  <c r="W164" i="127" s="1"/>
  <c r="Z164" i="127" s="1"/>
  <c r="BG165" i="127"/>
  <c r="W165" i="127" s="1"/>
  <c r="Z165" i="127" s="1"/>
  <c r="BG146" i="127"/>
  <c r="W146" i="127" s="1"/>
  <c r="Z146" i="127" s="1"/>
  <c r="Z183" i="127" s="1"/>
  <c r="BG65" i="127"/>
  <c r="W65" i="127" s="1"/>
  <c r="Z65" i="127" s="1"/>
  <c r="BG68" i="127"/>
  <c r="W68" i="127" s="1"/>
  <c r="Z68" i="127" s="1"/>
  <c r="BG69" i="127"/>
  <c r="W69" i="127" s="1"/>
  <c r="Z69" i="127" s="1"/>
  <c r="BG70" i="127"/>
  <c r="W70" i="127" s="1"/>
  <c r="Z70" i="127" s="1"/>
  <c r="BG71" i="127"/>
  <c r="W71" i="127" s="1"/>
  <c r="Z71" i="127" s="1"/>
  <c r="BG72" i="127"/>
  <c r="W72" i="127" s="1"/>
  <c r="Z72" i="127" s="1"/>
  <c r="BG73" i="127"/>
  <c r="W73" i="127" s="1"/>
  <c r="Z73" i="127" s="1"/>
  <c r="BG158" i="127"/>
  <c r="W158" i="127" s="1"/>
  <c r="Z158" i="127" s="1"/>
  <c r="BG156" i="127"/>
  <c r="W156" i="127" s="1"/>
  <c r="Z156" i="127" s="1"/>
  <c r="BG154" i="127"/>
  <c r="W154" i="127" s="1"/>
  <c r="Z154" i="127" s="1"/>
  <c r="BG159" i="127"/>
  <c r="W159" i="127" s="1"/>
  <c r="Z159" i="127" s="1"/>
  <c r="BG160" i="127"/>
  <c r="W160" i="127" s="1"/>
  <c r="Z160" i="127" s="1"/>
  <c r="BG161" i="127"/>
  <c r="W161" i="127" s="1"/>
  <c r="Z161" i="127" s="1"/>
  <c r="Z185" i="127"/>
  <c r="Z186" i="127"/>
  <c r="BG138" i="127"/>
  <c r="W138" i="127" s="1"/>
  <c r="Z138" i="127" s="1"/>
  <c r="BG142" i="127"/>
  <c r="W142" i="127" s="1"/>
  <c r="Z142" i="127" s="1"/>
  <c r="BG143" i="127"/>
  <c r="W143" i="127" s="1"/>
  <c r="Z143" i="127" s="1"/>
  <c r="BG144" i="127"/>
  <c r="W144" i="127" s="1"/>
  <c r="Z144" i="127" s="1"/>
  <c r="BG145" i="127"/>
  <c r="W145" i="127" s="1"/>
  <c r="Z145" i="127" s="1"/>
  <c r="Z121" i="127"/>
  <c r="Z99" i="127"/>
  <c r="Z101" i="127" s="1"/>
  <c r="Z104" i="127" s="1"/>
  <c r="BG65" i="52"/>
  <c r="W65" i="52" s="1"/>
  <c r="Z65" i="52" s="1"/>
  <c r="BG141" i="52"/>
  <c r="W141" i="52" s="1"/>
  <c r="Z141" i="52" s="1"/>
  <c r="BG140" i="52"/>
  <c r="W140" i="52" s="1"/>
  <c r="Z140" i="52" s="1"/>
  <c r="BG139" i="52"/>
  <c r="W139" i="52" s="1"/>
  <c r="Z139" i="52" s="1"/>
  <c r="BG81" i="52"/>
  <c r="W81" i="52" s="1"/>
  <c r="Z81" i="52" s="1"/>
  <c r="BG171" i="52"/>
  <c r="W171" i="52" s="1"/>
  <c r="Z171" i="52" s="1"/>
  <c r="BG175" i="52"/>
  <c r="W175" i="52" s="1"/>
  <c r="Z175" i="52" s="1"/>
  <c r="Z189" i="52" s="1"/>
  <c r="BG163" i="52"/>
  <c r="W163" i="52" s="1"/>
  <c r="Z163" i="52" s="1"/>
  <c r="BG102" i="52"/>
  <c r="W102" i="52" s="1"/>
  <c r="Z102" i="52" s="1"/>
  <c r="BG164" i="52"/>
  <c r="W164" i="52" s="1"/>
  <c r="Z164" i="52" s="1"/>
  <c r="BG165" i="52"/>
  <c r="W165" i="52" s="1"/>
  <c r="Z165" i="52" s="1"/>
  <c r="BG173" i="52"/>
  <c r="W173" i="52" s="1"/>
  <c r="Z173" i="52" s="1"/>
  <c r="BG146" i="52"/>
  <c r="W146" i="52" s="1"/>
  <c r="Z146" i="52" s="1"/>
  <c r="BG68" i="52"/>
  <c r="W68" i="52" s="1"/>
  <c r="Z68" i="52" s="1"/>
  <c r="BG69" i="52"/>
  <c r="W69" i="52" s="1"/>
  <c r="BG70" i="52"/>
  <c r="W70" i="52" s="1"/>
  <c r="Z70" i="52" s="1"/>
  <c r="BG71" i="52"/>
  <c r="W71" i="52" s="1"/>
  <c r="Z71" i="52" s="1"/>
  <c r="BG72" i="52"/>
  <c r="W72" i="52" s="1"/>
  <c r="Z72" i="52" s="1"/>
  <c r="BG73" i="52"/>
  <c r="W73" i="52" s="1"/>
  <c r="Z73" i="52" s="1"/>
  <c r="BG158" i="52"/>
  <c r="W158" i="52" s="1"/>
  <c r="Z158" i="52" s="1"/>
  <c r="BG156" i="52"/>
  <c r="W156" i="52" s="1"/>
  <c r="Z156" i="52" s="1"/>
  <c r="BG154" i="52"/>
  <c r="W154" i="52" s="1"/>
  <c r="Z154" i="52" s="1"/>
  <c r="BG160" i="52"/>
  <c r="W160" i="52" s="1"/>
  <c r="Z160" i="52" s="1"/>
  <c r="BG159" i="52"/>
  <c r="W159" i="52" s="1"/>
  <c r="Z159" i="52" s="1"/>
  <c r="BG161" i="52"/>
  <c r="W161" i="52" s="1"/>
  <c r="Z161" i="52" s="1"/>
  <c r="BG118" i="52"/>
  <c r="W118" i="52" s="1"/>
  <c r="Z118" i="52" s="1"/>
  <c r="Z121" i="52" s="1"/>
  <c r="BG174" i="52"/>
  <c r="W174" i="52" s="1"/>
  <c r="Z174" i="52" s="1"/>
  <c r="BG138" i="52"/>
  <c r="W138" i="52" s="1"/>
  <c r="Z138" i="52" s="1"/>
  <c r="BG142" i="52"/>
  <c r="W142" i="52" s="1"/>
  <c r="Z142" i="52" s="1"/>
  <c r="BG143" i="52"/>
  <c r="W143" i="52" s="1"/>
  <c r="Z143" i="52" s="1"/>
  <c r="BG144" i="52"/>
  <c r="W144" i="52" s="1"/>
  <c r="Z144" i="52" s="1"/>
  <c r="BG145" i="52"/>
  <c r="W145" i="52" s="1"/>
  <c r="Z145" i="52" s="1"/>
  <c r="BG147" i="52"/>
  <c r="W147" i="52" s="1"/>
  <c r="Z147" i="52" s="1"/>
  <c r="BG177" i="52"/>
  <c r="W177" i="52" s="1"/>
  <c r="Z177" i="52" s="1"/>
  <c r="BG82" i="52"/>
  <c r="W82" i="52" s="1"/>
  <c r="Z82" i="52" s="1"/>
  <c r="BG74" i="52"/>
  <c r="W74" i="52" s="1"/>
  <c r="Z74" i="52" s="1"/>
  <c r="BG176" i="52"/>
  <c r="W176" i="52" s="1"/>
  <c r="Z176" i="52" s="1"/>
  <c r="Z187" i="52" s="1"/>
  <c r="W67" i="52"/>
  <c r="Z67" i="52" s="1"/>
  <c r="D33" i="34"/>
  <c r="D36" i="34" s="1"/>
  <c r="F36" i="34" s="1"/>
  <c r="F37" i="34" s="1"/>
  <c r="D22" i="34"/>
  <c r="W66" i="52"/>
  <c r="Z66" i="52" s="1"/>
  <c r="W155" i="52"/>
  <c r="Z155" i="52" s="1"/>
  <c r="Z133" i="52"/>
  <c r="Z99" i="52"/>
  <c r="Z101" i="52" s="1"/>
  <c r="K22" i="34"/>
  <c r="Z178" i="127" l="1"/>
  <c r="Z148" i="129"/>
  <c r="Z149" i="129" s="1"/>
  <c r="X149" i="129" s="1"/>
  <c r="Z184" i="129"/>
  <c r="Z190" i="129" s="1"/>
  <c r="Z191" i="129" s="1"/>
  <c r="X191" i="129" s="1"/>
  <c r="Z166" i="129"/>
  <c r="Z162" i="129"/>
  <c r="Z83" i="127"/>
  <c r="Z84" i="127" s="1"/>
  <c r="X84" i="127" s="1"/>
  <c r="Z75" i="129"/>
  <c r="Z83" i="128"/>
  <c r="Z104" i="128"/>
  <c r="Z178" i="128"/>
  <c r="Z166" i="128"/>
  <c r="Z162" i="128"/>
  <c r="Z148" i="128"/>
  <c r="Z149" i="128" s="1"/>
  <c r="X149" i="128" s="1"/>
  <c r="Z75" i="128"/>
  <c r="Z148" i="127"/>
  <c r="Z149" i="127" s="1"/>
  <c r="X149" i="127" s="1"/>
  <c r="Z184" i="127"/>
  <c r="Z190" i="127" s="1"/>
  <c r="Z191" i="127" s="1"/>
  <c r="X191" i="127" s="1"/>
  <c r="Z75" i="127"/>
  <c r="Z166" i="127"/>
  <c r="Z162" i="127"/>
  <c r="Z148" i="52"/>
  <c r="Z149" i="52" s="1"/>
  <c r="X149" i="52" s="1"/>
  <c r="Z183" i="52"/>
  <c r="Z186" i="52"/>
  <c r="D25" i="34"/>
  <c r="F25" i="34" s="1"/>
  <c r="F26" i="34" s="1"/>
  <c r="F22" i="34"/>
  <c r="F33" i="34"/>
  <c r="I33" i="34" s="1"/>
  <c r="I36" i="34" s="1"/>
  <c r="K36" i="34" s="1"/>
  <c r="K37" i="34" s="1"/>
  <c r="Z188" i="52"/>
  <c r="Z83" i="52"/>
  <c r="Z185" i="52"/>
  <c r="Z162" i="52"/>
  <c r="Z178" i="52"/>
  <c r="Z179" i="52" s="1"/>
  <c r="X179" i="52" s="1"/>
  <c r="Z166" i="52"/>
  <c r="Z104" i="52"/>
  <c r="I25" i="34"/>
  <c r="K25" i="34" s="1"/>
  <c r="K26" i="34" s="1"/>
  <c r="Z183" i="128" l="1"/>
  <c r="Z184" i="128"/>
  <c r="Z186" i="128"/>
  <c r="D9" i="32"/>
  <c r="D8" i="32"/>
  <c r="D7" i="32"/>
  <c r="D6" i="32"/>
  <c r="Q23" i="32"/>
  <c r="S23" i="32"/>
  <c r="T23" i="32"/>
  <c r="U23" i="32"/>
  <c r="C24" i="32"/>
  <c r="C25" i="32" s="1"/>
  <c r="O24" i="32"/>
  <c r="O25" i="32"/>
  <c r="O26" i="32"/>
  <c r="O27" i="32"/>
  <c r="O28" i="32"/>
  <c r="O29" i="32"/>
  <c r="O30" i="32"/>
  <c r="O31" i="32"/>
  <c r="O32" i="32"/>
  <c r="O33" i="32"/>
  <c r="O34" i="32"/>
  <c r="Z190" i="128" l="1"/>
  <c r="Z191" i="128" s="1"/>
  <c r="X191" i="128" s="1"/>
  <c r="P25" i="32"/>
  <c r="P31" i="32"/>
  <c r="P27" i="32"/>
  <c r="P26" i="32"/>
  <c r="P32" i="32"/>
  <c r="P28" i="32"/>
  <c r="C26" i="32"/>
  <c r="C27" i="32" s="1"/>
  <c r="C28" i="32" s="1"/>
  <c r="P24" i="32"/>
  <c r="P33" i="32"/>
  <c r="P29" i="32"/>
  <c r="O36" i="32"/>
  <c r="P30" i="32"/>
  <c r="C29" i="32" l="1"/>
  <c r="P36" i="32"/>
  <c r="Q28" i="32" s="1"/>
  <c r="U24" i="32" l="1"/>
  <c r="S32" i="32"/>
  <c r="S29" i="32"/>
  <c r="T24" i="32"/>
  <c r="Q33" i="32"/>
  <c r="S33" i="32"/>
  <c r="Q29" i="32"/>
  <c r="Q32" i="32"/>
  <c r="S30" i="32"/>
  <c r="U28" i="32"/>
  <c r="Q24" i="32"/>
  <c r="T30" i="32"/>
  <c r="C30" i="32"/>
  <c r="C31" i="32" s="1"/>
  <c r="F36" i="32"/>
  <c r="Q31" i="32"/>
  <c r="Q25" i="32"/>
  <c r="S27" i="32"/>
  <c r="Q26" i="32"/>
  <c r="T31" i="32"/>
  <c r="T27" i="32"/>
  <c r="S25" i="32"/>
  <c r="T25" i="32"/>
  <c r="U27" i="32"/>
  <c r="T26" i="32"/>
  <c r="U31" i="32"/>
  <c r="S31" i="32"/>
  <c r="U25" i="32"/>
  <c r="Q27" i="32"/>
  <c r="U26" i="32"/>
  <c r="S26" i="32"/>
  <c r="U29" i="32"/>
  <c r="Q30" i="32"/>
  <c r="U33" i="32"/>
  <c r="T28" i="32"/>
  <c r="U32" i="32"/>
  <c r="S24" i="32"/>
  <c r="T29" i="32"/>
  <c r="U30" i="32"/>
  <c r="T33" i="32"/>
  <c r="S28" i="32"/>
  <c r="T32" i="32"/>
  <c r="U36" i="32" l="1"/>
  <c r="L36" i="32" s="1"/>
  <c r="S36" i="32"/>
  <c r="J36" i="32" s="1"/>
  <c r="T36" i="32"/>
  <c r="K36" i="32" s="1"/>
  <c r="Q36" i="32"/>
  <c r="H36" i="32" s="1"/>
  <c r="C32" i="32"/>
  <c r="C33" i="32" s="1"/>
  <c r="P305" i="7" l="1"/>
  <c r="N305" i="7"/>
  <c r="O305" i="7"/>
  <c r="K229" i="52" l="1"/>
  <c r="J305" i="7"/>
  <c r="J303" i="7"/>
  <c r="J302" i="7"/>
  <c r="O306" i="7"/>
  <c r="G306" i="7"/>
  <c r="G417" i="52" s="1"/>
  <c r="P417" i="52" s="1"/>
  <c r="R137" i="7" l="1"/>
  <c r="R136" i="7"/>
  <c r="R135" i="7"/>
  <c r="R134" i="7"/>
  <c r="R133" i="7"/>
  <c r="R132" i="7"/>
  <c r="R131" i="7"/>
  <c r="R130" i="7"/>
  <c r="R129" i="7"/>
  <c r="R128" i="7"/>
  <c r="R127" i="7"/>
  <c r="R126" i="7"/>
  <c r="N306" i="7" l="1"/>
  <c r="G305" i="7"/>
  <c r="I302" i="7"/>
  <c r="I303" i="7"/>
  <c r="E306" i="7"/>
  <c r="G304" i="7"/>
  <c r="G415" i="52" l="1"/>
  <c r="P415" i="52" s="1"/>
  <c r="J227" i="52"/>
  <c r="M227" i="52"/>
  <c r="G416" i="52"/>
  <c r="P416" i="52" s="1"/>
  <c r="K227" i="52"/>
  <c r="M229" i="52"/>
  <c r="I306" i="7"/>
  <c r="J306" i="7"/>
  <c r="I305" i="7"/>
  <c r="P304" i="7"/>
  <c r="Q303" i="7"/>
  <c r="Q302" i="7"/>
  <c r="O304" i="7"/>
  <c r="N304" i="7"/>
  <c r="E22" i="31"/>
  <c r="J229" i="52" l="1"/>
  <c r="Q304" i="7"/>
  <c r="Q305" i="7"/>
  <c r="P16" i="31" a="1"/>
  <c r="P16" i="31" s="1"/>
  <c r="O16" i="31" s="1"/>
  <c r="N166" i="28"/>
  <c r="N167" i="28" s="1"/>
  <c r="N168" i="28"/>
  <c r="N209" i="28"/>
  <c r="J313" i="28" l="1"/>
  <c r="I313" i="28"/>
  <c r="J312" i="28"/>
  <c r="I312" i="28"/>
  <c r="H312" i="28"/>
  <c r="H314" i="28" s="1"/>
  <c r="G312" i="28"/>
  <c r="G314" i="28" s="1"/>
  <c r="P13" i="31" a="1"/>
  <c r="P13" i="31" s="1"/>
  <c r="O13" i="31" s="1"/>
  <c r="P14" i="31" a="1"/>
  <c r="P14" i="31" s="1"/>
  <c r="O14" i="31" s="1"/>
  <c r="Q13" i="30" a="1"/>
  <c r="Q13" i="30" s="1"/>
  <c r="P13" i="30" s="1"/>
  <c r="I25" i="31"/>
  <c r="D25" i="31"/>
  <c r="F25" i="31" s="1"/>
  <c r="I24" i="31"/>
  <c r="D24" i="31"/>
  <c r="F24" i="31" s="1"/>
  <c r="R23" i="31"/>
  <c r="I23" i="31" s="1"/>
  <c r="D23" i="31"/>
  <c r="F23" i="31" s="1"/>
  <c r="R22" i="31"/>
  <c r="I22" i="31" s="1"/>
  <c r="D22" i="31"/>
  <c r="F22" i="31" s="1"/>
  <c r="R21" i="31"/>
  <c r="I21" i="31" s="1"/>
  <c r="D21" i="31"/>
  <c r="F21" i="31" s="1"/>
  <c r="D20" i="31"/>
  <c r="F20" i="31" s="1"/>
  <c r="D9" i="31"/>
  <c r="D8" i="31"/>
  <c r="D7" i="31"/>
  <c r="D6" i="31"/>
  <c r="I23" i="30"/>
  <c r="D23" i="30"/>
  <c r="F23" i="30" s="1"/>
  <c r="I22" i="30"/>
  <c r="D22" i="30"/>
  <c r="F22" i="30" s="1"/>
  <c r="S21" i="30"/>
  <c r="I21" i="30" s="1"/>
  <c r="D21" i="30"/>
  <c r="F21" i="30" s="1"/>
  <c r="S20" i="30"/>
  <c r="I20" i="30" s="1"/>
  <c r="D20" i="30"/>
  <c r="F20" i="30" s="1"/>
  <c r="S19" i="30"/>
  <c r="I19" i="30" s="1"/>
  <c r="D19" i="30"/>
  <c r="F19" i="30" s="1"/>
  <c r="D18" i="30"/>
  <c r="F18" i="30" s="1"/>
  <c r="Q14" i="30" a="1"/>
  <c r="Q14" i="30" s="1"/>
  <c r="P14" i="30" s="1"/>
  <c r="D9" i="30"/>
  <c r="D8" i="30"/>
  <c r="D7" i="30"/>
  <c r="D6" i="30"/>
  <c r="I314" i="28" l="1"/>
  <c r="P15" i="31" a="1"/>
  <c r="P15" i="31" s="1"/>
  <c r="O15" i="31" s="1"/>
  <c r="T21" i="30"/>
  <c r="J314" i="28"/>
  <c r="S21" i="31"/>
  <c r="F26" i="31"/>
  <c r="F27" i="31" s="1"/>
  <c r="S24" i="31"/>
  <c r="S23" i="31"/>
  <c r="S25" i="31"/>
  <c r="S22" i="31"/>
  <c r="T23" i="30"/>
  <c r="T20" i="30"/>
  <c r="T22" i="30"/>
  <c r="F24" i="30"/>
  <c r="T19" i="30"/>
  <c r="W168" i="7"/>
  <c r="W167" i="7"/>
  <c r="W166" i="7"/>
  <c r="W163" i="7"/>
  <c r="W161" i="7"/>
  <c r="W160" i="7"/>
  <c r="W159" i="7"/>
  <c r="W158" i="7"/>
  <c r="AA69" i="7"/>
  <c r="X69" i="7"/>
  <c r="W69" i="7"/>
  <c r="AA68" i="7"/>
  <c r="X68" i="7"/>
  <c r="W68" i="7"/>
  <c r="AA67" i="7"/>
  <c r="X67" i="7"/>
  <c r="W67" i="7"/>
  <c r="AA66" i="7"/>
  <c r="X66" i="7"/>
  <c r="W66" i="7"/>
  <c r="AA65" i="7"/>
  <c r="X65" i="7"/>
  <c r="W65" i="7"/>
  <c r="AA64" i="7"/>
  <c r="X64" i="7"/>
  <c r="W64" i="7"/>
  <c r="AA63" i="7"/>
  <c r="X63" i="7"/>
  <c r="W63" i="7"/>
  <c r="AA62" i="7"/>
  <c r="X62" i="7"/>
  <c r="W62" i="7"/>
  <c r="AA61" i="7"/>
  <c r="X61" i="7"/>
  <c r="W61" i="7"/>
  <c r="AA60" i="7"/>
  <c r="X60" i="7"/>
  <c r="W60" i="7"/>
  <c r="AA59" i="7"/>
  <c r="X59" i="7"/>
  <c r="W59" i="7"/>
  <c r="AA58" i="7"/>
  <c r="X58" i="7"/>
  <c r="W58" i="7"/>
  <c r="T31" i="31" l="1"/>
  <c r="U31" i="31"/>
  <c r="R31" i="31"/>
  <c r="S31" i="31"/>
  <c r="S26" i="31"/>
  <c r="I28" i="31" s="1"/>
  <c r="T24" i="30"/>
  <c r="I26" i="30" s="1"/>
  <c r="F25" i="30"/>
  <c r="G172" i="28"/>
  <c r="R289" i="28"/>
  <c r="Q289" i="28"/>
  <c r="P289" i="28"/>
  <c r="O289" i="28"/>
  <c r="N289" i="28"/>
  <c r="M289" i="28"/>
  <c r="L289" i="28"/>
  <c r="K289" i="28"/>
  <c r="J289" i="28"/>
  <c r="I289" i="28"/>
  <c r="H289" i="28"/>
  <c r="G289" i="28"/>
  <c r="R279" i="28"/>
  <c r="Q279" i="28"/>
  <c r="P279" i="28"/>
  <c r="O279" i="28"/>
  <c r="N279" i="28"/>
  <c r="M279" i="28"/>
  <c r="L279" i="28"/>
  <c r="K279" i="28"/>
  <c r="J279" i="28"/>
  <c r="I279" i="28"/>
  <c r="H279" i="28"/>
  <c r="G279" i="28"/>
  <c r="C195" i="28"/>
  <c r="C194" i="28"/>
  <c r="C193" i="28"/>
  <c r="C192" i="28"/>
  <c r="C191" i="28"/>
  <c r="C190" i="28"/>
  <c r="C202" i="28"/>
  <c r="C201" i="28"/>
  <c r="C200" i="28"/>
  <c r="C199" i="28"/>
  <c r="C198" i="28"/>
  <c r="C197" i="28"/>
  <c r="C216" i="28"/>
  <c r="C215" i="28"/>
  <c r="C214" i="28"/>
  <c r="C213" i="28"/>
  <c r="C212" i="28"/>
  <c r="C211" i="28"/>
  <c r="C272" i="28"/>
  <c r="C271" i="28"/>
  <c r="C270" i="28"/>
  <c r="C269" i="28"/>
  <c r="C268" i="28"/>
  <c r="C267" i="28"/>
  <c r="C265" i="28"/>
  <c r="C264" i="28"/>
  <c r="C263" i="28"/>
  <c r="C262" i="28"/>
  <c r="C261" i="28"/>
  <c r="C260" i="28"/>
  <c r="C258" i="28"/>
  <c r="C257" i="28"/>
  <c r="C256" i="28"/>
  <c r="C255" i="28"/>
  <c r="C254" i="28"/>
  <c r="C253" i="28"/>
  <c r="C251" i="28"/>
  <c r="C250" i="28"/>
  <c r="C249" i="28"/>
  <c r="C248" i="28"/>
  <c r="C247" i="28"/>
  <c r="C246" i="28"/>
  <c r="C244" i="28"/>
  <c r="C243" i="28"/>
  <c r="C242" i="28"/>
  <c r="C241" i="28"/>
  <c r="C240" i="28"/>
  <c r="C239" i="28"/>
  <c r="C237" i="28"/>
  <c r="C236" i="28"/>
  <c r="C235" i="28"/>
  <c r="C234" i="28"/>
  <c r="C233" i="28"/>
  <c r="C232" i="28"/>
  <c r="C230" i="28"/>
  <c r="C229" i="28"/>
  <c r="C228" i="28"/>
  <c r="C227" i="28"/>
  <c r="C226" i="28"/>
  <c r="C225" i="28"/>
  <c r="C223" i="28"/>
  <c r="C222" i="28"/>
  <c r="C221" i="28"/>
  <c r="C220" i="28"/>
  <c r="C219" i="28"/>
  <c r="C218" i="28"/>
  <c r="H209" i="28"/>
  <c r="I209" i="28"/>
  <c r="J209" i="28"/>
  <c r="K209" i="28"/>
  <c r="L209" i="28"/>
  <c r="M209" i="28"/>
  <c r="O209" i="28"/>
  <c r="P209" i="28"/>
  <c r="Q209" i="28"/>
  <c r="R209" i="28"/>
  <c r="G209" i="28"/>
  <c r="CN168" i="28"/>
  <c r="CM168" i="28"/>
  <c r="CL168" i="28"/>
  <c r="CK168" i="28"/>
  <c r="CJ168" i="28"/>
  <c r="CI168" i="28"/>
  <c r="CH168" i="28"/>
  <c r="CG168" i="28"/>
  <c r="CF168" i="28"/>
  <c r="CE168" i="28"/>
  <c r="CD168" i="28"/>
  <c r="CC168" i="28"/>
  <c r="CB168" i="28"/>
  <c r="CA168" i="28"/>
  <c r="BZ168" i="28"/>
  <c r="BY168" i="28"/>
  <c r="BX168" i="28"/>
  <c r="BW168" i="28"/>
  <c r="BV168" i="28"/>
  <c r="BU168" i="28"/>
  <c r="BT168" i="28"/>
  <c r="BS168" i="28"/>
  <c r="BR168" i="28"/>
  <c r="BQ168" i="28"/>
  <c r="BP168" i="28"/>
  <c r="BO168" i="28"/>
  <c r="BN168" i="28"/>
  <c r="BM168" i="28"/>
  <c r="BL168" i="28"/>
  <c r="BK168" i="28"/>
  <c r="BJ168" i="28"/>
  <c r="BI168" i="28"/>
  <c r="BH168" i="28"/>
  <c r="BG168" i="28"/>
  <c r="BF168" i="28"/>
  <c r="BE168" i="28"/>
  <c r="BD168" i="28"/>
  <c r="BC168" i="28"/>
  <c r="BB168" i="28"/>
  <c r="BA168" i="28"/>
  <c r="AZ168" i="28"/>
  <c r="AY168" i="28"/>
  <c r="AX168" i="28"/>
  <c r="AW168" i="28"/>
  <c r="AV168" i="28"/>
  <c r="AU168" i="28"/>
  <c r="AT168" i="28"/>
  <c r="AS168" i="28"/>
  <c r="AR168" i="28"/>
  <c r="AQ168" i="28"/>
  <c r="AP168" i="28"/>
  <c r="AO168" i="28"/>
  <c r="AN168" i="28"/>
  <c r="AM168" i="28"/>
  <c r="AL168" i="28"/>
  <c r="AK168" i="28"/>
  <c r="AJ168" i="28"/>
  <c r="AI168" i="28"/>
  <c r="AH168" i="28"/>
  <c r="AG168" i="28"/>
  <c r="AF168" i="28"/>
  <c r="AE168" i="28"/>
  <c r="AD168" i="28"/>
  <c r="AC168" i="28"/>
  <c r="AB168" i="28"/>
  <c r="AA168" i="28"/>
  <c r="Z168" i="28"/>
  <c r="Y168" i="28"/>
  <c r="X168" i="28"/>
  <c r="W168" i="28"/>
  <c r="V168" i="28"/>
  <c r="U168" i="28"/>
  <c r="T168" i="28"/>
  <c r="S168" i="28"/>
  <c r="R168" i="28"/>
  <c r="Q168" i="28"/>
  <c r="P168" i="28"/>
  <c r="O168" i="28"/>
  <c r="M168" i="28"/>
  <c r="L168" i="28"/>
  <c r="K168" i="28"/>
  <c r="J168" i="28"/>
  <c r="I168" i="28"/>
  <c r="H168" i="28"/>
  <c r="G168" i="28"/>
  <c r="CN166" i="28"/>
  <c r="CN167" i="28" s="1"/>
  <c r="CM166" i="28"/>
  <c r="CM167" i="28" s="1"/>
  <c r="CL166" i="28"/>
  <c r="CL167" i="28" s="1"/>
  <c r="CK166" i="28"/>
  <c r="CK167" i="28" s="1"/>
  <c r="CJ166" i="28"/>
  <c r="CJ167" i="28" s="1"/>
  <c r="CI166" i="28"/>
  <c r="CI167" i="28" s="1"/>
  <c r="CH166" i="28"/>
  <c r="CH167" i="28" s="1"/>
  <c r="CG166" i="28"/>
  <c r="CG167" i="28" s="1"/>
  <c r="CF166" i="28"/>
  <c r="CF167" i="28" s="1"/>
  <c r="CE166" i="28"/>
  <c r="CE167" i="28" s="1"/>
  <c r="CD166" i="28"/>
  <c r="CD167" i="28" s="1"/>
  <c r="CC166" i="28"/>
  <c r="CC167" i="28" s="1"/>
  <c r="CB166" i="28"/>
  <c r="CB167" i="28" s="1"/>
  <c r="CA166" i="28"/>
  <c r="CA167" i="28" s="1"/>
  <c r="BZ166" i="28"/>
  <c r="BZ167" i="28" s="1"/>
  <c r="BY166" i="28"/>
  <c r="BY167" i="28" s="1"/>
  <c r="BX166" i="28"/>
  <c r="BX167" i="28" s="1"/>
  <c r="BW166" i="28"/>
  <c r="BW167" i="28" s="1"/>
  <c r="BV166" i="28"/>
  <c r="BV167" i="28" s="1"/>
  <c r="BU166" i="28"/>
  <c r="BU167" i="28" s="1"/>
  <c r="BT166" i="28"/>
  <c r="BT167" i="28" s="1"/>
  <c r="BS166" i="28"/>
  <c r="BS167" i="28" s="1"/>
  <c r="BR166" i="28"/>
  <c r="BR167" i="28" s="1"/>
  <c r="BQ166" i="28"/>
  <c r="BQ167" i="28" s="1"/>
  <c r="BP166" i="28"/>
  <c r="BP167" i="28" s="1"/>
  <c r="BO166" i="28"/>
  <c r="BO167" i="28" s="1"/>
  <c r="BN166" i="28"/>
  <c r="BN167" i="28" s="1"/>
  <c r="BM166" i="28"/>
  <c r="BM167" i="28" s="1"/>
  <c r="BL166" i="28"/>
  <c r="BL167" i="28" s="1"/>
  <c r="BK166" i="28"/>
  <c r="BK167" i="28" s="1"/>
  <c r="BJ166" i="28"/>
  <c r="BJ167" i="28" s="1"/>
  <c r="BI166" i="28"/>
  <c r="BI167" i="28" s="1"/>
  <c r="BH166" i="28"/>
  <c r="BH167" i="28" s="1"/>
  <c r="BG166" i="28"/>
  <c r="BG167" i="28" s="1"/>
  <c r="BF166" i="28"/>
  <c r="BF167" i="28" s="1"/>
  <c r="BE166" i="28"/>
  <c r="BE167" i="28" s="1"/>
  <c r="BD166" i="28"/>
  <c r="BD167" i="28" s="1"/>
  <c r="BC166" i="28"/>
  <c r="BC167" i="28" s="1"/>
  <c r="BB166" i="28"/>
  <c r="BB167" i="28" s="1"/>
  <c r="BA166" i="28"/>
  <c r="BA167" i="28" s="1"/>
  <c r="AZ166" i="28"/>
  <c r="AZ167" i="28" s="1"/>
  <c r="AY166" i="28"/>
  <c r="AY167" i="28" s="1"/>
  <c r="AX166" i="28"/>
  <c r="AX167" i="28" s="1"/>
  <c r="AW166" i="28"/>
  <c r="AW167" i="28" s="1"/>
  <c r="AV166" i="28"/>
  <c r="AV167" i="28" s="1"/>
  <c r="AU166" i="28"/>
  <c r="AU167" i="28" s="1"/>
  <c r="AT166" i="28"/>
  <c r="AT167" i="28" s="1"/>
  <c r="AS166" i="28"/>
  <c r="AS167" i="28" s="1"/>
  <c r="AR166" i="28"/>
  <c r="AR167" i="28" s="1"/>
  <c r="AQ166" i="28"/>
  <c r="AQ167" i="28" s="1"/>
  <c r="AP166" i="28"/>
  <c r="AP167" i="28" s="1"/>
  <c r="AO166" i="28"/>
  <c r="AO167" i="28" s="1"/>
  <c r="AN166" i="28"/>
  <c r="AN167" i="28" s="1"/>
  <c r="AM166" i="28"/>
  <c r="AM167" i="28" s="1"/>
  <c r="AL166" i="28"/>
  <c r="AL167" i="28" s="1"/>
  <c r="AK166" i="28"/>
  <c r="AK167" i="28" s="1"/>
  <c r="AJ166" i="28"/>
  <c r="AJ167" i="28" s="1"/>
  <c r="AI166" i="28"/>
  <c r="AI167" i="28" s="1"/>
  <c r="AH166" i="28"/>
  <c r="AH167" i="28" s="1"/>
  <c r="AG166" i="28"/>
  <c r="AG167" i="28" s="1"/>
  <c r="AF166" i="28"/>
  <c r="AF167" i="28" s="1"/>
  <c r="AE166" i="28"/>
  <c r="AE167" i="28" s="1"/>
  <c r="AD166" i="28"/>
  <c r="AD167" i="28" s="1"/>
  <c r="AC166" i="28"/>
  <c r="AC167" i="28" s="1"/>
  <c r="AB166" i="28"/>
  <c r="AB167" i="28" s="1"/>
  <c r="AA166" i="28"/>
  <c r="AA167" i="28" s="1"/>
  <c r="Z166" i="28"/>
  <c r="Z167" i="28" s="1"/>
  <c r="Y166" i="28"/>
  <c r="Y167" i="28" s="1"/>
  <c r="X166" i="28"/>
  <c r="X167" i="28" s="1"/>
  <c r="W166" i="28"/>
  <c r="W167" i="28" s="1"/>
  <c r="V166" i="28"/>
  <c r="V167" i="28" s="1"/>
  <c r="U166" i="28"/>
  <c r="U167" i="28" s="1"/>
  <c r="T166" i="28"/>
  <c r="T167" i="28" s="1"/>
  <c r="S166" i="28"/>
  <c r="S167" i="28" s="1"/>
  <c r="R166" i="28"/>
  <c r="R167" i="28" s="1"/>
  <c r="Q166" i="28"/>
  <c r="Q167" i="28" s="1"/>
  <c r="P166" i="28"/>
  <c r="P167" i="28" s="1"/>
  <c r="O166" i="28"/>
  <c r="O167" i="28" s="1"/>
  <c r="M166" i="28"/>
  <c r="M167" i="28" s="1"/>
  <c r="L166" i="28"/>
  <c r="L167" i="28" s="1"/>
  <c r="K166" i="28"/>
  <c r="K167" i="28" s="1"/>
  <c r="J166" i="28"/>
  <c r="J167" i="28" s="1"/>
  <c r="I166" i="28"/>
  <c r="I167" i="28" s="1"/>
  <c r="H166" i="28"/>
  <c r="H167" i="28" s="1"/>
  <c r="G166" i="28"/>
  <c r="G167" i="28" s="1"/>
  <c r="G154" i="28"/>
  <c r="H154" i="28" s="1"/>
  <c r="I154" i="28" s="1"/>
  <c r="J154" i="28" s="1"/>
  <c r="K154" i="28" s="1"/>
  <c r="L154" i="28" s="1"/>
  <c r="M154" i="28" s="1"/>
  <c r="N154" i="28" s="1"/>
  <c r="O154" i="28" s="1"/>
  <c r="P154" i="28" s="1"/>
  <c r="Q154" i="28" s="1"/>
  <c r="R154" i="28" s="1"/>
  <c r="S154" i="28" s="1"/>
  <c r="T154" i="28" s="1"/>
  <c r="U154" i="28" s="1"/>
  <c r="V154" i="28" s="1"/>
  <c r="W154" i="28" s="1"/>
  <c r="X154" i="28" s="1"/>
  <c r="Y154" i="28" s="1"/>
  <c r="Z154" i="28" s="1"/>
  <c r="AA154" i="28" s="1"/>
  <c r="AB154" i="28" s="1"/>
  <c r="AC154" i="28" s="1"/>
  <c r="AD154" i="28" s="1"/>
  <c r="AE154" i="28" s="1"/>
  <c r="AF154" i="28" s="1"/>
  <c r="AG154" i="28" s="1"/>
  <c r="AH154" i="28" s="1"/>
  <c r="AI154" i="28" s="1"/>
  <c r="AJ154" i="28" s="1"/>
  <c r="AK154" i="28" s="1"/>
  <c r="AL154" i="28" s="1"/>
  <c r="AM154" i="28" s="1"/>
  <c r="AN154" i="28" s="1"/>
  <c r="AO154" i="28" s="1"/>
  <c r="AP154" i="28" s="1"/>
  <c r="AQ154" i="28" s="1"/>
  <c r="AR154" i="28" s="1"/>
  <c r="AS154" i="28" s="1"/>
  <c r="AT154" i="28" s="1"/>
  <c r="AU154" i="28" s="1"/>
  <c r="AV154" i="28" s="1"/>
  <c r="AW154" i="28" s="1"/>
  <c r="AX154" i="28" s="1"/>
  <c r="AY154" i="28" s="1"/>
  <c r="AZ154" i="28" s="1"/>
  <c r="BA154" i="28" s="1"/>
  <c r="BB154" i="28" s="1"/>
  <c r="BC154" i="28" s="1"/>
  <c r="BD154" i="28" s="1"/>
  <c r="BE154" i="28" s="1"/>
  <c r="BF154" i="28" s="1"/>
  <c r="BG154" i="28" s="1"/>
  <c r="BH154" i="28" s="1"/>
  <c r="BI154" i="28" s="1"/>
  <c r="BJ154" i="28" s="1"/>
  <c r="BK154" i="28" s="1"/>
  <c r="BL154" i="28" s="1"/>
  <c r="BM154" i="28" s="1"/>
  <c r="BN154" i="28" s="1"/>
  <c r="BO154" i="28" s="1"/>
  <c r="BP154" i="28" s="1"/>
  <c r="BQ154" i="28" s="1"/>
  <c r="BR154" i="28" s="1"/>
  <c r="BS154" i="28" s="1"/>
  <c r="BT154" i="28" s="1"/>
  <c r="BU154" i="28" s="1"/>
  <c r="BV154" i="28" s="1"/>
  <c r="BW154" i="28" s="1"/>
  <c r="BX154" i="28" s="1"/>
  <c r="BY154" i="28" s="1"/>
  <c r="BZ154" i="28" s="1"/>
  <c r="CA154" i="28" s="1"/>
  <c r="CB154" i="28" s="1"/>
  <c r="CC154" i="28" s="1"/>
  <c r="CD154" i="28" s="1"/>
  <c r="CE154" i="28" s="1"/>
  <c r="CF154" i="28" s="1"/>
  <c r="CG154" i="28" s="1"/>
  <c r="CH154" i="28" s="1"/>
  <c r="CI154" i="28" s="1"/>
  <c r="CJ154" i="28" s="1"/>
  <c r="CK154" i="28" s="1"/>
  <c r="CL154" i="28" s="1"/>
  <c r="CM154" i="28" s="1"/>
  <c r="CN154" i="28" s="1"/>
  <c r="E31" i="31" l="1"/>
  <c r="E32" i="31"/>
  <c r="X29" i="30"/>
  <c r="W29" i="30"/>
  <c r="V29" i="30"/>
  <c r="S29" i="30"/>
  <c r="Z29" i="30"/>
  <c r="U29" i="30"/>
  <c r="T29" i="30"/>
  <c r="AA29" i="30"/>
  <c r="Y29" i="30"/>
  <c r="E30" i="30"/>
  <c r="E33" i="31" l="1"/>
  <c r="E29" i="30"/>
  <c r="E31" i="30" s="1"/>
  <c r="P44" i="9" l="1"/>
  <c r="N44" i="9"/>
  <c r="I44" i="9"/>
  <c r="G44" i="9"/>
  <c r="E44" i="9"/>
  <c r="AE104" i="7" l="1"/>
  <c r="AE103" i="7"/>
  <c r="AE102" i="7"/>
  <c r="AE101" i="7"/>
  <c r="AE100" i="7"/>
  <c r="AE99" i="7"/>
  <c r="AE98" i="7"/>
  <c r="AE97" i="7"/>
  <c r="AE169" i="7"/>
  <c r="AE168" i="7"/>
  <c r="AE167" i="7"/>
  <c r="AE166" i="7"/>
  <c r="AE165" i="7"/>
  <c r="AE164" i="7"/>
  <c r="AE163" i="7"/>
  <c r="AE162" i="7"/>
  <c r="AE161" i="7"/>
  <c r="AE160" i="7"/>
  <c r="AE159" i="7"/>
  <c r="AE69" i="7"/>
  <c r="AE68" i="7"/>
  <c r="AE67" i="7"/>
  <c r="AE66" i="7"/>
  <c r="AE65" i="7"/>
  <c r="AE64" i="7"/>
  <c r="AE63" i="7"/>
  <c r="AE62" i="7"/>
  <c r="AE61" i="7"/>
  <c r="AE60" i="7"/>
  <c r="AE59" i="7"/>
  <c r="Z103" i="7"/>
  <c r="W103" i="7"/>
  <c r="Z102" i="7"/>
  <c r="W102" i="7"/>
  <c r="Z101" i="7"/>
  <c r="W101" i="7"/>
  <c r="Z98" i="7"/>
  <c r="W98" i="7"/>
  <c r="W54" i="7"/>
  <c r="X54" i="7" s="1"/>
  <c r="N122" i="7"/>
  <c r="O122" i="7" s="1"/>
  <c r="E122" i="7"/>
  <c r="F122" i="7" s="1"/>
  <c r="N54" i="7"/>
  <c r="O54" i="7" s="1"/>
  <c r="E54" i="7"/>
  <c r="B4" i="28"/>
  <c r="C97" i="28"/>
  <c r="F97" i="28" s="1"/>
  <c r="F96" i="28"/>
  <c r="C95" i="28"/>
  <c r="F95" i="28" s="1"/>
  <c r="F94" i="28"/>
  <c r="F81" i="28"/>
  <c r="C80" i="28"/>
  <c r="F80" i="28" s="1"/>
  <c r="K34" i="38" s="1"/>
  <c r="F79" i="28"/>
  <c r="C78" i="28"/>
  <c r="F78" i="28" s="1"/>
  <c r="F77" i="28"/>
  <c r="C74" i="28"/>
  <c r="F74" i="28" s="1"/>
  <c r="H25" i="38" s="1"/>
  <c r="H23" i="38" s="1"/>
  <c r="F73" i="28"/>
  <c r="C70" i="28"/>
  <c r="F70" i="28" s="1"/>
  <c r="F69" i="28"/>
  <c r="E57" i="28"/>
  <c r="F57" i="28" s="1"/>
  <c r="E48" i="28"/>
  <c r="F48" i="28" s="1"/>
  <c r="E40" i="28"/>
  <c r="F40" i="28" s="1"/>
  <c r="E32" i="28"/>
  <c r="F32" i="28" s="1"/>
  <c r="E24" i="28"/>
  <c r="F24" i="28" s="1"/>
  <c r="E14" i="28"/>
  <c r="F14" i="28" s="1"/>
  <c r="E4" i="28"/>
  <c r="F4" i="28" s="1"/>
  <c r="D39" i="27"/>
  <c r="F34" i="27"/>
  <c r="E34" i="27"/>
  <c r="F33" i="27"/>
  <c r="E33" i="27"/>
  <c r="F32" i="27"/>
  <c r="F31" i="27"/>
  <c r="E31" i="27"/>
  <c r="F30" i="27"/>
  <c r="E30" i="27"/>
  <c r="F29" i="27"/>
  <c r="F28" i="27"/>
  <c r="E28" i="27"/>
  <c r="F27" i="27"/>
  <c r="E27" i="27"/>
  <c r="F26" i="27"/>
  <c r="E26" i="27"/>
  <c r="F25" i="27"/>
  <c r="F23" i="27"/>
  <c r="E23" i="27"/>
  <c r="F22" i="27"/>
  <c r="E22" i="27"/>
  <c r="F21" i="27"/>
  <c r="F20" i="27"/>
  <c r="E20" i="27"/>
  <c r="F19" i="27"/>
  <c r="E19" i="27"/>
  <c r="F18" i="27"/>
  <c r="F17" i="27"/>
  <c r="F24" i="27" s="1"/>
  <c r="F54" i="7" l="1"/>
  <c r="G54" i="7" s="1"/>
  <c r="Y54" i="7"/>
  <c r="Z54" i="7" s="1"/>
  <c r="AA54" i="7" s="1"/>
  <c r="AB54" i="7" s="1"/>
  <c r="P122" i="7"/>
  <c r="Q122" i="7" s="1"/>
  <c r="R122" i="7" s="1"/>
  <c r="S122" i="7" s="1"/>
  <c r="P54" i="7"/>
  <c r="Q54" i="7" s="1"/>
  <c r="R54" i="7" s="1"/>
  <c r="S54" i="7" s="1"/>
  <c r="G122" i="7"/>
  <c r="H122" i="7" s="1"/>
  <c r="I122" i="7" s="1"/>
  <c r="J122" i="7" s="1"/>
  <c r="H29" i="38"/>
  <c r="H19" i="38"/>
  <c r="AF98" i="7"/>
  <c r="AG98" i="7"/>
  <c r="AF102" i="7"/>
  <c r="AG102" i="7"/>
  <c r="AF103" i="7"/>
  <c r="AG103" i="7"/>
  <c r="AG97" i="7"/>
  <c r="AF97" i="7"/>
  <c r="AG101" i="7"/>
  <c r="AF101" i="7"/>
  <c r="G23" i="27"/>
  <c r="H23" i="27" s="1"/>
  <c r="B14" i="28"/>
  <c r="B24" i="28" s="1"/>
  <c r="G33" i="27"/>
  <c r="H33" i="27" s="1"/>
  <c r="G30" i="27"/>
  <c r="H30" i="27" s="1"/>
  <c r="G34" i="27"/>
  <c r="H34" i="27" s="1"/>
  <c r="G28" i="27"/>
  <c r="H28" i="27" s="1"/>
  <c r="G20" i="27"/>
  <c r="H20" i="27" s="1"/>
  <c r="G19" i="27"/>
  <c r="H19" i="27" s="1"/>
  <c r="G31" i="27"/>
  <c r="H31" i="27" s="1"/>
  <c r="G22" i="27"/>
  <c r="H22" i="27" s="1"/>
  <c r="G26" i="27"/>
  <c r="H26" i="27" s="1"/>
  <c r="G27" i="27"/>
  <c r="H27" i="27" s="1"/>
  <c r="H54" i="7" l="1"/>
  <c r="I54" i="7" s="1"/>
  <c r="J54" i="7" s="1"/>
  <c r="AH101" i="7"/>
  <c r="AI101" i="7"/>
  <c r="AI103" i="7"/>
  <c r="AH103" i="7"/>
  <c r="AI98" i="7"/>
  <c r="AH98" i="7"/>
  <c r="AH97" i="7"/>
  <c r="AI97" i="7"/>
  <c r="AI102" i="7"/>
  <c r="AH102" i="7"/>
  <c r="H21" i="27"/>
  <c r="H32" i="27"/>
  <c r="B32" i="28"/>
  <c r="B40" i="28" s="1"/>
  <c r="H29" i="27"/>
  <c r="H18" i="27"/>
  <c r="H25" i="27"/>
  <c r="AK102" i="7" l="1"/>
  <c r="AK98" i="7"/>
  <c r="AK103" i="7"/>
  <c r="AK97" i="7"/>
  <c r="AK101" i="7"/>
  <c r="H17" i="27"/>
  <c r="B48" i="28"/>
  <c r="B57" i="28" s="1"/>
  <c r="B65" i="28" s="1"/>
  <c r="H24" i="27"/>
  <c r="H78" i="7"/>
  <c r="Q104" i="7"/>
  <c r="O104" i="7"/>
  <c r="N104" i="7"/>
  <c r="Q100" i="7"/>
  <c r="O100" i="7"/>
  <c r="N100" i="7"/>
  <c r="Q99" i="7"/>
  <c r="O99" i="7"/>
  <c r="N99" i="7"/>
  <c r="E104" i="7"/>
  <c r="E100" i="7"/>
  <c r="E99" i="7"/>
  <c r="F41" i="7"/>
  <c r="F20" i="7" s="1"/>
  <c r="H41" i="7"/>
  <c r="E41" i="7"/>
  <c r="H40" i="7"/>
  <c r="F40" i="7"/>
  <c r="E40" i="7"/>
  <c r="E14" i="7"/>
  <c r="F14" i="7" s="1"/>
  <c r="G14" i="7" s="1"/>
  <c r="R153" i="7"/>
  <c r="Q153" i="7"/>
  <c r="R149" i="7"/>
  <c r="Q149" i="7"/>
  <c r="R148" i="7"/>
  <c r="Q148" i="7"/>
  <c r="O153" i="7"/>
  <c r="N153" i="7"/>
  <c r="O152" i="7"/>
  <c r="N152" i="7"/>
  <c r="O151" i="7"/>
  <c r="N151" i="7"/>
  <c r="O150" i="7"/>
  <c r="N150" i="7"/>
  <c r="O149" i="7"/>
  <c r="N149" i="7"/>
  <c r="O148" i="7"/>
  <c r="N148" i="7"/>
  <c r="O147" i="7"/>
  <c r="N147" i="7"/>
  <c r="O146" i="7"/>
  <c r="N146" i="7"/>
  <c r="O145" i="7"/>
  <c r="N145" i="7"/>
  <c r="O144" i="7"/>
  <c r="N144" i="7"/>
  <c r="O143" i="7"/>
  <c r="N143" i="7"/>
  <c r="O142" i="7"/>
  <c r="N142" i="7"/>
  <c r="O137" i="7"/>
  <c r="N137" i="7"/>
  <c r="O136" i="7"/>
  <c r="N136" i="7"/>
  <c r="O135" i="7"/>
  <c r="N135" i="7"/>
  <c r="O134" i="7"/>
  <c r="N134" i="7"/>
  <c r="O133" i="7"/>
  <c r="N133" i="7"/>
  <c r="O132" i="7"/>
  <c r="N132" i="7"/>
  <c r="O131" i="7"/>
  <c r="N131" i="7"/>
  <c r="O130" i="7"/>
  <c r="N130" i="7"/>
  <c r="O129" i="7"/>
  <c r="N129" i="7"/>
  <c r="O128" i="7"/>
  <c r="N128" i="7"/>
  <c r="O127" i="7"/>
  <c r="N127" i="7"/>
  <c r="O126" i="7"/>
  <c r="N126" i="7"/>
  <c r="F153" i="7"/>
  <c r="E153" i="7"/>
  <c r="F149" i="7"/>
  <c r="E149" i="7"/>
  <c r="F148" i="7"/>
  <c r="E148" i="7"/>
  <c r="I162" i="7"/>
  <c r="F146" i="7"/>
  <c r="E146" i="7"/>
  <c r="H137" i="7"/>
  <c r="F137" i="7"/>
  <c r="E137" i="7"/>
  <c r="H133" i="7"/>
  <c r="F133" i="7"/>
  <c r="E133" i="7"/>
  <c r="H132" i="7"/>
  <c r="F132" i="7"/>
  <c r="E132" i="7"/>
  <c r="Q152" i="7"/>
  <c r="Q150" i="7"/>
  <c r="Q147" i="7"/>
  <c r="Q146" i="7" s="1"/>
  <c r="Q145" i="7"/>
  <c r="Q143" i="7"/>
  <c r="Q142" i="7"/>
  <c r="I168" i="7"/>
  <c r="I167" i="7"/>
  <c r="I166" i="7"/>
  <c r="I163" i="7"/>
  <c r="I161" i="7"/>
  <c r="I160" i="7"/>
  <c r="AB134" i="7" s="1"/>
  <c r="I159" i="7"/>
  <c r="I158" i="7"/>
  <c r="F145" i="7"/>
  <c r="X134" i="7" l="1" a="1"/>
  <c r="X134" i="7" s="1"/>
  <c r="E20" i="7"/>
  <c r="AH34" i="52"/>
  <c r="AH33" i="52"/>
  <c r="AF99" i="7"/>
  <c r="AF100" i="7"/>
  <c r="AF104" i="7"/>
  <c r="Y161" i="7"/>
  <c r="G145" i="7"/>
  <c r="B99" i="28"/>
  <c r="B133" i="28" s="1"/>
  <c r="B153" i="28" s="1"/>
  <c r="B171" i="28" s="1"/>
  <c r="F164" i="7"/>
  <c r="W99" i="7"/>
  <c r="H35" i="27"/>
  <c r="D40" i="27" s="1"/>
  <c r="D41" i="27" s="1"/>
  <c r="I164" i="7"/>
  <c r="H164" i="7"/>
  <c r="R99" i="7"/>
  <c r="AG99" i="7"/>
  <c r="Z99" i="7"/>
  <c r="I169" i="7"/>
  <c r="H169" i="7"/>
  <c r="R104" i="7"/>
  <c r="AG104" i="7"/>
  <c r="I165" i="7"/>
  <c r="H165" i="7"/>
  <c r="R100" i="7"/>
  <c r="AG100" i="7" s="1"/>
  <c r="E162" i="7"/>
  <c r="G162" i="7" s="1"/>
  <c r="Z100" i="7"/>
  <c r="W100" i="7"/>
  <c r="W104" i="7"/>
  <c r="Z104" i="7"/>
  <c r="E165" i="7"/>
  <c r="F165" i="7"/>
  <c r="R164" i="7"/>
  <c r="E169" i="7"/>
  <c r="G169" i="7" s="1"/>
  <c r="R165" i="7"/>
  <c r="F169" i="7"/>
  <c r="R169" i="7"/>
  <c r="E164" i="7"/>
  <c r="G164" i="7" s="1"/>
  <c r="AX35" i="129" l="1"/>
  <c r="AX33" i="128"/>
  <c r="AZ33" i="128" s="1" a="1"/>
  <c r="AZ33" i="128" s="1"/>
  <c r="AX33" i="127"/>
  <c r="AX33" i="129"/>
  <c r="AZ33" i="129" s="1" a="1"/>
  <c r="AZ33" i="129" s="1"/>
  <c r="AX34" i="128"/>
  <c r="AX35" i="127"/>
  <c r="AX34" i="129"/>
  <c r="AX35" i="128"/>
  <c r="AX34" i="127"/>
  <c r="AX35" i="52"/>
  <c r="AX34" i="52"/>
  <c r="AX33" i="52"/>
  <c r="G165" i="7"/>
  <c r="Y162" i="7"/>
  <c r="AA165" i="7"/>
  <c r="AA169" i="7"/>
  <c r="AI99" i="7"/>
  <c r="AH99" i="7"/>
  <c r="AI100" i="7"/>
  <c r="AH100" i="7"/>
  <c r="AI104" i="7"/>
  <c r="AH104" i="7"/>
  <c r="AA164" i="7"/>
  <c r="W162" i="7"/>
  <c r="B177" i="28"/>
  <c r="B206" i="28" s="1"/>
  <c r="B276" i="28" s="1"/>
  <c r="B286" i="28" s="1"/>
  <c r="B309" i="28" s="1"/>
  <c r="O169" i="7"/>
  <c r="O165" i="7"/>
  <c r="X165" i="7" s="1"/>
  <c r="N169" i="7"/>
  <c r="N164" i="7"/>
  <c r="O164" i="7"/>
  <c r="N165" i="7"/>
  <c r="F152" i="7"/>
  <c r="F151" i="7"/>
  <c r="F150" i="7"/>
  <c r="F147" i="7"/>
  <c r="F144" i="7"/>
  <c r="F143" i="7"/>
  <c r="F142" i="7"/>
  <c r="F158" i="7" s="1"/>
  <c r="E127" i="7"/>
  <c r="AZ33" i="127" l="1" a="1"/>
  <c r="AZ33" i="127" s="1"/>
  <c r="AK100" i="7"/>
  <c r="AZ33" i="52" a="1"/>
  <c r="AZ33" i="52" s="1"/>
  <c r="AK99" i="7"/>
  <c r="AK104" i="7"/>
  <c r="X169" i="7"/>
  <c r="X164" i="7"/>
  <c r="Y163" i="7"/>
  <c r="G147" i="7"/>
  <c r="Y160" i="7"/>
  <c r="G144" i="7"/>
  <c r="Y166" i="7"/>
  <c r="G150" i="7"/>
  <c r="Y167" i="7"/>
  <c r="G151" i="7"/>
  <c r="Y168" i="7"/>
  <c r="G152" i="7"/>
  <c r="W165" i="7"/>
  <c r="P165" i="7"/>
  <c r="W169" i="7"/>
  <c r="P169" i="7"/>
  <c r="F127" i="7"/>
  <c r="G127" i="7"/>
  <c r="W164" i="7"/>
  <c r="P164" i="7"/>
  <c r="F130" i="7"/>
  <c r="J130" i="7" s="1"/>
  <c r="H136" i="7"/>
  <c r="H168" i="7" s="1"/>
  <c r="F168" i="7"/>
  <c r="H131" i="7"/>
  <c r="H163" i="7" s="1"/>
  <c r="F163" i="7"/>
  <c r="H126" i="7"/>
  <c r="H158" i="7" s="1"/>
  <c r="X158" i="7"/>
  <c r="H134" i="7"/>
  <c r="H166" i="7" s="1"/>
  <c r="F166" i="7"/>
  <c r="H129" i="7"/>
  <c r="H161" i="7" s="1"/>
  <c r="F161" i="7"/>
  <c r="H160" i="7"/>
  <c r="AA134" i="7" s="1"/>
  <c r="F160" i="7"/>
  <c r="Z134" i="7" s="1"/>
  <c r="Z136" i="7" s="1"/>
  <c r="H135" i="7"/>
  <c r="H167" i="7" s="1"/>
  <c r="F167" i="7"/>
  <c r="J127" i="7" l="1"/>
  <c r="X161" i="7"/>
  <c r="X166" i="7"/>
  <c r="X163" i="7"/>
  <c r="X167" i="7"/>
  <c r="X168" i="7"/>
  <c r="X160" i="7"/>
  <c r="Y164" i="7"/>
  <c r="Y169" i="7"/>
  <c r="Y165" i="7"/>
  <c r="F162" i="7"/>
  <c r="J162" i="7"/>
  <c r="AB162" i="7" s="1"/>
  <c r="H130" i="7"/>
  <c r="H162" i="7" s="1"/>
  <c r="F159" i="7"/>
  <c r="H127" i="7"/>
  <c r="H159" i="7" s="1"/>
  <c r="X162" i="7" l="1"/>
  <c r="X159" i="7"/>
  <c r="F104" i="7"/>
  <c r="F103" i="7"/>
  <c r="G103" i="7" s="1"/>
  <c r="F102" i="7"/>
  <c r="G102" i="7" s="1"/>
  <c r="F101" i="7"/>
  <c r="G101" i="7" s="1"/>
  <c r="F100" i="7"/>
  <c r="F99" i="7"/>
  <c r="F98" i="7"/>
  <c r="G98" i="7" s="1"/>
  <c r="O103" i="7"/>
  <c r="P103" i="7" s="1"/>
  <c r="O102" i="7"/>
  <c r="P102" i="7" s="1"/>
  <c r="O101" i="7"/>
  <c r="P101" i="7" s="1"/>
  <c r="O98" i="7"/>
  <c r="O97" i="7" s="1"/>
  <c r="X97" i="7" s="1"/>
  <c r="AA104" i="7"/>
  <c r="AA100" i="7"/>
  <c r="AA99" i="7"/>
  <c r="G104" i="7" l="1"/>
  <c r="Y104" i="7" s="1"/>
  <c r="G100" i="7"/>
  <c r="Y100" i="7" s="1"/>
  <c r="G99" i="7"/>
  <c r="P98" i="7"/>
  <c r="Y101" i="7"/>
  <c r="Y102" i="7"/>
  <c r="Y103" i="7"/>
  <c r="X99" i="7"/>
  <c r="X104" i="7"/>
  <c r="X100" i="7"/>
  <c r="AA98" i="7"/>
  <c r="AA102" i="7"/>
  <c r="AA103" i="7"/>
  <c r="X98" i="7"/>
  <c r="X102" i="7"/>
  <c r="X103" i="7"/>
  <c r="AA101" i="7"/>
  <c r="X101" i="7"/>
  <c r="R151" i="7"/>
  <c r="R167" i="7" s="1"/>
  <c r="AA167" i="7" s="1"/>
  <c r="R160" i="7"/>
  <c r="R143" i="7"/>
  <c r="R159" i="7" s="1"/>
  <c r="AA159" i="7" s="1"/>
  <c r="R150" i="7"/>
  <c r="R166" i="7" s="1"/>
  <c r="AA166" i="7" s="1"/>
  <c r="R145" i="7"/>
  <c r="R161" i="7" s="1"/>
  <c r="AA161" i="7" s="1"/>
  <c r="R152" i="7"/>
  <c r="R168" i="7" s="1"/>
  <c r="AA168" i="7" s="1"/>
  <c r="R142" i="7"/>
  <c r="R158" i="7" s="1"/>
  <c r="AA158" i="7" s="1"/>
  <c r="R147" i="7"/>
  <c r="AA160" i="7" l="1"/>
  <c r="AB135" i="7"/>
  <c r="Y98" i="7"/>
  <c r="P97" i="7"/>
  <c r="Y97" i="7" s="1"/>
  <c r="Y99" i="7"/>
  <c r="R163" i="7"/>
  <c r="AA163" i="7" s="1"/>
  <c r="R146" i="7"/>
  <c r="R162" i="7" s="1"/>
  <c r="AA162" i="7" s="1"/>
  <c r="X135" i="7" l="1" a="1"/>
  <c r="X135" i="7" s="1"/>
  <c r="AB136" i="7"/>
  <c r="X136" i="7" s="1" a="1"/>
  <c r="X136" i="7" s="1"/>
  <c r="H43" i="7"/>
  <c r="E43" i="7"/>
  <c r="F43" i="7"/>
  <c r="F378" i="129" l="1"/>
  <c r="J356" i="129" s="1"/>
  <c r="F372" i="129"/>
  <c r="J350" i="129" s="1"/>
  <c r="V318" i="129"/>
  <c r="M333" i="129"/>
  <c r="N333" i="129" s="1"/>
  <c r="G400" i="129"/>
  <c r="T307" i="129"/>
  <c r="T315" i="129"/>
  <c r="M336" i="129"/>
  <c r="N336" i="129" s="1"/>
  <c r="Q53" i="129"/>
  <c r="V305" i="129"/>
  <c r="V316" i="129"/>
  <c r="Q49" i="129"/>
  <c r="F340" i="129"/>
  <c r="G340" i="129" s="1"/>
  <c r="G316" i="129"/>
  <c r="G353" i="129"/>
  <c r="F377" i="129"/>
  <c r="F353" i="129"/>
  <c r="N353" i="129" s="1"/>
  <c r="F312" i="129"/>
  <c r="F329" i="129"/>
  <c r="F352" i="129"/>
  <c r="G308" i="129"/>
  <c r="G380" i="129"/>
  <c r="G359" i="128"/>
  <c r="F350" i="128"/>
  <c r="N350" i="128" s="1"/>
  <c r="F339" i="128"/>
  <c r="G339" i="128" s="1"/>
  <c r="F329" i="128"/>
  <c r="G314" i="128"/>
  <c r="F351" i="128"/>
  <c r="G353" i="128"/>
  <c r="F309" i="128"/>
  <c r="F314" i="128"/>
  <c r="H314" i="128" s="1"/>
  <c r="G356" i="128"/>
  <c r="G358" i="128"/>
  <c r="F317" i="128"/>
  <c r="H397" i="128"/>
  <c r="G401" i="128"/>
  <c r="T313" i="128"/>
  <c r="H399" i="128"/>
  <c r="G392" i="128"/>
  <c r="T307" i="128"/>
  <c r="T310" i="128"/>
  <c r="Q46" i="128"/>
  <c r="V309" i="128"/>
  <c r="Q48" i="128"/>
  <c r="Q47" i="127"/>
  <c r="F373" i="127"/>
  <c r="F374" i="127"/>
  <c r="G376" i="127"/>
  <c r="AH260" i="127" s="1"/>
  <c r="F307" i="127"/>
  <c r="G318" i="127"/>
  <c r="F329" i="127"/>
  <c r="G354" i="127"/>
  <c r="F375" i="127"/>
  <c r="G360" i="127"/>
  <c r="G313" i="127"/>
  <c r="G383" i="127"/>
  <c r="F333" i="127"/>
  <c r="G333" i="127" s="1"/>
  <c r="T318" i="127"/>
  <c r="G398" i="127"/>
  <c r="H393" i="127"/>
  <c r="G392" i="127"/>
  <c r="H391" i="127"/>
  <c r="M339" i="127"/>
  <c r="N339" i="127" s="1"/>
  <c r="G391" i="127"/>
  <c r="V314" i="127"/>
  <c r="Q58" i="127"/>
  <c r="V312" i="129"/>
  <c r="G392" i="129"/>
  <c r="G305" i="129"/>
  <c r="V315" i="129"/>
  <c r="T317" i="129"/>
  <c r="W317" i="129" s="1"/>
  <c r="G396" i="129"/>
  <c r="J396" i="129" s="1"/>
  <c r="W396" i="129" s="1"/>
  <c r="X305" i="129"/>
  <c r="H402" i="129"/>
  <c r="M331" i="129"/>
  <c r="N331" i="129" s="1"/>
  <c r="V314" i="129"/>
  <c r="V317" i="129"/>
  <c r="T309" i="129"/>
  <c r="F334" i="129"/>
  <c r="G334" i="129" s="1"/>
  <c r="G313" i="129"/>
  <c r="F337" i="129"/>
  <c r="G337" i="129" s="1"/>
  <c r="G356" i="129"/>
  <c r="F330" i="129"/>
  <c r="G330" i="129" s="1"/>
  <c r="F339" i="129"/>
  <c r="G339" i="129" s="1"/>
  <c r="F380" i="129"/>
  <c r="F309" i="129"/>
  <c r="F338" i="129"/>
  <c r="G338" i="129" s="1"/>
  <c r="F305" i="129"/>
  <c r="F361" i="129"/>
  <c r="Q54" i="128"/>
  <c r="F354" i="128"/>
  <c r="G316" i="128"/>
  <c r="F316" i="128"/>
  <c r="G315" i="128"/>
  <c r="F382" i="128"/>
  <c r="F310" i="128"/>
  <c r="H310" i="128" s="1"/>
  <c r="G317" i="128"/>
  <c r="M305" i="128"/>
  <c r="G381" i="128"/>
  <c r="G350" i="128"/>
  <c r="F338" i="128"/>
  <c r="G338" i="128" s="1"/>
  <c r="H393" i="128"/>
  <c r="G397" i="128"/>
  <c r="J397" i="128" s="1"/>
  <c r="W397" i="128" s="1"/>
  <c r="H398" i="128"/>
  <c r="G398" i="128"/>
  <c r="M340" i="128"/>
  <c r="N340" i="128" s="1"/>
  <c r="M332" i="128"/>
  <c r="N332" i="128" s="1"/>
  <c r="T312" i="128"/>
  <c r="Q55" i="128"/>
  <c r="X305" i="128"/>
  <c r="Q55" i="127"/>
  <c r="F357" i="127"/>
  <c r="N357" i="127" s="1"/>
  <c r="F360" i="127"/>
  <c r="N360" i="127" s="1"/>
  <c r="F382" i="127"/>
  <c r="G315" i="127"/>
  <c r="M305" i="127"/>
  <c r="G351" i="127"/>
  <c r="F315" i="127"/>
  <c r="H315" i="127" s="1"/>
  <c r="F356" i="127"/>
  <c r="G380" i="127"/>
  <c r="F354" i="127"/>
  <c r="N354" i="127" s="1"/>
  <c r="F309" i="127"/>
  <c r="T315" i="127"/>
  <c r="G394" i="127"/>
  <c r="G401" i="127"/>
  <c r="M335" i="127"/>
  <c r="N335" i="127" s="1"/>
  <c r="M340" i="127"/>
  <c r="N340" i="127" s="1"/>
  <c r="V311" i="127"/>
  <c r="V316" i="127"/>
  <c r="M330" i="127"/>
  <c r="N330" i="127" s="1"/>
  <c r="Q54" i="127"/>
  <c r="V309" i="129"/>
  <c r="T311" i="129"/>
  <c r="M335" i="129"/>
  <c r="N335" i="129" s="1"/>
  <c r="G398" i="129"/>
  <c r="H394" i="129"/>
  <c r="M330" i="129"/>
  <c r="N330" i="129" s="1"/>
  <c r="M338" i="129"/>
  <c r="N338" i="129" s="1"/>
  <c r="Q58" i="129"/>
  <c r="Q46" i="129"/>
  <c r="Q44" i="129"/>
  <c r="F381" i="129"/>
  <c r="G307" i="129"/>
  <c r="F316" i="129"/>
  <c r="H316" i="129" s="1"/>
  <c r="G318" i="129"/>
  <c r="G383" i="129"/>
  <c r="G381" i="129"/>
  <c r="G374" i="129"/>
  <c r="AH258" i="129" s="1"/>
  <c r="F318" i="129"/>
  <c r="G378" i="129"/>
  <c r="H378" i="129" s="1"/>
  <c r="G354" i="129"/>
  <c r="F333" i="129"/>
  <c r="G333" i="129" s="1"/>
  <c r="F334" i="128"/>
  <c r="G334" i="128" s="1"/>
  <c r="G310" i="128"/>
  <c r="F336" i="128"/>
  <c r="G336" i="128" s="1"/>
  <c r="G372" i="128"/>
  <c r="F360" i="128"/>
  <c r="F331" i="128"/>
  <c r="G331" i="128" s="1"/>
  <c r="F376" i="128"/>
  <c r="G309" i="128"/>
  <c r="F315" i="128"/>
  <c r="H315" i="128" s="1"/>
  <c r="F313" i="128"/>
  <c r="F332" i="128"/>
  <c r="G332" i="128" s="1"/>
  <c r="M333" i="128"/>
  <c r="N333" i="128" s="1"/>
  <c r="H396" i="128"/>
  <c r="Z305" i="128"/>
  <c r="M338" i="128"/>
  <c r="N338" i="128" s="1"/>
  <c r="T315" i="128"/>
  <c r="W315" i="128" s="1"/>
  <c r="Q51" i="128"/>
  <c r="T309" i="128"/>
  <c r="W309" i="128" s="1"/>
  <c r="Q50" i="127"/>
  <c r="G352" i="127"/>
  <c r="G375" i="127"/>
  <c r="AH259" i="127" s="1"/>
  <c r="F337" i="127"/>
  <c r="G337" i="127" s="1"/>
  <c r="G358" i="127"/>
  <c r="G309" i="127"/>
  <c r="F355" i="127"/>
  <c r="G373" i="127"/>
  <c r="F353" i="127"/>
  <c r="G377" i="127"/>
  <c r="F318" i="127"/>
  <c r="H318" i="127" s="1"/>
  <c r="T309" i="127"/>
  <c r="M338" i="127"/>
  <c r="N338" i="127" s="1"/>
  <c r="G393" i="127"/>
  <c r="J393" i="127" s="1"/>
  <c r="T316" i="127"/>
  <c r="W316" i="127" s="1"/>
  <c r="V315" i="127"/>
  <c r="M333" i="127"/>
  <c r="N333" i="127" s="1"/>
  <c r="T308" i="127"/>
  <c r="V317" i="127"/>
  <c r="V305" i="127"/>
  <c r="H402" i="127"/>
  <c r="H400" i="127"/>
  <c r="H401" i="129"/>
  <c r="T308" i="129"/>
  <c r="M329" i="129"/>
  <c r="G394" i="129"/>
  <c r="H399" i="129"/>
  <c r="V313" i="129"/>
  <c r="Q48" i="129"/>
  <c r="H395" i="129"/>
  <c r="G379" i="129"/>
  <c r="F375" i="129"/>
  <c r="F313" i="129"/>
  <c r="G315" i="129"/>
  <c r="F359" i="129"/>
  <c r="F374" i="129"/>
  <c r="F357" i="129"/>
  <c r="F379" i="129"/>
  <c r="G372" i="129"/>
  <c r="G351" i="129"/>
  <c r="F381" i="128"/>
  <c r="G307" i="128"/>
  <c r="G311" i="128"/>
  <c r="F361" i="128"/>
  <c r="F358" i="128"/>
  <c r="N358" i="128" s="1"/>
  <c r="F318" i="128"/>
  <c r="H318" i="128" s="1"/>
  <c r="F373" i="128"/>
  <c r="F378" i="128"/>
  <c r="G375" i="128"/>
  <c r="AH259" i="128" s="1"/>
  <c r="F383" i="128"/>
  <c r="G399" i="128"/>
  <c r="J399" i="128" s="1"/>
  <c r="W399" i="128" s="1"/>
  <c r="T317" i="128"/>
  <c r="H395" i="128"/>
  <c r="M334" i="128"/>
  <c r="N334" i="128" s="1"/>
  <c r="M335" i="128"/>
  <c r="N335" i="128" s="1"/>
  <c r="G400" i="128"/>
  <c r="M331" i="128"/>
  <c r="N331" i="128" s="1"/>
  <c r="Q47" i="128"/>
  <c r="V305" i="128"/>
  <c r="G317" i="127"/>
  <c r="G355" i="127"/>
  <c r="F331" i="127"/>
  <c r="G331" i="127" s="1"/>
  <c r="F383" i="127"/>
  <c r="G357" i="127"/>
  <c r="F350" i="127"/>
  <c r="F340" i="127"/>
  <c r="G340" i="127" s="1"/>
  <c r="F332" i="127"/>
  <c r="G332" i="127" s="1"/>
  <c r="K305" i="127"/>
  <c r="F308" i="127"/>
  <c r="F317" i="127"/>
  <c r="H317" i="127" s="1"/>
  <c r="M332" i="127"/>
  <c r="N332" i="127" s="1"/>
  <c r="G399" i="129"/>
  <c r="J399" i="129" s="1"/>
  <c r="W399" i="129" s="1"/>
  <c r="H397" i="129"/>
  <c r="G401" i="129"/>
  <c r="J401" i="129" s="1"/>
  <c r="W401" i="129" s="1"/>
  <c r="T316" i="129"/>
  <c r="W316" i="129" s="1"/>
  <c r="V311" i="129"/>
  <c r="M337" i="129"/>
  <c r="N337" i="129" s="1"/>
  <c r="T312" i="129"/>
  <c r="W312" i="129" s="1"/>
  <c r="H400" i="129"/>
  <c r="M340" i="129"/>
  <c r="N340" i="129" s="1"/>
  <c r="Q51" i="129"/>
  <c r="G373" i="129"/>
  <c r="G360" i="129"/>
  <c r="G382" i="129"/>
  <c r="F310" i="129"/>
  <c r="G312" i="129"/>
  <c r="G311" i="129"/>
  <c r="F356" i="129"/>
  <c r="N356" i="129" s="1"/>
  <c r="F336" i="129"/>
  <c r="G336" i="129" s="1"/>
  <c r="G352" i="129"/>
  <c r="G355" i="129"/>
  <c r="F317" i="129"/>
  <c r="F375" i="128"/>
  <c r="G377" i="128"/>
  <c r="F359" i="128"/>
  <c r="N359" i="128" s="1"/>
  <c r="F356" i="128"/>
  <c r="G305" i="128"/>
  <c r="F312" i="128"/>
  <c r="G383" i="128"/>
  <c r="G357" i="128"/>
  <c r="G318" i="128"/>
  <c r="G378" i="128"/>
  <c r="G395" i="128"/>
  <c r="J395" i="128" s="1"/>
  <c r="T314" i="128"/>
  <c r="G394" i="128"/>
  <c r="V317" i="128"/>
  <c r="V311" i="128"/>
  <c r="V307" i="128"/>
  <c r="M336" i="128"/>
  <c r="N336" i="128" s="1"/>
  <c r="T316" i="128"/>
  <c r="W316" i="128" s="1"/>
  <c r="Q58" i="128"/>
  <c r="G402" i="128"/>
  <c r="Q49" i="128"/>
  <c r="G314" i="127"/>
  <c r="G350" i="127"/>
  <c r="F316" i="127"/>
  <c r="F377" i="127"/>
  <c r="G316" i="127"/>
  <c r="F338" i="127"/>
  <c r="G338" i="127" s="1"/>
  <c r="Q46" i="127"/>
  <c r="G395" i="129"/>
  <c r="H393" i="129"/>
  <c r="G397" i="129"/>
  <c r="J397" i="129" s="1"/>
  <c r="W397" i="129" s="1"/>
  <c r="T313" i="129"/>
  <c r="W313" i="129" s="1"/>
  <c r="V310" i="129"/>
  <c r="M332" i="129"/>
  <c r="N332" i="129" s="1"/>
  <c r="H396" i="129"/>
  <c r="T318" i="129"/>
  <c r="W318" i="129" s="1"/>
  <c r="Q52" i="129"/>
  <c r="G359" i="129"/>
  <c r="F355" i="129"/>
  <c r="N355" i="129" s="1"/>
  <c r="G376" i="129"/>
  <c r="AH260" i="129" s="1"/>
  <c r="F307" i="129"/>
  <c r="G309" i="129"/>
  <c r="K305" i="129"/>
  <c r="G350" i="129"/>
  <c r="F311" i="129"/>
  <c r="H311" i="129" s="1"/>
  <c r="F332" i="129"/>
  <c r="G332" i="129" s="1"/>
  <c r="F314" i="129"/>
  <c r="F308" i="129"/>
  <c r="H308" i="129" s="1"/>
  <c r="G379" i="128"/>
  <c r="G360" i="128"/>
  <c r="G382" i="128"/>
  <c r="G374" i="128"/>
  <c r="AH258" i="128" s="1"/>
  <c r="F357" i="128"/>
  <c r="N357" i="128" s="1"/>
  <c r="F372" i="128"/>
  <c r="F374" i="128"/>
  <c r="F377" i="128"/>
  <c r="G380" i="128"/>
  <c r="G308" i="128"/>
  <c r="G312" i="128"/>
  <c r="F352" i="128"/>
  <c r="G391" i="128"/>
  <c r="T311" i="128"/>
  <c r="W311" i="128" s="1"/>
  <c r="M337" i="128"/>
  <c r="N337" i="128" s="1"/>
  <c r="V308" i="128"/>
  <c r="T305" i="128"/>
  <c r="V318" i="128"/>
  <c r="V310" i="128"/>
  <c r="Q45" i="128"/>
  <c r="H392" i="128"/>
  <c r="Q44" i="128"/>
  <c r="Q50" i="128"/>
  <c r="Q44" i="127"/>
  <c r="G311" i="127"/>
  <c r="F336" i="127"/>
  <c r="G336" i="127" s="1"/>
  <c r="F313" i="127"/>
  <c r="H313" i="127" s="1"/>
  <c r="G356" i="127"/>
  <c r="G307" i="127"/>
  <c r="F334" i="127"/>
  <c r="G334" i="127" s="1"/>
  <c r="F311" i="127"/>
  <c r="H311" i="127" s="1"/>
  <c r="F378" i="127"/>
  <c r="G305" i="127"/>
  <c r="F330" i="127"/>
  <c r="G330" i="127" s="1"/>
  <c r="F312" i="127"/>
  <c r="M337" i="127"/>
  <c r="N337" i="127" s="1"/>
  <c r="H394" i="127"/>
  <c r="H401" i="127"/>
  <c r="G400" i="127"/>
  <c r="T307" i="127"/>
  <c r="T317" i="127"/>
  <c r="W317" i="127" s="1"/>
  <c r="V307" i="127"/>
  <c r="V313" i="127"/>
  <c r="M334" i="127"/>
  <c r="N334" i="127" s="1"/>
  <c r="Q52" i="127"/>
  <c r="Q45" i="127"/>
  <c r="G391" i="129"/>
  <c r="M339" i="129"/>
  <c r="N339" i="129" s="1"/>
  <c r="G393" i="129"/>
  <c r="J393" i="129" s="1"/>
  <c r="T310" i="129"/>
  <c r="W310" i="129" s="1"/>
  <c r="M334" i="129"/>
  <c r="N334" i="129" s="1"/>
  <c r="V307" i="129"/>
  <c r="Q54" i="129"/>
  <c r="Z305" i="129"/>
  <c r="H392" i="129"/>
  <c r="Q47" i="129"/>
  <c r="Q45" i="129"/>
  <c r="G402" i="129"/>
  <c r="J402" i="129" s="1"/>
  <c r="W402" i="129" s="1"/>
  <c r="Q50" i="129"/>
  <c r="G377" i="129"/>
  <c r="G358" i="129"/>
  <c r="F333" i="128"/>
  <c r="G333" i="128" s="1"/>
  <c r="F305" i="128"/>
  <c r="G352" i="128"/>
  <c r="M330" i="128"/>
  <c r="N330" i="128" s="1"/>
  <c r="V313" i="128"/>
  <c r="H391" i="128"/>
  <c r="G382" i="127"/>
  <c r="F305" i="127"/>
  <c r="G372" i="127"/>
  <c r="F358" i="127"/>
  <c r="N358" i="127" s="1"/>
  <c r="G402" i="127"/>
  <c r="J402" i="127" s="1"/>
  <c r="W402" i="127" s="1"/>
  <c r="T313" i="127"/>
  <c r="W313" i="127" s="1"/>
  <c r="Z305" i="127"/>
  <c r="V309" i="127"/>
  <c r="F354" i="129"/>
  <c r="N354" i="129" s="1"/>
  <c r="G354" i="128"/>
  <c r="F382" i="129"/>
  <c r="G361" i="128"/>
  <c r="G359" i="127"/>
  <c r="F360" i="129"/>
  <c r="N360" i="129" s="1"/>
  <c r="F315" i="129"/>
  <c r="H315" i="129" s="1"/>
  <c r="F358" i="129"/>
  <c r="N358" i="129" s="1"/>
  <c r="G373" i="128"/>
  <c r="F311" i="128"/>
  <c r="H311" i="128" s="1"/>
  <c r="G351" i="128"/>
  <c r="F337" i="128"/>
  <c r="G337" i="128" s="1"/>
  <c r="G396" i="128"/>
  <c r="J396" i="128" s="1"/>
  <c r="W396" i="128" s="1"/>
  <c r="V316" i="128"/>
  <c r="G353" i="127"/>
  <c r="G308" i="127"/>
  <c r="F372" i="127"/>
  <c r="T310" i="127"/>
  <c r="H399" i="127"/>
  <c r="F373" i="129"/>
  <c r="H401" i="128"/>
  <c r="G397" i="127"/>
  <c r="M305" i="129"/>
  <c r="M329" i="128"/>
  <c r="G312" i="127"/>
  <c r="G395" i="127"/>
  <c r="H398" i="129"/>
  <c r="F331" i="129"/>
  <c r="G331" i="129" s="1"/>
  <c r="F335" i="129"/>
  <c r="G335" i="129" s="1"/>
  <c r="G361" i="129"/>
  <c r="F340" i="128"/>
  <c r="G340" i="128" s="1"/>
  <c r="F330" i="128"/>
  <c r="G330" i="128" s="1"/>
  <c r="F335" i="128"/>
  <c r="G335" i="128" s="1"/>
  <c r="V314" i="128"/>
  <c r="F310" i="127"/>
  <c r="F314" i="127"/>
  <c r="H314" i="127" s="1"/>
  <c r="G361" i="127"/>
  <c r="X305" i="127"/>
  <c r="G399" i="127"/>
  <c r="J399" i="127" s="1"/>
  <c r="W399" i="127" s="1"/>
  <c r="H395" i="127"/>
  <c r="F351" i="129"/>
  <c r="N351" i="129" s="1"/>
  <c r="T311" i="127"/>
  <c r="H391" i="129"/>
  <c r="F381" i="127"/>
  <c r="Q51" i="127"/>
  <c r="V308" i="129"/>
  <c r="F383" i="129"/>
  <c r="G317" i="129"/>
  <c r="G357" i="129"/>
  <c r="F355" i="128"/>
  <c r="F379" i="128"/>
  <c r="F353" i="128"/>
  <c r="N353" i="128" s="1"/>
  <c r="H400" i="128"/>
  <c r="H402" i="128"/>
  <c r="F379" i="127"/>
  <c r="F376" i="127"/>
  <c r="G379" i="127"/>
  <c r="F335" i="127"/>
  <c r="G335" i="127" s="1"/>
  <c r="H397" i="127"/>
  <c r="M336" i="127"/>
  <c r="N336" i="127" s="1"/>
  <c r="T314" i="127"/>
  <c r="W314" i="127" s="1"/>
  <c r="V312" i="128"/>
  <c r="Q53" i="127"/>
  <c r="F376" i="129"/>
  <c r="H394" i="128"/>
  <c r="H396" i="127"/>
  <c r="F350" i="129"/>
  <c r="N350" i="129" s="1"/>
  <c r="G376" i="128"/>
  <c r="AH260" i="128" s="1"/>
  <c r="F308" i="128"/>
  <c r="T308" i="128"/>
  <c r="W308" i="128" s="1"/>
  <c r="T318" i="128"/>
  <c r="W318" i="128" s="1"/>
  <c r="Q52" i="128"/>
  <c r="F380" i="127"/>
  <c r="G378" i="127"/>
  <c r="G374" i="127"/>
  <c r="AH258" i="127" s="1"/>
  <c r="T312" i="127"/>
  <c r="G396" i="127"/>
  <c r="J396" i="127" s="1"/>
  <c r="W396" i="127" s="1"/>
  <c r="V310" i="127"/>
  <c r="V308" i="127"/>
  <c r="Q48" i="127"/>
  <c r="Q49" i="127"/>
  <c r="F339" i="127"/>
  <c r="G339" i="127" s="1"/>
  <c r="M329" i="127"/>
  <c r="V312" i="127"/>
  <c r="Q53" i="128"/>
  <c r="G355" i="128"/>
  <c r="G310" i="127"/>
  <c r="K305" i="128"/>
  <c r="F359" i="127"/>
  <c r="N359" i="127" s="1"/>
  <c r="T314" i="129"/>
  <c r="W314" i="129" s="1"/>
  <c r="T305" i="129"/>
  <c r="G310" i="129"/>
  <c r="G375" i="129"/>
  <c r="AH259" i="129" s="1"/>
  <c r="G314" i="129"/>
  <c r="F307" i="128"/>
  <c r="F380" i="128"/>
  <c r="G393" i="128"/>
  <c r="J393" i="128" s="1"/>
  <c r="V315" i="128"/>
  <c r="G381" i="127"/>
  <c r="F361" i="127"/>
  <c r="N361" i="127" s="1"/>
  <c r="F352" i="127"/>
  <c r="N352" i="127" s="1"/>
  <c r="H398" i="127"/>
  <c r="T305" i="127"/>
  <c r="Q55" i="129"/>
  <c r="G313" i="128"/>
  <c r="F351" i="127"/>
  <c r="N351" i="127" s="1"/>
  <c r="V318" i="127"/>
  <c r="M339" i="128"/>
  <c r="N339" i="128" s="1"/>
  <c r="M331" i="127"/>
  <c r="N331" i="127" s="1"/>
  <c r="H392" i="127"/>
  <c r="AA127" i="7"/>
  <c r="AB124" i="7"/>
  <c r="Z127" i="7"/>
  <c r="AB128" i="7"/>
  <c r="X128" i="7" s="1" a="1"/>
  <c r="X128" i="7" s="1"/>
  <c r="AB127" i="7"/>
  <c r="AA124" i="7"/>
  <c r="Y124" i="7"/>
  <c r="Z123" i="7"/>
  <c r="Z124" i="7"/>
  <c r="Y123" i="7"/>
  <c r="Y127" i="7"/>
  <c r="AB123" i="7"/>
  <c r="AA123" i="7"/>
  <c r="AI158" i="7"/>
  <c r="AH158" i="7"/>
  <c r="T305" i="52"/>
  <c r="Q48" i="52"/>
  <c r="F354" i="52"/>
  <c r="G375" i="52"/>
  <c r="AH259" i="52" s="1"/>
  <c r="G376" i="52"/>
  <c r="AH260" i="52" s="1"/>
  <c r="G318" i="52"/>
  <c r="F380" i="52"/>
  <c r="G357" i="52"/>
  <c r="G317" i="52"/>
  <c r="Q54" i="52"/>
  <c r="T309" i="52"/>
  <c r="G398" i="52"/>
  <c r="V309" i="52"/>
  <c r="T308" i="52"/>
  <c r="V312" i="52"/>
  <c r="Q55" i="52"/>
  <c r="V313" i="52"/>
  <c r="V316" i="52"/>
  <c r="G391" i="52"/>
  <c r="F377" i="52"/>
  <c r="Q45" i="52"/>
  <c r="F330" i="52"/>
  <c r="G330" i="52" s="1"/>
  <c r="G400" i="52"/>
  <c r="Q51" i="52"/>
  <c r="G361" i="52"/>
  <c r="Q53" i="52"/>
  <c r="F310" i="52"/>
  <c r="F331" i="52"/>
  <c r="G331" i="52" s="1"/>
  <c r="F332" i="52"/>
  <c r="G332" i="52" s="1"/>
  <c r="F359" i="52"/>
  <c r="F356" i="52"/>
  <c r="F375" i="52"/>
  <c r="AG259" i="52" s="1"/>
  <c r="F315" i="52"/>
  <c r="V311" i="52"/>
  <c r="M333" i="52"/>
  <c r="N333" i="52" s="1"/>
  <c r="Z305" i="52"/>
  <c r="G401" i="52"/>
  <c r="T318" i="52"/>
  <c r="Q44" i="52"/>
  <c r="F317" i="52"/>
  <c r="F374" i="52"/>
  <c r="G351" i="52"/>
  <c r="G352" i="52"/>
  <c r="F337" i="52"/>
  <c r="G337" i="52" s="1"/>
  <c r="G373" i="52"/>
  <c r="F309" i="52"/>
  <c r="G309" i="52"/>
  <c r="Q58" i="52"/>
  <c r="G394" i="52"/>
  <c r="G395" i="52"/>
  <c r="T311" i="52"/>
  <c r="G381" i="52"/>
  <c r="F338" i="52"/>
  <c r="G338" i="52" s="1"/>
  <c r="G305" i="52"/>
  <c r="G307" i="52"/>
  <c r="G308" i="52"/>
  <c r="F379" i="52"/>
  <c r="F307" i="52"/>
  <c r="G350" i="52"/>
  <c r="F312" i="52"/>
  <c r="V307" i="52"/>
  <c r="T310" i="52"/>
  <c r="X305" i="52"/>
  <c r="V317" i="52"/>
  <c r="G393" i="52"/>
  <c r="G355" i="52"/>
  <c r="F329" i="52"/>
  <c r="T312" i="52"/>
  <c r="Q46" i="52"/>
  <c r="G383" i="52"/>
  <c r="F305" i="52"/>
  <c r="G372" i="52"/>
  <c r="G313" i="52"/>
  <c r="F357" i="52"/>
  <c r="G378" i="52"/>
  <c r="G396" i="52"/>
  <c r="G382" i="52"/>
  <c r="V318" i="52"/>
  <c r="F373" i="52"/>
  <c r="F351" i="52"/>
  <c r="G312" i="52"/>
  <c r="F311" i="52"/>
  <c r="F350" i="52"/>
  <c r="F360" i="52"/>
  <c r="F339" i="52"/>
  <c r="G339" i="52" s="1"/>
  <c r="F340" i="52"/>
  <c r="G340" i="52" s="1"/>
  <c r="G358" i="52"/>
  <c r="G354" i="52"/>
  <c r="F361" i="52"/>
  <c r="F333" i="52"/>
  <c r="G333" i="52" s="1"/>
  <c r="F334" i="52"/>
  <c r="G334" i="52" s="1"/>
  <c r="G392" i="52"/>
  <c r="G397" i="52"/>
  <c r="F355" i="52"/>
  <c r="G353" i="52"/>
  <c r="T314" i="52"/>
  <c r="Q52" i="52"/>
  <c r="G399" i="52"/>
  <c r="Q50" i="52"/>
  <c r="F316" i="52"/>
  <c r="G359" i="52"/>
  <c r="G360" i="52"/>
  <c r="F376" i="52"/>
  <c r="AG260" i="52" s="1"/>
  <c r="F372" i="52"/>
  <c r="F381" i="52"/>
  <c r="F308" i="52"/>
  <c r="F383" i="52"/>
  <c r="V314" i="52"/>
  <c r="T315" i="52"/>
  <c r="T307" i="52"/>
  <c r="F336" i="52"/>
  <c r="G336" i="52" s="1"/>
  <c r="G356" i="52"/>
  <c r="Q49" i="52"/>
  <c r="F318" i="52"/>
  <c r="G315" i="52"/>
  <c r="G316" i="52"/>
  <c r="F352" i="52"/>
  <c r="G377" i="52"/>
  <c r="G314" i="52"/>
  <c r="V308" i="52"/>
  <c r="F314" i="52"/>
  <c r="G402" i="52"/>
  <c r="G311" i="52"/>
  <c r="V315" i="52"/>
  <c r="Q47" i="52"/>
  <c r="F382" i="52"/>
  <c r="G379" i="52"/>
  <c r="G380" i="52"/>
  <c r="M305" i="52"/>
  <c r="F313" i="52"/>
  <c r="G310" i="52"/>
  <c r="K305" i="52"/>
  <c r="T317" i="52"/>
  <c r="V310" i="52"/>
  <c r="V305" i="52"/>
  <c r="F353" i="52"/>
  <c r="T313" i="52"/>
  <c r="G374" i="52"/>
  <c r="AH258" i="52" s="1"/>
  <c r="F358" i="52"/>
  <c r="F335" i="52"/>
  <c r="G335" i="52" s="1"/>
  <c r="T316" i="52"/>
  <c r="F378" i="52"/>
  <c r="AH65" i="7"/>
  <c r="AI169" i="7"/>
  <c r="AI165" i="7"/>
  <c r="AI161" i="7"/>
  <c r="AH169" i="7"/>
  <c r="AH165" i="7"/>
  <c r="AH161" i="7"/>
  <c r="AI159" i="7"/>
  <c r="AH166" i="7"/>
  <c r="AI168" i="7"/>
  <c r="AI164" i="7"/>
  <c r="AI160" i="7"/>
  <c r="AH168" i="7"/>
  <c r="AH160" i="7"/>
  <c r="AI163" i="7"/>
  <c r="AH162" i="7"/>
  <c r="AH164" i="7"/>
  <c r="AI167" i="7"/>
  <c r="AH167" i="7"/>
  <c r="AH163" i="7"/>
  <c r="AH159" i="7"/>
  <c r="AI166" i="7"/>
  <c r="AI162" i="7"/>
  <c r="AI76" i="7"/>
  <c r="AH76" i="7"/>
  <c r="AH77" i="7"/>
  <c r="AI75" i="7"/>
  <c r="AH75" i="7"/>
  <c r="AI78" i="7"/>
  <c r="AH78" i="7"/>
  <c r="AI65" i="7"/>
  <c r="AI67" i="7"/>
  <c r="AI61" i="7"/>
  <c r="AI66" i="7"/>
  <c r="AI68" i="7"/>
  <c r="AH67" i="7"/>
  <c r="AH66" i="7"/>
  <c r="AH68" i="7"/>
  <c r="AH61" i="7"/>
  <c r="AH62" i="7"/>
  <c r="AI62" i="7"/>
  <c r="AI64" i="7"/>
  <c r="AH63" i="7"/>
  <c r="AH64" i="7"/>
  <c r="AI69" i="7"/>
  <c r="AI59" i="7"/>
  <c r="AI60" i="7"/>
  <c r="AH59" i="7"/>
  <c r="AH60" i="7"/>
  <c r="AH69" i="7"/>
  <c r="AI63" i="7"/>
  <c r="X56" i="7"/>
  <c r="W56" i="7"/>
  <c r="AA56" i="7"/>
  <c r="Z56" i="7"/>
  <c r="F72" i="7"/>
  <c r="E72" i="7"/>
  <c r="H72" i="7"/>
  <c r="O56" i="7"/>
  <c r="F56" i="7"/>
  <c r="N56" i="7"/>
  <c r="E56" i="7"/>
  <c r="R56" i="7"/>
  <c r="Q56" i="7"/>
  <c r="H56" i="7"/>
  <c r="R124" i="7"/>
  <c r="O124" i="7"/>
  <c r="F124" i="7"/>
  <c r="N124" i="7"/>
  <c r="E124" i="7"/>
  <c r="Q124" i="7"/>
  <c r="H124" i="7"/>
  <c r="J357" i="127" l="1"/>
  <c r="H379" i="127"/>
  <c r="J397" i="127"/>
  <c r="W397" i="127" s="1"/>
  <c r="H307" i="129"/>
  <c r="F320" i="129"/>
  <c r="H377" i="127"/>
  <c r="J355" i="127"/>
  <c r="H375" i="128"/>
  <c r="J353" i="128"/>
  <c r="AG259" i="128"/>
  <c r="H310" i="129"/>
  <c r="H308" i="127"/>
  <c r="N357" i="129"/>
  <c r="AG260" i="128"/>
  <c r="H376" i="128"/>
  <c r="J354" i="128"/>
  <c r="G320" i="129"/>
  <c r="AG34" i="129" s="1"/>
  <c r="J398" i="129"/>
  <c r="W398" i="129" s="1"/>
  <c r="N356" i="127"/>
  <c r="H382" i="128"/>
  <c r="J360" i="128"/>
  <c r="H374" i="127"/>
  <c r="J352" i="127"/>
  <c r="AG258" i="127"/>
  <c r="J392" i="128"/>
  <c r="W392" i="128" s="1"/>
  <c r="W315" i="129"/>
  <c r="H308" i="128"/>
  <c r="H335" i="129"/>
  <c r="J335" i="129" s="1"/>
  <c r="K335" i="129" s="1"/>
  <c r="T320" i="127"/>
  <c r="W307" i="127"/>
  <c r="H378" i="127"/>
  <c r="J356" i="127"/>
  <c r="H377" i="128"/>
  <c r="J355" i="128"/>
  <c r="H316" i="127"/>
  <c r="V320" i="128"/>
  <c r="H317" i="129"/>
  <c r="W317" i="128"/>
  <c r="N361" i="128"/>
  <c r="J352" i="129"/>
  <c r="AG258" i="129"/>
  <c r="H374" i="129"/>
  <c r="W309" i="127"/>
  <c r="J359" i="129"/>
  <c r="H381" i="129"/>
  <c r="P335" i="127"/>
  <c r="H309" i="129"/>
  <c r="W309" i="129"/>
  <c r="H404" i="127"/>
  <c r="H373" i="127"/>
  <c r="J351" i="127"/>
  <c r="H309" i="128"/>
  <c r="T320" i="129"/>
  <c r="W320" i="129" s="1"/>
  <c r="W307" i="129"/>
  <c r="J357" i="129"/>
  <c r="H379" i="129"/>
  <c r="P350" i="128"/>
  <c r="W312" i="127"/>
  <c r="P336" i="127"/>
  <c r="J359" i="127"/>
  <c r="H381" i="127"/>
  <c r="F385" i="129"/>
  <c r="H373" i="129"/>
  <c r="J351" i="129"/>
  <c r="H337" i="128"/>
  <c r="J337" i="128" s="1"/>
  <c r="K337" i="128" s="1"/>
  <c r="J391" i="129"/>
  <c r="W391" i="129" s="1"/>
  <c r="G404" i="129"/>
  <c r="J400" i="127"/>
  <c r="W400" i="127" s="1"/>
  <c r="J352" i="128"/>
  <c r="H374" i="128"/>
  <c r="AG258" i="128"/>
  <c r="H314" i="129"/>
  <c r="N359" i="129"/>
  <c r="N360" i="128"/>
  <c r="H318" i="129"/>
  <c r="W311" i="129"/>
  <c r="J401" i="127"/>
  <c r="W401" i="127" s="1"/>
  <c r="H316" i="128"/>
  <c r="J358" i="129"/>
  <c r="H380" i="129"/>
  <c r="J392" i="127"/>
  <c r="W392" i="127" s="1"/>
  <c r="H375" i="127"/>
  <c r="J353" i="127"/>
  <c r="AG259" i="127"/>
  <c r="W313" i="128"/>
  <c r="J400" i="129"/>
  <c r="W400" i="129" s="1"/>
  <c r="J355" i="129"/>
  <c r="H377" i="129"/>
  <c r="N329" i="127"/>
  <c r="N342" i="127" s="1"/>
  <c r="P339" i="127" s="1"/>
  <c r="M342" i="127"/>
  <c r="P350" i="129"/>
  <c r="H379" i="128"/>
  <c r="J357" i="128"/>
  <c r="H404" i="129"/>
  <c r="F320" i="127"/>
  <c r="H310" i="127"/>
  <c r="H382" i="129"/>
  <c r="J360" i="129"/>
  <c r="G385" i="127"/>
  <c r="H334" i="127"/>
  <c r="J334" i="127" s="1"/>
  <c r="K334" i="127" s="1"/>
  <c r="H372" i="128"/>
  <c r="J350" i="128"/>
  <c r="F385" i="128"/>
  <c r="H312" i="128"/>
  <c r="H383" i="128"/>
  <c r="J361" i="128"/>
  <c r="G320" i="128"/>
  <c r="AG34" i="128" s="1"/>
  <c r="J394" i="129"/>
  <c r="W308" i="127"/>
  <c r="G385" i="128"/>
  <c r="J394" i="127"/>
  <c r="W312" i="128"/>
  <c r="J392" i="129"/>
  <c r="W392" i="129" s="1"/>
  <c r="J401" i="128"/>
  <c r="W401" i="128" s="1"/>
  <c r="N351" i="128"/>
  <c r="N363" i="128" s="1"/>
  <c r="AH272" i="128" s="1"/>
  <c r="N352" i="129"/>
  <c r="N363" i="129" s="1"/>
  <c r="AH272" i="129" s="1"/>
  <c r="V320" i="127"/>
  <c r="G404" i="127"/>
  <c r="J404" i="127" s="1"/>
  <c r="J391" i="127"/>
  <c r="W391" i="127" s="1"/>
  <c r="W307" i="128"/>
  <c r="T320" i="128"/>
  <c r="W320" i="128" s="1"/>
  <c r="H339" i="127"/>
  <c r="J339" i="127" s="1"/>
  <c r="K339" i="127" s="1"/>
  <c r="N355" i="128"/>
  <c r="W311" i="127"/>
  <c r="J395" i="127"/>
  <c r="W310" i="127"/>
  <c r="G320" i="127"/>
  <c r="AG34" i="127" s="1"/>
  <c r="G404" i="128"/>
  <c r="J391" i="128"/>
  <c r="W391" i="128" s="1"/>
  <c r="J395" i="129"/>
  <c r="J394" i="128"/>
  <c r="N350" i="127"/>
  <c r="H381" i="128"/>
  <c r="J359" i="128"/>
  <c r="H313" i="129"/>
  <c r="M342" i="129"/>
  <c r="N329" i="129"/>
  <c r="N342" i="129" s="1"/>
  <c r="P331" i="129" s="1"/>
  <c r="P333" i="127"/>
  <c r="N353" i="127"/>
  <c r="H336" i="128"/>
  <c r="J336" i="128" s="1"/>
  <c r="K336" i="128" s="1"/>
  <c r="W315" i="127"/>
  <c r="N354" i="128"/>
  <c r="H330" i="129"/>
  <c r="J330" i="129" s="1"/>
  <c r="K330" i="129" s="1"/>
  <c r="J398" i="127"/>
  <c r="W398" i="127" s="1"/>
  <c r="G329" i="127"/>
  <c r="G342" i="127" s="1"/>
  <c r="AG39" i="127"/>
  <c r="J40" i="127" s="1"/>
  <c r="G8" i="127" s="1"/>
  <c r="F342" i="127"/>
  <c r="G329" i="129"/>
  <c r="G342" i="129" s="1"/>
  <c r="H334" i="129" s="1"/>
  <c r="J334" i="129" s="1"/>
  <c r="K334" i="129" s="1"/>
  <c r="F342" i="129"/>
  <c r="AG39" i="129"/>
  <c r="J40" i="129" s="1"/>
  <c r="G8" i="129" s="1"/>
  <c r="P336" i="129"/>
  <c r="H380" i="127"/>
  <c r="J358" i="127"/>
  <c r="J350" i="127"/>
  <c r="H372" i="127"/>
  <c r="F385" i="127"/>
  <c r="V320" i="129"/>
  <c r="P334" i="127"/>
  <c r="P337" i="127"/>
  <c r="N352" i="128"/>
  <c r="J402" i="128"/>
  <c r="W402" i="128" s="1"/>
  <c r="W314" i="128"/>
  <c r="N356" i="128"/>
  <c r="J400" i="128"/>
  <c r="W400" i="128" s="1"/>
  <c r="J356" i="128"/>
  <c r="H378" i="128"/>
  <c r="AG259" i="129"/>
  <c r="J353" i="129"/>
  <c r="J363" i="129" s="1"/>
  <c r="H375" i="129"/>
  <c r="W308" i="129"/>
  <c r="H313" i="128"/>
  <c r="P330" i="127"/>
  <c r="H309" i="127"/>
  <c r="H382" i="127"/>
  <c r="J360" i="127"/>
  <c r="W318" i="127"/>
  <c r="H317" i="128"/>
  <c r="F342" i="128"/>
  <c r="AG39" i="128"/>
  <c r="J40" i="128" s="1"/>
  <c r="G8" i="128" s="1"/>
  <c r="G329" i="128"/>
  <c r="G342" i="128" s="1"/>
  <c r="H331" i="128" s="1"/>
  <c r="J331" i="128" s="1"/>
  <c r="K331" i="128" s="1"/>
  <c r="H312" i="129"/>
  <c r="F320" i="128"/>
  <c r="H307" i="128"/>
  <c r="J361" i="129"/>
  <c r="H383" i="129"/>
  <c r="J358" i="128"/>
  <c r="H380" i="128"/>
  <c r="AG260" i="129"/>
  <c r="H376" i="129"/>
  <c r="J354" i="129"/>
  <c r="J354" i="127"/>
  <c r="H376" i="127"/>
  <c r="AG260" i="127"/>
  <c r="H330" i="128"/>
  <c r="J330" i="128" s="1"/>
  <c r="K330" i="128" s="1"/>
  <c r="N329" i="128"/>
  <c r="N342" i="128" s="1"/>
  <c r="P336" i="128" s="1"/>
  <c r="M342" i="128"/>
  <c r="H404" i="128"/>
  <c r="P334" i="129"/>
  <c r="H312" i="127"/>
  <c r="H338" i="127"/>
  <c r="J338" i="127" s="1"/>
  <c r="K338" i="127" s="1"/>
  <c r="P332" i="127"/>
  <c r="H383" i="127"/>
  <c r="J361" i="127"/>
  <c r="P335" i="128"/>
  <c r="H373" i="128"/>
  <c r="J351" i="128"/>
  <c r="H372" i="129"/>
  <c r="G385" i="129"/>
  <c r="N355" i="127"/>
  <c r="H334" i="128"/>
  <c r="J334" i="128" s="1"/>
  <c r="K334" i="128" s="1"/>
  <c r="P330" i="129"/>
  <c r="J398" i="128"/>
  <c r="W398" i="128" s="1"/>
  <c r="N361" i="129"/>
  <c r="H337" i="129"/>
  <c r="J337" i="129" s="1"/>
  <c r="K337" i="129" s="1"/>
  <c r="H333" i="127"/>
  <c r="J333" i="127" s="1"/>
  <c r="K333" i="127" s="1"/>
  <c r="H307" i="127"/>
  <c r="W310" i="128"/>
  <c r="H339" i="128"/>
  <c r="J339" i="128" s="1"/>
  <c r="K339" i="128" s="1"/>
  <c r="X123" i="7" a="1"/>
  <c r="X123" i="7" s="1"/>
  <c r="X124" i="7" a="1"/>
  <c r="X124" i="7" s="1"/>
  <c r="AK159" i="7"/>
  <c r="AF158" i="7"/>
  <c r="AK158" i="7"/>
  <c r="Z129" i="7"/>
  <c r="X127" i="7" a="1"/>
  <c r="X127" i="7" s="1"/>
  <c r="AK169" i="7"/>
  <c r="AK161" i="7"/>
  <c r="AK78" i="7"/>
  <c r="AK165" i="7"/>
  <c r="AK168" i="7"/>
  <c r="AK166" i="7"/>
  <c r="AK163" i="7"/>
  <c r="AK167" i="7"/>
  <c r="AK162" i="7"/>
  <c r="AK164" i="7"/>
  <c r="AK160" i="7"/>
  <c r="AK59" i="7"/>
  <c r="AK60" i="7"/>
  <c r="AG55" i="7"/>
  <c r="AK61" i="7"/>
  <c r="AK69" i="7"/>
  <c r="AK68" i="7"/>
  <c r="AK75" i="7"/>
  <c r="AK67" i="7"/>
  <c r="AK76" i="7"/>
  <c r="AK62" i="7"/>
  <c r="AK65" i="7"/>
  <c r="AK66" i="7"/>
  <c r="AK64" i="7"/>
  <c r="AK63" i="7"/>
  <c r="W313" i="52"/>
  <c r="H308" i="52"/>
  <c r="W317" i="52"/>
  <c r="H316" i="52"/>
  <c r="W312" i="52"/>
  <c r="W309" i="52"/>
  <c r="H311" i="52"/>
  <c r="H314" i="52"/>
  <c r="H317" i="52"/>
  <c r="H313" i="52"/>
  <c r="W311" i="52"/>
  <c r="W314" i="52"/>
  <c r="W318" i="52"/>
  <c r="V320" i="52"/>
  <c r="H374" i="52"/>
  <c r="AG258" i="52"/>
  <c r="J352" i="52"/>
  <c r="H377" i="52"/>
  <c r="J355" i="52"/>
  <c r="H378" i="52"/>
  <c r="J356" i="52"/>
  <c r="H312" i="52"/>
  <c r="G404" i="52"/>
  <c r="H380" i="52"/>
  <c r="J358" i="52"/>
  <c r="AG39" i="52"/>
  <c r="J40" i="52" s="1"/>
  <c r="G8" i="52" s="1"/>
  <c r="G329" i="52"/>
  <c r="F342" i="52"/>
  <c r="H307" i="52"/>
  <c r="F320" i="52"/>
  <c r="T320" i="52"/>
  <c r="W307" i="52"/>
  <c r="W315" i="52"/>
  <c r="H379" i="52"/>
  <c r="J357" i="52"/>
  <c r="H310" i="52"/>
  <c r="H373" i="52"/>
  <c r="J351" i="52"/>
  <c r="G385" i="52"/>
  <c r="AH256" i="52"/>
  <c r="H318" i="52"/>
  <c r="G320" i="52"/>
  <c r="AG34" i="52" s="1"/>
  <c r="W308" i="52"/>
  <c r="W316" i="52"/>
  <c r="H383" i="52"/>
  <c r="J361" i="52"/>
  <c r="H309" i="52"/>
  <c r="H376" i="52"/>
  <c r="J354" i="52"/>
  <c r="H381" i="52"/>
  <c r="J359" i="52"/>
  <c r="H375" i="52"/>
  <c r="J353" i="52"/>
  <c r="H382" i="52"/>
  <c r="J360" i="52"/>
  <c r="F385" i="52"/>
  <c r="H372" i="52"/>
  <c r="J350" i="52"/>
  <c r="AG256" i="52"/>
  <c r="W310" i="52"/>
  <c r="H315" i="52"/>
  <c r="AF75" i="7"/>
  <c r="AF159" i="7"/>
  <c r="AF61" i="7"/>
  <c r="AF69" i="7"/>
  <c r="AF68" i="7"/>
  <c r="AF162" i="7"/>
  <c r="AF59" i="7"/>
  <c r="AF60" i="7"/>
  <c r="AF164" i="7"/>
  <c r="AF76" i="7"/>
  <c r="AF160" i="7"/>
  <c r="AF165" i="7"/>
  <c r="AF78" i="7"/>
  <c r="AF161" i="7"/>
  <c r="AF169" i="7"/>
  <c r="AF168" i="7"/>
  <c r="AF166" i="7"/>
  <c r="AF163" i="7"/>
  <c r="AF167" i="7"/>
  <c r="AF64" i="7"/>
  <c r="AF67" i="7"/>
  <c r="AF65" i="7"/>
  <c r="AF66" i="7"/>
  <c r="AF63" i="7"/>
  <c r="AF62" i="7"/>
  <c r="R57" i="7"/>
  <c r="Q57" i="7"/>
  <c r="O57" i="7"/>
  <c r="N57" i="7"/>
  <c r="E6" i="7"/>
  <c r="F6" i="7" s="1"/>
  <c r="H85" i="7"/>
  <c r="M340" i="52" s="1"/>
  <c r="N340" i="52" s="1"/>
  <c r="H84" i="7"/>
  <c r="M339" i="52" s="1"/>
  <c r="N339" i="52" s="1"/>
  <c r="H83" i="7"/>
  <c r="M338" i="52" s="1"/>
  <c r="N338" i="52" s="1"/>
  <c r="H82" i="7"/>
  <c r="M337" i="52" s="1"/>
  <c r="N337" i="52" s="1"/>
  <c r="H81" i="7"/>
  <c r="M336" i="52" s="1"/>
  <c r="N336" i="52" s="1"/>
  <c r="H80" i="7"/>
  <c r="M335" i="52" s="1"/>
  <c r="N335" i="52" s="1"/>
  <c r="H79" i="7"/>
  <c r="M334" i="52" s="1"/>
  <c r="N334" i="52" s="1"/>
  <c r="H77" i="7"/>
  <c r="M332" i="52" s="1"/>
  <c r="N332" i="52" s="1"/>
  <c r="H76" i="7"/>
  <c r="M331" i="52" s="1"/>
  <c r="N331" i="52" s="1"/>
  <c r="H75" i="7"/>
  <c r="M330" i="52" s="1"/>
  <c r="N330" i="52" s="1"/>
  <c r="H74" i="7"/>
  <c r="M329" i="52" s="1"/>
  <c r="N329" i="52" s="1"/>
  <c r="M423" i="129" l="1"/>
  <c r="AH274" i="129"/>
  <c r="G9" i="129" s="1"/>
  <c r="M423" i="128"/>
  <c r="AH274" i="128"/>
  <c r="G9" i="128" s="1"/>
  <c r="J404" i="128"/>
  <c r="P338" i="128"/>
  <c r="Q335" i="128"/>
  <c r="P340" i="129"/>
  <c r="H329" i="127"/>
  <c r="J329" i="127" s="1"/>
  <c r="K329" i="127" s="1"/>
  <c r="K342" i="127"/>
  <c r="H332" i="128"/>
  <c r="J332" i="128" s="1"/>
  <c r="K332" i="128" s="1"/>
  <c r="P331" i="128"/>
  <c r="H340" i="128"/>
  <c r="J340" i="128" s="1"/>
  <c r="K340" i="128" s="1"/>
  <c r="H340" i="127"/>
  <c r="J340" i="127" s="1"/>
  <c r="K340" i="127" s="1"/>
  <c r="H333" i="128"/>
  <c r="J333" i="128" s="1"/>
  <c r="K333" i="128" s="1"/>
  <c r="P332" i="129"/>
  <c r="P335" i="129"/>
  <c r="P338" i="127"/>
  <c r="Q338" i="127" s="1"/>
  <c r="P329" i="128"/>
  <c r="Q329" i="128" s="1"/>
  <c r="Q342" i="128"/>
  <c r="S342" i="128" s="1"/>
  <c r="H320" i="128"/>
  <c r="AG33" i="128"/>
  <c r="J320" i="128"/>
  <c r="P340" i="128"/>
  <c r="Q340" i="128" s="1"/>
  <c r="H385" i="127"/>
  <c r="M385" i="127" s="1"/>
  <c r="AG213" i="127"/>
  <c r="AG269" i="127"/>
  <c r="N363" i="127"/>
  <c r="AH272" i="127" s="1"/>
  <c r="P350" i="127"/>
  <c r="P333" i="129"/>
  <c r="AG214" i="128"/>
  <c r="AH269" i="128"/>
  <c r="AG214" i="127"/>
  <c r="AH269" i="127"/>
  <c r="H336" i="127"/>
  <c r="J336" i="127" s="1"/>
  <c r="K336" i="127" s="1"/>
  <c r="P339" i="128"/>
  <c r="Q339" i="128" s="1"/>
  <c r="P340" i="127"/>
  <c r="Q332" i="127"/>
  <c r="H336" i="129"/>
  <c r="J336" i="129" s="1"/>
  <c r="K336" i="129" s="1"/>
  <c r="P333" i="128"/>
  <c r="Q333" i="128" s="1"/>
  <c r="H332" i="129"/>
  <c r="J332" i="129" s="1"/>
  <c r="K332" i="129" s="1"/>
  <c r="P337" i="128"/>
  <c r="Q337" i="128" s="1"/>
  <c r="AG213" i="129"/>
  <c r="AG269" i="129"/>
  <c r="H385" i="129"/>
  <c r="M385" i="129" s="1"/>
  <c r="P331" i="127"/>
  <c r="AG214" i="129"/>
  <c r="AH269" i="129"/>
  <c r="P334" i="128"/>
  <c r="Q334" i="128" s="1"/>
  <c r="J363" i="127"/>
  <c r="P329" i="129"/>
  <c r="Q342" i="129"/>
  <c r="S342" i="129" s="1"/>
  <c r="AG213" i="128"/>
  <c r="AG269" i="128"/>
  <c r="H385" i="128"/>
  <c r="M385" i="128" s="1"/>
  <c r="H331" i="129"/>
  <c r="J331" i="129" s="1"/>
  <c r="K331" i="129" s="1"/>
  <c r="H331" i="127"/>
  <c r="J331" i="127" s="1"/>
  <c r="K331" i="127" s="1"/>
  <c r="P337" i="129"/>
  <c r="Q337" i="129" s="1"/>
  <c r="H320" i="129"/>
  <c r="AG33" i="129"/>
  <c r="J320" i="129"/>
  <c r="H329" i="128"/>
  <c r="J329" i="128" s="1"/>
  <c r="K329" i="128" s="1"/>
  <c r="K342" i="128"/>
  <c r="H335" i="128"/>
  <c r="J335" i="128" s="1"/>
  <c r="K335" i="128" s="1"/>
  <c r="J363" i="128"/>
  <c r="P329" i="127"/>
  <c r="Q342" i="127"/>
  <c r="S342" i="127" s="1"/>
  <c r="H340" i="129"/>
  <c r="J340" i="129" s="1"/>
  <c r="K340" i="129" s="1"/>
  <c r="H332" i="127"/>
  <c r="J332" i="127" s="1"/>
  <c r="K332" i="127" s="1"/>
  <c r="H337" i="127"/>
  <c r="J337" i="127" s="1"/>
  <c r="K337" i="127" s="1"/>
  <c r="H330" i="127"/>
  <c r="J330" i="127" s="1"/>
  <c r="K330" i="127" s="1"/>
  <c r="H329" i="129"/>
  <c r="J329" i="129" s="1"/>
  <c r="K329" i="129" s="1"/>
  <c r="K342" i="129"/>
  <c r="P332" i="128"/>
  <c r="Q332" i="128" s="1"/>
  <c r="H333" i="129"/>
  <c r="J333" i="129" s="1"/>
  <c r="K333" i="129" s="1"/>
  <c r="H320" i="127"/>
  <c r="AG33" i="127"/>
  <c r="J320" i="127"/>
  <c r="H338" i="128"/>
  <c r="J338" i="128" s="1"/>
  <c r="K338" i="128" s="1"/>
  <c r="J404" i="129"/>
  <c r="W320" i="127"/>
  <c r="H338" i="129"/>
  <c r="J338" i="129" s="1"/>
  <c r="K338" i="129" s="1"/>
  <c r="P338" i="129"/>
  <c r="Q337" i="127"/>
  <c r="H335" i="127"/>
  <c r="J335" i="127" s="1"/>
  <c r="K335" i="127" s="1"/>
  <c r="H339" i="129"/>
  <c r="J339" i="129" s="1"/>
  <c r="K339" i="129" s="1"/>
  <c r="P339" i="129"/>
  <c r="Q339" i="129" s="1"/>
  <c r="P330" i="128"/>
  <c r="Q330" i="128" s="1"/>
  <c r="M342" i="52"/>
  <c r="W320" i="52"/>
  <c r="G342" i="52"/>
  <c r="H329" i="52" s="1"/>
  <c r="J329" i="52" s="1"/>
  <c r="K329" i="52" s="1"/>
  <c r="AG214" i="52"/>
  <c r="AH269" i="52"/>
  <c r="J363" i="52"/>
  <c r="AG213" i="52"/>
  <c r="H385" i="52"/>
  <c r="AG269" i="52"/>
  <c r="N342" i="52"/>
  <c r="AG33" i="52"/>
  <c r="H320" i="52"/>
  <c r="J320" i="52" s="1"/>
  <c r="Z69" i="7"/>
  <c r="Q137" i="7"/>
  <c r="Q169" i="7" s="1"/>
  <c r="H402" i="52" s="1"/>
  <c r="J402" i="52" s="1"/>
  <c r="Z65" i="7"/>
  <c r="Q133" i="7"/>
  <c r="Q165" i="7" s="1"/>
  <c r="H398" i="52" s="1"/>
  <c r="J398" i="52" s="1"/>
  <c r="Q129" i="7"/>
  <c r="Q161" i="7" s="1"/>
  <c r="H394" i="52" s="1"/>
  <c r="J394" i="52" s="1"/>
  <c r="Z68" i="7"/>
  <c r="Q136" i="7"/>
  <c r="Q168" i="7" s="1"/>
  <c r="H401" i="52" s="1"/>
  <c r="J401" i="52" s="1"/>
  <c r="Z64" i="7"/>
  <c r="Q132" i="7"/>
  <c r="Q164" i="7" s="1"/>
  <c r="H397" i="52" s="1"/>
  <c r="J397" i="52" s="1"/>
  <c r="Q128" i="7"/>
  <c r="AA128" i="7" s="1"/>
  <c r="Z67" i="7"/>
  <c r="Q135" i="7"/>
  <c r="Q167" i="7" s="1"/>
  <c r="H400" i="52" s="1"/>
  <c r="J400" i="52" s="1"/>
  <c r="Q131" i="7"/>
  <c r="Q163" i="7" s="1"/>
  <c r="H396" i="52" s="1"/>
  <c r="J396" i="52" s="1"/>
  <c r="Q127" i="7"/>
  <c r="Q159" i="7" s="1"/>
  <c r="H392" i="52" s="1"/>
  <c r="J392" i="52" s="1"/>
  <c r="Q126" i="7"/>
  <c r="Q158" i="7" s="1"/>
  <c r="H391" i="52" s="1"/>
  <c r="Z66" i="7"/>
  <c r="Q134" i="7"/>
  <c r="Q166" i="7" s="1"/>
  <c r="H399" i="52" s="1"/>
  <c r="J399" i="52" s="1"/>
  <c r="Z62" i="7"/>
  <c r="Q130" i="7"/>
  <c r="Q162" i="7" s="1"/>
  <c r="H395" i="52" s="1"/>
  <c r="J395" i="52" s="1"/>
  <c r="Z61" i="7"/>
  <c r="Z60" i="7"/>
  <c r="Z63" i="7"/>
  <c r="Z59" i="7"/>
  <c r="Z58" i="7"/>
  <c r="AI77" i="7"/>
  <c r="B14" i="7"/>
  <c r="D40" i="26"/>
  <c r="H29" i="26"/>
  <c r="H28" i="26"/>
  <c r="H27" i="26"/>
  <c r="H26" i="26"/>
  <c r="H25" i="26"/>
  <c r="H24" i="26"/>
  <c r="H23" i="26"/>
  <c r="H22" i="26"/>
  <c r="H21" i="26"/>
  <c r="S52" i="129" l="1"/>
  <c r="AH52" i="129" s="1"/>
  <c r="S337" i="129"/>
  <c r="Q336" i="129"/>
  <c r="M423" i="127"/>
  <c r="AH274" i="127"/>
  <c r="G9" i="127" s="1"/>
  <c r="Q338" i="128"/>
  <c r="S52" i="127"/>
  <c r="AH52" i="127" s="1"/>
  <c r="S337" i="127"/>
  <c r="S337" i="128"/>
  <c r="S52" i="128"/>
  <c r="AH52" i="128" s="1"/>
  <c r="S53" i="127"/>
  <c r="AH53" i="127" s="1"/>
  <c r="S338" i="127"/>
  <c r="Q333" i="129"/>
  <c r="S335" i="128"/>
  <c r="S50" i="128"/>
  <c r="AH50" i="128" s="1"/>
  <c r="M382" i="129"/>
  <c r="N382" i="129" s="1"/>
  <c r="Q382" i="129" s="1"/>
  <c r="S382" i="129" s="1"/>
  <c r="T382" i="129" s="1"/>
  <c r="X401" i="129" s="1"/>
  <c r="M380" i="129"/>
  <c r="N380" i="129" s="1"/>
  <c r="Q380" i="129" s="1"/>
  <c r="S380" i="129" s="1"/>
  <c r="T380" i="129" s="1"/>
  <c r="X399" i="129" s="1"/>
  <c r="M375" i="129"/>
  <c r="N375" i="129" s="1"/>
  <c r="Q375" i="129" s="1"/>
  <c r="S375" i="129" s="1"/>
  <c r="T375" i="129" s="1"/>
  <c r="M383" i="129"/>
  <c r="N383" i="129" s="1"/>
  <c r="Q383" i="129" s="1"/>
  <c r="S383" i="129" s="1"/>
  <c r="T383" i="129" s="1"/>
  <c r="X402" i="129" s="1"/>
  <c r="M376" i="129"/>
  <c r="N376" i="129" s="1"/>
  <c r="Q376" i="129" s="1"/>
  <c r="S376" i="129" s="1"/>
  <c r="T376" i="129" s="1"/>
  <c r="M374" i="129"/>
  <c r="N374" i="129" s="1"/>
  <c r="Q374" i="129" s="1"/>
  <c r="S374" i="129" s="1"/>
  <c r="T374" i="129" s="1"/>
  <c r="F404" i="129"/>
  <c r="M378" i="129"/>
  <c r="N378" i="129" s="1"/>
  <c r="Q378" i="129" s="1"/>
  <c r="S378" i="129" s="1"/>
  <c r="T378" i="129" s="1"/>
  <c r="X397" i="129" s="1"/>
  <c r="M377" i="129"/>
  <c r="N377" i="129" s="1"/>
  <c r="Q377" i="129" s="1"/>
  <c r="S377" i="129" s="1"/>
  <c r="T377" i="129" s="1"/>
  <c r="X396" i="129" s="1"/>
  <c r="M379" i="129"/>
  <c r="N379" i="129" s="1"/>
  <c r="Q379" i="129" s="1"/>
  <c r="S379" i="129" s="1"/>
  <c r="T379" i="129" s="1"/>
  <c r="X398" i="129" s="1"/>
  <c r="M373" i="129"/>
  <c r="N373" i="129" s="1"/>
  <c r="Q373" i="129" s="1"/>
  <c r="S373" i="129" s="1"/>
  <c r="T373" i="129" s="1"/>
  <c r="X392" i="129" s="1"/>
  <c r="M372" i="129"/>
  <c r="N372" i="129" s="1"/>
  <c r="Q372" i="129" s="1"/>
  <c r="S372" i="129" s="1"/>
  <c r="T372" i="129" s="1"/>
  <c r="X391" i="129" s="1"/>
  <c r="M381" i="129"/>
  <c r="N381" i="129" s="1"/>
  <c r="Q381" i="129" s="1"/>
  <c r="S381" i="129" s="1"/>
  <c r="T381" i="129" s="1"/>
  <c r="X400" i="129" s="1"/>
  <c r="Q332" i="129"/>
  <c r="Q340" i="129"/>
  <c r="Q335" i="127"/>
  <c r="Q339" i="127"/>
  <c r="M377" i="128"/>
  <c r="N377" i="128" s="1"/>
  <c r="Q377" i="128" s="1"/>
  <c r="S377" i="128" s="1"/>
  <c r="T377" i="128" s="1"/>
  <c r="X396" i="128" s="1"/>
  <c r="M375" i="128"/>
  <c r="N375" i="128" s="1"/>
  <c r="Q375" i="128" s="1"/>
  <c r="S375" i="128" s="1"/>
  <c r="T375" i="128" s="1"/>
  <c r="M376" i="128"/>
  <c r="N376" i="128" s="1"/>
  <c r="Q376" i="128" s="1"/>
  <c r="S376" i="128" s="1"/>
  <c r="T376" i="128" s="1"/>
  <c r="M383" i="128"/>
  <c r="N383" i="128" s="1"/>
  <c r="Q383" i="128" s="1"/>
  <c r="S383" i="128" s="1"/>
  <c r="T383" i="128" s="1"/>
  <c r="X402" i="128" s="1"/>
  <c r="F404" i="128"/>
  <c r="M372" i="128"/>
  <c r="N372" i="128" s="1"/>
  <c r="Q372" i="128" s="1"/>
  <c r="S372" i="128" s="1"/>
  <c r="T372" i="128" s="1"/>
  <c r="X391" i="128" s="1"/>
  <c r="M382" i="128"/>
  <c r="N382" i="128" s="1"/>
  <c r="Q382" i="128" s="1"/>
  <c r="S382" i="128" s="1"/>
  <c r="T382" i="128" s="1"/>
  <c r="X401" i="128" s="1"/>
  <c r="M381" i="128"/>
  <c r="N381" i="128" s="1"/>
  <c r="Q381" i="128" s="1"/>
  <c r="S381" i="128" s="1"/>
  <c r="T381" i="128" s="1"/>
  <c r="X400" i="128" s="1"/>
  <c r="M374" i="128"/>
  <c r="N374" i="128" s="1"/>
  <c r="Q374" i="128" s="1"/>
  <c r="S374" i="128" s="1"/>
  <c r="T374" i="128" s="1"/>
  <c r="M379" i="128"/>
  <c r="N379" i="128" s="1"/>
  <c r="Q379" i="128" s="1"/>
  <c r="S379" i="128" s="1"/>
  <c r="T379" i="128" s="1"/>
  <c r="X398" i="128" s="1"/>
  <c r="M380" i="128"/>
  <c r="N380" i="128" s="1"/>
  <c r="Q380" i="128" s="1"/>
  <c r="S380" i="128" s="1"/>
  <c r="T380" i="128" s="1"/>
  <c r="X399" i="128" s="1"/>
  <c r="M378" i="128"/>
  <c r="N378" i="128" s="1"/>
  <c r="Q378" i="128" s="1"/>
  <c r="S378" i="128" s="1"/>
  <c r="T378" i="128" s="1"/>
  <c r="X397" i="128" s="1"/>
  <c r="M373" i="128"/>
  <c r="N373" i="128" s="1"/>
  <c r="Q373" i="128" s="1"/>
  <c r="S373" i="128" s="1"/>
  <c r="T373" i="128" s="1"/>
  <c r="X392" i="128" s="1"/>
  <c r="S334" i="128"/>
  <c r="S49" i="128"/>
  <c r="AH49" i="128" s="1"/>
  <c r="Q333" i="127"/>
  <c r="S329" i="128"/>
  <c r="S44" i="128"/>
  <c r="Q336" i="127"/>
  <c r="Q331" i="129"/>
  <c r="S332" i="128"/>
  <c r="S47" i="128"/>
  <c r="AH47" i="128" s="1"/>
  <c r="Q329" i="127"/>
  <c r="S320" i="129"/>
  <c r="X320" i="129" s="1"/>
  <c r="AA320" i="129" s="1"/>
  <c r="J309" i="129"/>
  <c r="K309" i="129" s="1"/>
  <c r="J315" i="129"/>
  <c r="K315" i="129" s="1"/>
  <c r="J317" i="129"/>
  <c r="K317" i="129" s="1"/>
  <c r="J318" i="129"/>
  <c r="K318" i="129" s="1"/>
  <c r="J313" i="129"/>
  <c r="K313" i="129" s="1"/>
  <c r="S310" i="129"/>
  <c r="X310" i="129" s="1"/>
  <c r="J308" i="129"/>
  <c r="K308" i="129" s="1"/>
  <c r="S316" i="129"/>
  <c r="X316" i="129" s="1"/>
  <c r="S307" i="129"/>
  <c r="X307" i="129" s="1"/>
  <c r="S314" i="129"/>
  <c r="X314" i="129" s="1"/>
  <c r="S312" i="129"/>
  <c r="X312" i="129" s="1"/>
  <c r="J312" i="129"/>
  <c r="K312" i="129" s="1"/>
  <c r="S309" i="129"/>
  <c r="X309" i="129" s="1"/>
  <c r="S318" i="129"/>
  <c r="X318" i="129" s="1"/>
  <c r="K320" i="129"/>
  <c r="P320" i="129" s="1"/>
  <c r="S317" i="129"/>
  <c r="X317" i="129" s="1"/>
  <c r="J316" i="129"/>
  <c r="K316" i="129" s="1"/>
  <c r="J314" i="129"/>
  <c r="K314" i="129" s="1"/>
  <c r="J311" i="129"/>
  <c r="K311" i="129" s="1"/>
  <c r="S311" i="129"/>
  <c r="X311" i="129" s="1"/>
  <c r="J307" i="129"/>
  <c r="K307" i="129" s="1"/>
  <c r="S315" i="129"/>
  <c r="X315" i="129" s="1"/>
  <c r="AG35" i="129"/>
  <c r="S308" i="129"/>
  <c r="X308" i="129" s="1"/>
  <c r="S313" i="129"/>
  <c r="X313" i="129" s="1"/>
  <c r="J310" i="129"/>
  <c r="K310" i="129" s="1"/>
  <c r="M383" i="127"/>
  <c r="N383" i="127" s="1"/>
  <c r="Q383" i="127" s="1"/>
  <c r="S383" i="127" s="1"/>
  <c r="T383" i="127" s="1"/>
  <c r="X402" i="127" s="1"/>
  <c r="M378" i="127"/>
  <c r="N378" i="127" s="1"/>
  <c r="Q378" i="127" s="1"/>
  <c r="S378" i="127" s="1"/>
  <c r="T378" i="127" s="1"/>
  <c r="X397" i="127" s="1"/>
  <c r="M377" i="127"/>
  <c r="N377" i="127" s="1"/>
  <c r="Q377" i="127" s="1"/>
  <c r="S377" i="127" s="1"/>
  <c r="T377" i="127" s="1"/>
  <c r="X396" i="127" s="1"/>
  <c r="M373" i="127"/>
  <c r="N373" i="127" s="1"/>
  <c r="Q373" i="127" s="1"/>
  <c r="S373" i="127" s="1"/>
  <c r="T373" i="127" s="1"/>
  <c r="X392" i="127" s="1"/>
  <c r="M380" i="127"/>
  <c r="N380" i="127" s="1"/>
  <c r="Q380" i="127" s="1"/>
  <c r="S380" i="127" s="1"/>
  <c r="T380" i="127" s="1"/>
  <c r="X399" i="127" s="1"/>
  <c r="M376" i="127"/>
  <c r="N376" i="127" s="1"/>
  <c r="Q376" i="127" s="1"/>
  <c r="S376" i="127" s="1"/>
  <c r="T376" i="127" s="1"/>
  <c r="M381" i="127"/>
  <c r="N381" i="127" s="1"/>
  <c r="Q381" i="127" s="1"/>
  <c r="S381" i="127" s="1"/>
  <c r="T381" i="127" s="1"/>
  <c r="X400" i="127" s="1"/>
  <c r="M382" i="127"/>
  <c r="N382" i="127" s="1"/>
  <c r="Q382" i="127" s="1"/>
  <c r="S382" i="127" s="1"/>
  <c r="T382" i="127" s="1"/>
  <c r="X401" i="127" s="1"/>
  <c r="M372" i="127"/>
  <c r="N372" i="127" s="1"/>
  <c r="Q372" i="127" s="1"/>
  <c r="S372" i="127" s="1"/>
  <c r="T372" i="127" s="1"/>
  <c r="X391" i="127" s="1"/>
  <c r="F404" i="127"/>
  <c r="M379" i="127"/>
  <c r="N379" i="127" s="1"/>
  <c r="Q379" i="127" s="1"/>
  <c r="S379" i="127" s="1"/>
  <c r="T379" i="127" s="1"/>
  <c r="X398" i="127" s="1"/>
  <c r="M374" i="127"/>
  <c r="N374" i="127" s="1"/>
  <c r="Q374" i="127" s="1"/>
  <c r="S374" i="127" s="1"/>
  <c r="T374" i="127" s="1"/>
  <c r="M375" i="127"/>
  <c r="N375" i="127" s="1"/>
  <c r="Q375" i="127" s="1"/>
  <c r="S375" i="127" s="1"/>
  <c r="T375" i="127" s="1"/>
  <c r="Q336" i="128"/>
  <c r="S330" i="128"/>
  <c r="S45" i="128"/>
  <c r="AH45" i="128" s="1"/>
  <c r="Q338" i="129"/>
  <c r="Q334" i="129"/>
  <c r="Q340" i="127"/>
  <c r="S340" i="128"/>
  <c r="S55" i="128"/>
  <c r="AH55" i="128" s="1"/>
  <c r="Q335" i="129"/>
  <c r="Q331" i="128"/>
  <c r="Q334" i="127"/>
  <c r="S314" i="127"/>
  <c r="X314" i="127" s="1"/>
  <c r="S312" i="127"/>
  <c r="X312" i="127" s="1"/>
  <c r="J315" i="127"/>
  <c r="K315" i="127" s="1"/>
  <c r="J313" i="127"/>
  <c r="K313" i="127" s="1"/>
  <c r="S318" i="127"/>
  <c r="X318" i="127" s="1"/>
  <c r="S311" i="127"/>
  <c r="X311" i="127" s="1"/>
  <c r="S309" i="127"/>
  <c r="X309" i="127" s="1"/>
  <c r="S310" i="127"/>
  <c r="X310" i="127" s="1"/>
  <c r="K320" i="127"/>
  <c r="P320" i="127" s="1"/>
  <c r="J307" i="127"/>
  <c r="K307" i="127" s="1"/>
  <c r="S315" i="127"/>
  <c r="X315" i="127" s="1"/>
  <c r="S308" i="127"/>
  <c r="X308" i="127" s="1"/>
  <c r="S313" i="127"/>
  <c r="X313" i="127" s="1"/>
  <c r="J312" i="127"/>
  <c r="K312" i="127" s="1"/>
  <c r="J309" i="127"/>
  <c r="K309" i="127" s="1"/>
  <c r="J317" i="127"/>
  <c r="K317" i="127" s="1"/>
  <c r="J318" i="127"/>
  <c r="K318" i="127" s="1"/>
  <c r="J310" i="127"/>
  <c r="K310" i="127" s="1"/>
  <c r="S320" i="127"/>
  <c r="X320" i="127" s="1"/>
  <c r="AA320" i="127" s="1"/>
  <c r="AG35" i="127"/>
  <c r="S317" i="127"/>
  <c r="X317" i="127" s="1"/>
  <c r="S307" i="127"/>
  <c r="X307" i="127" s="1"/>
  <c r="J308" i="127"/>
  <c r="K308" i="127" s="1"/>
  <c r="J316" i="127"/>
  <c r="K316" i="127" s="1"/>
  <c r="J314" i="127"/>
  <c r="K314" i="127" s="1"/>
  <c r="J311" i="127"/>
  <c r="K311" i="127" s="1"/>
  <c r="S316" i="127"/>
  <c r="X316" i="127" s="1"/>
  <c r="S332" i="127"/>
  <c r="S47" i="127"/>
  <c r="AH47" i="127" s="1"/>
  <c r="S339" i="129"/>
  <c r="S54" i="129"/>
  <c r="AH54" i="129" s="1"/>
  <c r="Q330" i="127"/>
  <c r="S333" i="128"/>
  <c r="S48" i="128"/>
  <c r="AH48" i="128" s="1"/>
  <c r="S308" i="128"/>
  <c r="X308" i="128" s="1"/>
  <c r="J307" i="128"/>
  <c r="K307" i="128" s="1"/>
  <c r="S320" i="128"/>
  <c r="X320" i="128" s="1"/>
  <c r="AA320" i="128" s="1"/>
  <c r="J313" i="128"/>
  <c r="K313" i="128" s="1"/>
  <c r="S318" i="128"/>
  <c r="X318" i="128" s="1"/>
  <c r="S316" i="128"/>
  <c r="X316" i="128" s="1"/>
  <c r="J318" i="128"/>
  <c r="K318" i="128" s="1"/>
  <c r="S315" i="128"/>
  <c r="X315" i="128" s="1"/>
  <c r="S312" i="128"/>
  <c r="X312" i="128" s="1"/>
  <c r="J315" i="128"/>
  <c r="K315" i="128" s="1"/>
  <c r="S307" i="128"/>
  <c r="X307" i="128" s="1"/>
  <c r="S314" i="128"/>
  <c r="X314" i="128" s="1"/>
  <c r="J314" i="128"/>
  <c r="K314" i="128" s="1"/>
  <c r="S309" i="128"/>
  <c r="X309" i="128" s="1"/>
  <c r="J317" i="128"/>
  <c r="K317" i="128" s="1"/>
  <c r="S310" i="128"/>
  <c r="X310" i="128" s="1"/>
  <c r="S311" i="128"/>
  <c r="X311" i="128" s="1"/>
  <c r="S317" i="128"/>
  <c r="X317" i="128" s="1"/>
  <c r="AG35" i="128"/>
  <c r="S313" i="128"/>
  <c r="X313" i="128" s="1"/>
  <c r="J312" i="128"/>
  <c r="K312" i="128" s="1"/>
  <c r="J308" i="128"/>
  <c r="K308" i="128" s="1"/>
  <c r="J316" i="128"/>
  <c r="K316" i="128" s="1"/>
  <c r="J310" i="128"/>
  <c r="K310" i="128" s="1"/>
  <c r="K320" i="128"/>
  <c r="P320" i="128" s="1"/>
  <c r="J311" i="128"/>
  <c r="K311" i="128" s="1"/>
  <c r="J309" i="128"/>
  <c r="K309" i="128" s="1"/>
  <c r="Q329" i="129"/>
  <c r="Q331" i="127"/>
  <c r="S339" i="128"/>
  <c r="S54" i="128"/>
  <c r="AH54" i="128" s="1"/>
  <c r="Q330" i="129"/>
  <c r="J391" i="52"/>
  <c r="AF77" i="7"/>
  <c r="AK77" i="7"/>
  <c r="P335" i="52"/>
  <c r="Q342" i="52"/>
  <c r="P339" i="52"/>
  <c r="P332" i="52"/>
  <c r="P331" i="52"/>
  <c r="P340" i="52"/>
  <c r="P334" i="52"/>
  <c r="P336" i="52"/>
  <c r="P330" i="52"/>
  <c r="P333" i="52"/>
  <c r="P338" i="52"/>
  <c r="P337" i="52"/>
  <c r="H337" i="52"/>
  <c r="J337" i="52" s="1"/>
  <c r="K337" i="52" s="1"/>
  <c r="K342" i="52"/>
  <c r="H330" i="52"/>
  <c r="J330" i="52" s="1"/>
  <c r="K330" i="52" s="1"/>
  <c r="H340" i="52"/>
  <c r="J340" i="52" s="1"/>
  <c r="K340" i="52" s="1"/>
  <c r="H334" i="52"/>
  <c r="J334" i="52" s="1"/>
  <c r="K334" i="52" s="1"/>
  <c r="H336" i="52"/>
  <c r="J336" i="52" s="1"/>
  <c r="K336" i="52" s="1"/>
  <c r="H333" i="52"/>
  <c r="J333" i="52" s="1"/>
  <c r="K333" i="52" s="1"/>
  <c r="H332" i="52"/>
  <c r="J332" i="52" s="1"/>
  <c r="K332" i="52" s="1"/>
  <c r="H339" i="52"/>
  <c r="J339" i="52" s="1"/>
  <c r="K339" i="52" s="1"/>
  <c r="H338" i="52"/>
  <c r="J338" i="52" s="1"/>
  <c r="K338" i="52" s="1"/>
  <c r="H331" i="52"/>
  <c r="J331" i="52" s="1"/>
  <c r="K331" i="52" s="1"/>
  <c r="H335" i="52"/>
  <c r="J335" i="52" s="1"/>
  <c r="K335" i="52" s="1"/>
  <c r="AG35" i="52"/>
  <c r="S312" i="52"/>
  <c r="X312" i="52" s="1"/>
  <c r="S316" i="52"/>
  <c r="X316" i="52" s="1"/>
  <c r="J317" i="52"/>
  <c r="K317" i="52" s="1"/>
  <c r="S308" i="52"/>
  <c r="X308" i="52" s="1"/>
  <c r="S314" i="52"/>
  <c r="X314" i="52" s="1"/>
  <c r="J316" i="52"/>
  <c r="K316" i="52" s="1"/>
  <c r="J318" i="52"/>
  <c r="K318" i="52" s="1"/>
  <c r="S307" i="52"/>
  <c r="X307" i="52" s="1"/>
  <c r="S320" i="52"/>
  <c r="X320" i="52" s="1"/>
  <c r="AA320" i="52" s="1"/>
  <c r="J313" i="52"/>
  <c r="K313" i="52" s="1"/>
  <c r="J310" i="52"/>
  <c r="K310" i="52" s="1"/>
  <c r="J314" i="52"/>
  <c r="K314" i="52" s="1"/>
  <c r="S309" i="52"/>
  <c r="X309" i="52" s="1"/>
  <c r="J315" i="52"/>
  <c r="K315" i="52" s="1"/>
  <c r="J311" i="52"/>
  <c r="K311" i="52" s="1"/>
  <c r="S310" i="52"/>
  <c r="X310" i="52" s="1"/>
  <c r="J307" i="52"/>
  <c r="K307" i="52" s="1"/>
  <c r="J308" i="52"/>
  <c r="K308" i="52" s="1"/>
  <c r="S317" i="52"/>
  <c r="X317" i="52" s="1"/>
  <c r="J309" i="52"/>
  <c r="K309" i="52" s="1"/>
  <c r="S315" i="52"/>
  <c r="X315" i="52" s="1"/>
  <c r="S313" i="52"/>
  <c r="X313" i="52" s="1"/>
  <c r="K320" i="52"/>
  <c r="P320" i="52" s="1"/>
  <c r="S311" i="52"/>
  <c r="X311" i="52" s="1"/>
  <c r="S318" i="52"/>
  <c r="X318" i="52" s="1"/>
  <c r="J312" i="52"/>
  <c r="K312" i="52" s="1"/>
  <c r="P329" i="52"/>
  <c r="Q160" i="7"/>
  <c r="Z162" i="7"/>
  <c r="Z164" i="7"/>
  <c r="Z165" i="7"/>
  <c r="Z169" i="7"/>
  <c r="Z167" i="7"/>
  <c r="Z159" i="7"/>
  <c r="Z161" i="7"/>
  <c r="Z168" i="7"/>
  <c r="Z166" i="7"/>
  <c r="Z158" i="7"/>
  <c r="Z163" i="7"/>
  <c r="M309" i="128" l="1"/>
  <c r="P309" i="128"/>
  <c r="M422" i="128"/>
  <c r="G6" i="128"/>
  <c r="Z307" i="128"/>
  <c r="AA307" i="128"/>
  <c r="Z317" i="127"/>
  <c r="AA317" i="127"/>
  <c r="Z313" i="127"/>
  <c r="AA313" i="127"/>
  <c r="Z318" i="127"/>
  <c r="AA318" i="127"/>
  <c r="M422" i="129"/>
  <c r="G6" i="129"/>
  <c r="M308" i="129"/>
  <c r="P308" i="129"/>
  <c r="S44" i="127"/>
  <c r="S329" i="127"/>
  <c r="S50" i="127"/>
  <c r="AH50" i="127" s="1"/>
  <c r="S335" i="127"/>
  <c r="S329" i="129"/>
  <c r="S44" i="129"/>
  <c r="M312" i="127"/>
  <c r="P312" i="127"/>
  <c r="S50" i="129"/>
  <c r="AH50" i="129" s="1"/>
  <c r="S335" i="129"/>
  <c r="M311" i="128"/>
  <c r="P311" i="128"/>
  <c r="Z317" i="128"/>
  <c r="AA317" i="128"/>
  <c r="M315" i="128"/>
  <c r="P315" i="128"/>
  <c r="M307" i="128"/>
  <c r="P307" i="128"/>
  <c r="M422" i="127"/>
  <c r="G6" i="127"/>
  <c r="Z308" i="127"/>
  <c r="AA308" i="127"/>
  <c r="M313" i="127"/>
  <c r="P313" i="127"/>
  <c r="Z315" i="129"/>
  <c r="AA315" i="129"/>
  <c r="Z318" i="129"/>
  <c r="AA318" i="129"/>
  <c r="Z310" i="129"/>
  <c r="P47" i="129" s="1"/>
  <c r="AG47" i="129" s="1"/>
  <c r="AA310" i="129"/>
  <c r="S55" i="129"/>
  <c r="AH55" i="129" s="1"/>
  <c r="S340" i="129"/>
  <c r="K404" i="129"/>
  <c r="AG220" i="129"/>
  <c r="S53" i="128"/>
  <c r="AH53" i="128" s="1"/>
  <c r="S338" i="128"/>
  <c r="Z313" i="128"/>
  <c r="AA313" i="128"/>
  <c r="Z307" i="127"/>
  <c r="AA307" i="127"/>
  <c r="S51" i="128"/>
  <c r="AH51" i="128" s="1"/>
  <c r="S336" i="128"/>
  <c r="S339" i="127"/>
  <c r="S54" i="127"/>
  <c r="AH54" i="127" s="1"/>
  <c r="Z311" i="128"/>
  <c r="P48" i="128" s="1"/>
  <c r="AG48" i="128" s="1"/>
  <c r="AA311" i="128"/>
  <c r="Z312" i="128"/>
  <c r="AA312" i="128"/>
  <c r="Z308" i="128"/>
  <c r="AA308" i="128"/>
  <c r="Z316" i="127"/>
  <c r="AA316" i="127"/>
  <c r="Z315" i="127"/>
  <c r="AA315" i="127"/>
  <c r="M315" i="127"/>
  <c r="P315" i="127"/>
  <c r="S340" i="127"/>
  <c r="S55" i="127"/>
  <c r="AH55" i="127" s="1"/>
  <c r="M307" i="129"/>
  <c r="P307" i="129"/>
  <c r="Z309" i="129"/>
  <c r="P46" i="129" s="1"/>
  <c r="AA309" i="129"/>
  <c r="M313" i="129"/>
  <c r="P313" i="129"/>
  <c r="AG220" i="128"/>
  <c r="K404" i="128"/>
  <c r="S332" i="129"/>
  <c r="S47" i="129"/>
  <c r="AH47" i="129" s="1"/>
  <c r="S333" i="129"/>
  <c r="S48" i="129"/>
  <c r="AH48" i="129" s="1"/>
  <c r="M313" i="128"/>
  <c r="P313" i="128"/>
  <c r="Z308" i="129"/>
  <c r="AA308" i="129"/>
  <c r="S330" i="129"/>
  <c r="S45" i="129"/>
  <c r="AH45" i="129" s="1"/>
  <c r="M310" i="128"/>
  <c r="P310" i="128"/>
  <c r="Z310" i="128"/>
  <c r="P47" i="128" s="1"/>
  <c r="AG47" i="128" s="1"/>
  <c r="AA310" i="128"/>
  <c r="Z315" i="128"/>
  <c r="AA315" i="128"/>
  <c r="M311" i="127"/>
  <c r="P311" i="127"/>
  <c r="M310" i="127"/>
  <c r="P310" i="127"/>
  <c r="M307" i="127"/>
  <c r="P307" i="127"/>
  <c r="Z312" i="127"/>
  <c r="AA312" i="127"/>
  <c r="S334" i="129"/>
  <c r="S49" i="129"/>
  <c r="AH49" i="129" s="1"/>
  <c r="K404" i="127"/>
  <c r="AG220" i="127"/>
  <c r="Z311" i="129"/>
  <c r="P48" i="129" s="1"/>
  <c r="AG48" i="129" s="1"/>
  <c r="AA311" i="129"/>
  <c r="M312" i="129"/>
  <c r="P312" i="129"/>
  <c r="M318" i="129"/>
  <c r="P318" i="129"/>
  <c r="S331" i="129"/>
  <c r="S46" i="129"/>
  <c r="AH46" i="129" s="1"/>
  <c r="Z317" i="129"/>
  <c r="AA317" i="129"/>
  <c r="S48" i="127"/>
  <c r="AH48" i="127" s="1"/>
  <c r="S333" i="127"/>
  <c r="M316" i="128"/>
  <c r="P316" i="128"/>
  <c r="M317" i="128"/>
  <c r="P317" i="128"/>
  <c r="M318" i="128"/>
  <c r="P318" i="128"/>
  <c r="M314" i="127"/>
  <c r="P314" i="127"/>
  <c r="M318" i="127"/>
  <c r="P318" i="127"/>
  <c r="Z314" i="127"/>
  <c r="AA314" i="127"/>
  <c r="S338" i="129"/>
  <c r="S53" i="129"/>
  <c r="AH53" i="129" s="1"/>
  <c r="M311" i="129"/>
  <c r="P311" i="129"/>
  <c r="Z312" i="129"/>
  <c r="AA312" i="129"/>
  <c r="M317" i="129"/>
  <c r="P317" i="129"/>
  <c r="S336" i="127"/>
  <c r="S51" i="127"/>
  <c r="AH51" i="127" s="1"/>
  <c r="S336" i="129"/>
  <c r="S51" i="129"/>
  <c r="AH51" i="129" s="1"/>
  <c r="Z314" i="128"/>
  <c r="AA314" i="128"/>
  <c r="M308" i="128"/>
  <c r="P308" i="128"/>
  <c r="Z309" i="128"/>
  <c r="P46" i="128" s="1"/>
  <c r="AA309" i="128"/>
  <c r="Z316" i="128"/>
  <c r="AA316" i="128"/>
  <c r="S330" i="127"/>
  <c r="S45" i="127"/>
  <c r="AH45" i="127" s="1"/>
  <c r="M316" i="127"/>
  <c r="P316" i="127"/>
  <c r="M317" i="127"/>
  <c r="P317" i="127"/>
  <c r="Z310" i="127"/>
  <c r="P47" i="127" s="1"/>
  <c r="AG47" i="127" s="1"/>
  <c r="AA310" i="127"/>
  <c r="S334" i="127"/>
  <c r="S49" i="127"/>
  <c r="AH49" i="127" s="1"/>
  <c r="M310" i="129"/>
  <c r="P310" i="129"/>
  <c r="M314" i="129"/>
  <c r="P314" i="129"/>
  <c r="Z314" i="129"/>
  <c r="AA314" i="129"/>
  <c r="M315" i="129"/>
  <c r="P315" i="129"/>
  <c r="AH44" i="128"/>
  <c r="S58" i="128"/>
  <c r="H8" i="128"/>
  <c r="Z311" i="127"/>
  <c r="P48" i="127" s="1"/>
  <c r="AG48" i="127" s="1"/>
  <c r="AA311" i="127"/>
  <c r="Z316" i="129"/>
  <c r="AA316" i="129"/>
  <c r="S46" i="127"/>
  <c r="AH46" i="127" s="1"/>
  <c r="S331" i="127"/>
  <c r="M312" i="128"/>
  <c r="P312" i="128"/>
  <c r="M314" i="128"/>
  <c r="P314" i="128"/>
  <c r="Z318" i="128"/>
  <c r="AA318" i="128"/>
  <c r="M308" i="127"/>
  <c r="P308" i="127"/>
  <c r="M309" i="127"/>
  <c r="P309" i="127"/>
  <c r="Z309" i="127"/>
  <c r="P46" i="127" s="1"/>
  <c r="AA309" i="127"/>
  <c r="S331" i="128"/>
  <c r="S46" i="128"/>
  <c r="AH46" i="128" s="1"/>
  <c r="Z313" i="129"/>
  <c r="AA313" i="129"/>
  <c r="M316" i="129"/>
  <c r="P316" i="129"/>
  <c r="Z307" i="129"/>
  <c r="Z320" i="129" s="1"/>
  <c r="AA307" i="129"/>
  <c r="M309" i="129"/>
  <c r="P309" i="129"/>
  <c r="AA135" i="7"/>
  <c r="AA136" i="7" s="1"/>
  <c r="H393" i="52"/>
  <c r="G6" i="52"/>
  <c r="M422" i="52"/>
  <c r="Q336" i="52"/>
  <c r="S51" i="52" s="1"/>
  <c r="AH51" i="52" s="1"/>
  <c r="Q340" i="52"/>
  <c r="S55" i="52" s="1"/>
  <c r="AH55" i="52" s="1"/>
  <c r="Q331" i="52"/>
  <c r="S46" i="52" s="1"/>
  <c r="AH46" i="52" s="1"/>
  <c r="Q334" i="52"/>
  <c r="S49" i="52" s="1"/>
  <c r="AH49" i="52" s="1"/>
  <c r="Q329" i="52"/>
  <c r="S44" i="52" s="1"/>
  <c r="AH44" i="52" s="1"/>
  <c r="Q332" i="52"/>
  <c r="S47" i="52" s="1"/>
  <c r="AH47" i="52" s="1"/>
  <c r="Q339" i="52"/>
  <c r="S339" i="52" s="1"/>
  <c r="Q338" i="52"/>
  <c r="S53" i="52" s="1"/>
  <c r="AH53" i="52" s="1"/>
  <c r="Q337" i="52"/>
  <c r="S52" i="52" s="1"/>
  <c r="AH52" i="52" s="1"/>
  <c r="Q333" i="52"/>
  <c r="S48" i="52" s="1"/>
  <c r="AH48" i="52" s="1"/>
  <c r="Z317" i="52"/>
  <c r="AA317" i="52"/>
  <c r="M318" i="52"/>
  <c r="P318" i="52"/>
  <c r="M308" i="52"/>
  <c r="P308" i="52"/>
  <c r="M316" i="52"/>
  <c r="P316" i="52"/>
  <c r="Z310" i="52"/>
  <c r="P47" i="52" s="1"/>
  <c r="AG47" i="52" s="1"/>
  <c r="AA310" i="52"/>
  <c r="Z308" i="52"/>
  <c r="AA308" i="52"/>
  <c r="M311" i="52"/>
  <c r="P311" i="52"/>
  <c r="M317" i="52"/>
  <c r="P317" i="52"/>
  <c r="M312" i="52"/>
  <c r="P312" i="52"/>
  <c r="M315" i="52"/>
  <c r="P315" i="52"/>
  <c r="Z316" i="52"/>
  <c r="AA316" i="52"/>
  <c r="M307" i="52"/>
  <c r="P307" i="52"/>
  <c r="Z318" i="52"/>
  <c r="AA318" i="52"/>
  <c r="Z309" i="52"/>
  <c r="P46" i="52" s="1"/>
  <c r="AG46" i="52" s="1"/>
  <c r="AA309" i="52"/>
  <c r="Z312" i="52"/>
  <c r="AA312" i="52"/>
  <c r="Z311" i="52"/>
  <c r="P48" i="52" s="1"/>
  <c r="AG48" i="52" s="1"/>
  <c r="AA311" i="52"/>
  <c r="M314" i="52"/>
  <c r="P314" i="52"/>
  <c r="M310" i="52"/>
  <c r="P310" i="52"/>
  <c r="Z314" i="52"/>
  <c r="AA314" i="52"/>
  <c r="Z313" i="52"/>
  <c r="AA313" i="52"/>
  <c r="M313" i="52"/>
  <c r="P313" i="52"/>
  <c r="Q330" i="52"/>
  <c r="S342" i="52"/>
  <c r="Z315" i="52"/>
  <c r="AA315" i="52"/>
  <c r="Q335" i="52"/>
  <c r="M309" i="52"/>
  <c r="P309" i="52"/>
  <c r="Z307" i="52"/>
  <c r="AA307" i="52"/>
  <c r="Z160" i="7"/>
  <c r="P58" i="128" l="1"/>
  <c r="AG46" i="128"/>
  <c r="H7" i="128"/>
  <c r="M320" i="127"/>
  <c r="Z320" i="127"/>
  <c r="F402" i="127"/>
  <c r="K402" i="127" s="1"/>
  <c r="N402" i="127" s="1"/>
  <c r="F400" i="127"/>
  <c r="K400" i="127" s="1"/>
  <c r="N400" i="127" s="1"/>
  <c r="F391" i="127"/>
  <c r="K391" i="127" s="1"/>
  <c r="N391" i="127" s="1"/>
  <c r="F398" i="127"/>
  <c r="K398" i="127" s="1"/>
  <c r="N398" i="127" s="1"/>
  <c r="G10" i="127"/>
  <c r="M424" i="127"/>
  <c r="F394" i="127"/>
  <c r="K394" i="127" s="1"/>
  <c r="N394" i="127" s="1"/>
  <c r="F396" i="127"/>
  <c r="K396" i="127" s="1"/>
  <c r="N396" i="127" s="1"/>
  <c r="F401" i="127"/>
  <c r="K401" i="127" s="1"/>
  <c r="N401" i="127" s="1"/>
  <c r="F392" i="127"/>
  <c r="K392" i="127" s="1"/>
  <c r="N392" i="127" s="1"/>
  <c r="F399" i="127"/>
  <c r="K399" i="127" s="1"/>
  <c r="N399" i="127" s="1"/>
  <c r="F397" i="127"/>
  <c r="K397" i="127" s="1"/>
  <c r="N397" i="127" s="1"/>
  <c r="F395" i="127"/>
  <c r="K395" i="127" s="1"/>
  <c r="N395" i="127" s="1"/>
  <c r="F393" i="127"/>
  <c r="K393" i="127" s="1"/>
  <c r="N393" i="127" s="1"/>
  <c r="AH44" i="129"/>
  <c r="H8" i="129"/>
  <c r="S58" i="129"/>
  <c r="P58" i="127"/>
  <c r="H7" i="127"/>
  <c r="AG46" i="127"/>
  <c r="N404" i="127"/>
  <c r="AG218" i="127"/>
  <c r="P58" i="129"/>
  <c r="AG46" i="129"/>
  <c r="H7" i="129"/>
  <c r="Z320" i="128"/>
  <c r="M320" i="129"/>
  <c r="N404" i="128"/>
  <c r="AG218" i="128"/>
  <c r="F400" i="129"/>
  <c r="K400" i="129" s="1"/>
  <c r="N400" i="129" s="1"/>
  <c r="F391" i="129"/>
  <c r="K391" i="129" s="1"/>
  <c r="N391" i="129" s="1"/>
  <c r="F396" i="129"/>
  <c r="K396" i="129" s="1"/>
  <c r="N396" i="129" s="1"/>
  <c r="F401" i="129"/>
  <c r="K401" i="129" s="1"/>
  <c r="N401" i="129" s="1"/>
  <c r="F398" i="129"/>
  <c r="K398" i="129" s="1"/>
  <c r="N398" i="129" s="1"/>
  <c r="G10" i="129"/>
  <c r="F399" i="129"/>
  <c r="K399" i="129" s="1"/>
  <c r="N399" i="129" s="1"/>
  <c r="F392" i="129"/>
  <c r="K392" i="129" s="1"/>
  <c r="N392" i="129" s="1"/>
  <c r="F395" i="129"/>
  <c r="K395" i="129" s="1"/>
  <c r="N395" i="129" s="1"/>
  <c r="M424" i="129"/>
  <c r="F397" i="129"/>
  <c r="K397" i="129" s="1"/>
  <c r="N397" i="129" s="1"/>
  <c r="F402" i="129"/>
  <c r="K402" i="129" s="1"/>
  <c r="N402" i="129" s="1"/>
  <c r="F393" i="129"/>
  <c r="K393" i="129" s="1"/>
  <c r="N393" i="129" s="1"/>
  <c r="F394" i="129"/>
  <c r="K394" i="129" s="1"/>
  <c r="N394" i="129" s="1"/>
  <c r="F394" i="128"/>
  <c r="K394" i="128" s="1"/>
  <c r="N394" i="128" s="1"/>
  <c r="F399" i="128"/>
  <c r="K399" i="128" s="1"/>
  <c r="N399" i="128" s="1"/>
  <c r="F397" i="128"/>
  <c r="K397" i="128" s="1"/>
  <c r="N397" i="128" s="1"/>
  <c r="G10" i="128"/>
  <c r="M424" i="128"/>
  <c r="F395" i="128"/>
  <c r="K395" i="128" s="1"/>
  <c r="N395" i="128" s="1"/>
  <c r="F396" i="128"/>
  <c r="K396" i="128" s="1"/>
  <c r="N396" i="128" s="1"/>
  <c r="F402" i="128"/>
  <c r="K402" i="128" s="1"/>
  <c r="N402" i="128" s="1"/>
  <c r="F398" i="128"/>
  <c r="K398" i="128" s="1"/>
  <c r="N398" i="128" s="1"/>
  <c r="F401" i="128"/>
  <c r="K401" i="128" s="1"/>
  <c r="N401" i="128" s="1"/>
  <c r="F393" i="128"/>
  <c r="K393" i="128" s="1"/>
  <c r="N393" i="128" s="1"/>
  <c r="F391" i="128"/>
  <c r="K391" i="128" s="1"/>
  <c r="N391" i="128" s="1"/>
  <c r="F392" i="128"/>
  <c r="K392" i="128" s="1"/>
  <c r="N392" i="128" s="1"/>
  <c r="F400" i="128"/>
  <c r="K400" i="128" s="1"/>
  <c r="N400" i="128" s="1"/>
  <c r="AG218" i="129"/>
  <c r="N404" i="129"/>
  <c r="M320" i="128"/>
  <c r="AH44" i="127"/>
  <c r="S58" i="127"/>
  <c r="H8" i="127"/>
  <c r="J393" i="52"/>
  <c r="H404" i="52"/>
  <c r="J404" i="52" s="1"/>
  <c r="S331" i="52"/>
  <c r="S336" i="52"/>
  <c r="S334" i="52"/>
  <c r="S329" i="52"/>
  <c r="S54" i="52"/>
  <c r="AH54" i="52" s="1"/>
  <c r="S332" i="52"/>
  <c r="S340" i="52"/>
  <c r="S333" i="52"/>
  <c r="S338" i="52"/>
  <c r="S337" i="52"/>
  <c r="S330" i="52"/>
  <c r="S45" i="52"/>
  <c r="AH45" i="52" s="1"/>
  <c r="P44" i="52"/>
  <c r="AG44" i="52" s="1"/>
  <c r="Z320" i="52"/>
  <c r="M320" i="52"/>
  <c r="S50" i="52"/>
  <c r="AH50" i="52" s="1"/>
  <c r="S335" i="52"/>
  <c r="P397" i="127" l="1"/>
  <c r="AG216" i="129"/>
  <c r="G11" i="129" s="1"/>
  <c r="AN269" i="129"/>
  <c r="AP269" i="129" s="1"/>
  <c r="S404" i="129"/>
  <c r="AN259" i="129"/>
  <c r="AP259" i="129" s="1"/>
  <c r="P394" i="129"/>
  <c r="P391" i="127"/>
  <c r="P396" i="128"/>
  <c r="Q396" i="128" s="1"/>
  <c r="S396" i="128" s="1"/>
  <c r="P393" i="129"/>
  <c r="AN258" i="129"/>
  <c r="AP258" i="129" s="1"/>
  <c r="P398" i="129"/>
  <c r="P392" i="127"/>
  <c r="P400" i="127"/>
  <c r="P398" i="128"/>
  <c r="Q398" i="128" s="1"/>
  <c r="S398" i="128" s="1"/>
  <c r="N310" i="129"/>
  <c r="N315" i="129"/>
  <c r="N307" i="129"/>
  <c r="N308" i="129"/>
  <c r="N318" i="129"/>
  <c r="N309" i="129"/>
  <c r="N311" i="129"/>
  <c r="N314" i="129"/>
  <c r="N316" i="129"/>
  <c r="N312" i="129"/>
  <c r="N313" i="129"/>
  <c r="N317" i="129"/>
  <c r="P400" i="128"/>
  <c r="Q400" i="128" s="1"/>
  <c r="S400" i="128" s="1"/>
  <c r="P395" i="128"/>
  <c r="Q395" i="128" s="1"/>
  <c r="AN260" i="128"/>
  <c r="AP260" i="128" s="1"/>
  <c r="S395" i="128"/>
  <c r="P402" i="129"/>
  <c r="P401" i="129"/>
  <c r="P401" i="127"/>
  <c r="P402" i="127"/>
  <c r="AN259" i="128"/>
  <c r="AP259" i="128" s="1"/>
  <c r="P394" i="128"/>
  <c r="Q394" i="128" s="1"/>
  <c r="S394" i="128"/>
  <c r="P397" i="129"/>
  <c r="P396" i="129"/>
  <c r="P396" i="127"/>
  <c r="P399" i="129"/>
  <c r="S404" i="128"/>
  <c r="AN269" i="128"/>
  <c r="AP269" i="128" s="1"/>
  <c r="AG216" i="128"/>
  <c r="G11" i="128" s="1"/>
  <c r="P402" i="128"/>
  <c r="Q402" i="128" s="1"/>
  <c r="S402" i="128"/>
  <c r="P399" i="127"/>
  <c r="P392" i="128"/>
  <c r="Q392" i="128" s="1"/>
  <c r="S392" i="128"/>
  <c r="P391" i="128"/>
  <c r="P391" i="129"/>
  <c r="P394" i="127"/>
  <c r="AN259" i="127"/>
  <c r="AP259" i="127" s="1"/>
  <c r="N312" i="127"/>
  <c r="N316" i="127"/>
  <c r="N315" i="127"/>
  <c r="N307" i="127"/>
  <c r="N310" i="127"/>
  <c r="N314" i="127"/>
  <c r="N309" i="127"/>
  <c r="N308" i="127"/>
  <c r="N317" i="127"/>
  <c r="N311" i="127"/>
  <c r="N313" i="127"/>
  <c r="N318" i="127"/>
  <c r="N311" i="128"/>
  <c r="N312" i="128"/>
  <c r="N316" i="128"/>
  <c r="N309" i="128"/>
  <c r="N314" i="128"/>
  <c r="N310" i="128"/>
  <c r="N318" i="128"/>
  <c r="N307" i="128"/>
  <c r="N313" i="128"/>
  <c r="N317" i="128"/>
  <c r="N308" i="128"/>
  <c r="N315" i="128"/>
  <c r="P393" i="128"/>
  <c r="Q393" i="128" s="1"/>
  <c r="AN258" i="128"/>
  <c r="AP258" i="128" s="1"/>
  <c r="S393" i="128"/>
  <c r="P397" i="128"/>
  <c r="Q397" i="128" s="1"/>
  <c r="S397" i="128"/>
  <c r="AN260" i="129"/>
  <c r="AP260" i="129" s="1"/>
  <c r="P395" i="129"/>
  <c r="P400" i="129"/>
  <c r="AN258" i="127"/>
  <c r="AP258" i="127" s="1"/>
  <c r="P393" i="127"/>
  <c r="P401" i="128"/>
  <c r="Q401" i="128" s="1"/>
  <c r="S401" i="128"/>
  <c r="P399" i="128"/>
  <c r="Q399" i="128" s="1"/>
  <c r="S399" i="128"/>
  <c r="P392" i="129"/>
  <c r="AG216" i="127"/>
  <c r="G11" i="127" s="1"/>
  <c r="S404" i="127"/>
  <c r="AN269" i="127"/>
  <c r="AP269" i="127" s="1"/>
  <c r="P395" i="127"/>
  <c r="AN260" i="127"/>
  <c r="AP260" i="127" s="1"/>
  <c r="P398" i="127"/>
  <c r="H8" i="52"/>
  <c r="S58" i="52"/>
  <c r="H7" i="52"/>
  <c r="P58" i="52"/>
  <c r="N310" i="52"/>
  <c r="N318" i="52"/>
  <c r="N316" i="52"/>
  <c r="N312" i="52"/>
  <c r="N309" i="52"/>
  <c r="N311" i="52"/>
  <c r="N308" i="52"/>
  <c r="N314" i="52"/>
  <c r="N317" i="52"/>
  <c r="N315" i="52"/>
  <c r="N313" i="52"/>
  <c r="N307" i="52"/>
  <c r="L30" i="9"/>
  <c r="L29" i="9"/>
  <c r="L28" i="9"/>
  <c r="L27" i="9"/>
  <c r="L26" i="9"/>
  <c r="L25" i="9"/>
  <c r="L24" i="9"/>
  <c r="L23" i="9"/>
  <c r="L22" i="9"/>
  <c r="L21" i="9"/>
  <c r="M242" i="128" l="1"/>
  <c r="M262" i="128" s="1"/>
  <c r="M215" i="128" s="1"/>
  <c r="H242" i="128"/>
  <c r="H262" i="128" s="1"/>
  <c r="H215" i="128" s="1"/>
  <c r="J242" i="128"/>
  <c r="J262" i="128" s="1"/>
  <c r="J215" i="128" s="1"/>
  <c r="G242" i="128"/>
  <c r="K242" i="128"/>
  <c r="K262" i="128" s="1"/>
  <c r="K215" i="128" s="1"/>
  <c r="N320" i="128"/>
  <c r="N320" i="127"/>
  <c r="P404" i="129"/>
  <c r="Q394" i="129" s="1"/>
  <c r="Q391" i="129"/>
  <c r="M247" i="128"/>
  <c r="M267" i="128" s="1"/>
  <c r="M220" i="128" s="1"/>
  <c r="K247" i="128"/>
  <c r="K267" i="128" s="1"/>
  <c r="K220" i="128" s="1"/>
  <c r="J247" i="128"/>
  <c r="J267" i="128" s="1"/>
  <c r="J220" i="128" s="1"/>
  <c r="G247" i="128"/>
  <c r="H247" i="128"/>
  <c r="H267" i="128" s="1"/>
  <c r="H220" i="128" s="1"/>
  <c r="Q396" i="129"/>
  <c r="M243" i="128"/>
  <c r="M263" i="128" s="1"/>
  <c r="M216" i="128" s="1"/>
  <c r="K243" i="128"/>
  <c r="K263" i="128" s="1"/>
  <c r="K216" i="128" s="1"/>
  <c r="H243" i="128"/>
  <c r="H263" i="128" s="1"/>
  <c r="H216" i="128" s="1"/>
  <c r="G243" i="128"/>
  <c r="J243" i="128"/>
  <c r="J263" i="128" s="1"/>
  <c r="J216" i="128" s="1"/>
  <c r="Q392" i="129"/>
  <c r="P404" i="128"/>
  <c r="Q391" i="128" s="1"/>
  <c r="Q393" i="129"/>
  <c r="Q400" i="129"/>
  <c r="J238" i="128"/>
  <c r="J258" i="128" s="1"/>
  <c r="J211" i="128" s="1"/>
  <c r="M238" i="128"/>
  <c r="M258" i="128" s="1"/>
  <c r="M211" i="128" s="1"/>
  <c r="G238" i="128"/>
  <c r="K238" i="128"/>
  <c r="K258" i="128" s="1"/>
  <c r="K211" i="128" s="1"/>
  <c r="H238" i="128"/>
  <c r="H258" i="128" s="1"/>
  <c r="H211" i="128" s="1"/>
  <c r="Q397" i="129"/>
  <c r="M245" i="128"/>
  <c r="M265" i="128" s="1"/>
  <c r="M218" i="128" s="1"/>
  <c r="K245" i="128"/>
  <c r="K265" i="128" s="1"/>
  <c r="K218" i="128" s="1"/>
  <c r="G245" i="128"/>
  <c r="J245" i="128"/>
  <c r="J265" i="128" s="1"/>
  <c r="J218" i="128" s="1"/>
  <c r="H245" i="128"/>
  <c r="H265" i="128" s="1"/>
  <c r="H218" i="128" s="1"/>
  <c r="H240" i="128"/>
  <c r="H260" i="128" s="1"/>
  <c r="H213" i="128" s="1"/>
  <c r="K240" i="128"/>
  <c r="K260" i="128" s="1"/>
  <c r="K213" i="128" s="1"/>
  <c r="J240" i="128"/>
  <c r="J260" i="128" s="1"/>
  <c r="J213" i="128" s="1"/>
  <c r="M240" i="128"/>
  <c r="M260" i="128" s="1"/>
  <c r="M213" i="128" s="1"/>
  <c r="G240" i="128"/>
  <c r="K244" i="128"/>
  <c r="K264" i="128" s="1"/>
  <c r="K217" i="128" s="1"/>
  <c r="J244" i="128"/>
  <c r="J264" i="128" s="1"/>
  <c r="J217" i="128" s="1"/>
  <c r="H244" i="128"/>
  <c r="H264" i="128" s="1"/>
  <c r="H217" i="128" s="1"/>
  <c r="M244" i="128"/>
  <c r="M264" i="128" s="1"/>
  <c r="M217" i="128" s="1"/>
  <c r="G244" i="128"/>
  <c r="G237" i="128"/>
  <c r="H237" i="128"/>
  <c r="H257" i="128" s="1"/>
  <c r="H210" i="128" s="1"/>
  <c r="M237" i="128"/>
  <c r="M257" i="128" s="1"/>
  <c r="M210" i="128" s="1"/>
  <c r="J237" i="128"/>
  <c r="J257" i="128" s="1"/>
  <c r="J210" i="128" s="1"/>
  <c r="K237" i="128"/>
  <c r="K257" i="128" s="1"/>
  <c r="K210" i="128" s="1"/>
  <c r="Q401" i="129"/>
  <c r="M241" i="128"/>
  <c r="M261" i="128" s="1"/>
  <c r="M214" i="128" s="1"/>
  <c r="J241" i="128"/>
  <c r="J261" i="128" s="1"/>
  <c r="J214" i="128" s="1"/>
  <c r="G241" i="128"/>
  <c r="K241" i="128"/>
  <c r="K261" i="128" s="1"/>
  <c r="K214" i="128" s="1"/>
  <c r="H241" i="128"/>
  <c r="H261" i="128" s="1"/>
  <c r="H214" i="128" s="1"/>
  <c r="Q395" i="129"/>
  <c r="Q399" i="129"/>
  <c r="K239" i="128"/>
  <c r="K259" i="128" s="1"/>
  <c r="K212" i="128" s="1"/>
  <c r="M239" i="128"/>
  <c r="M259" i="128" s="1"/>
  <c r="M212" i="128" s="1"/>
  <c r="H239" i="128"/>
  <c r="H259" i="128" s="1"/>
  <c r="H212" i="128" s="1"/>
  <c r="G239" i="128"/>
  <c r="J239" i="128"/>
  <c r="J259" i="128" s="1"/>
  <c r="J212" i="128" s="1"/>
  <c r="N320" i="129"/>
  <c r="Q392" i="127"/>
  <c r="J246" i="128"/>
  <c r="J266" i="128" s="1"/>
  <c r="J219" i="128" s="1"/>
  <c r="M246" i="128"/>
  <c r="M266" i="128" s="1"/>
  <c r="M219" i="128" s="1"/>
  <c r="K246" i="128"/>
  <c r="K266" i="128" s="1"/>
  <c r="K219" i="128" s="1"/>
  <c r="H246" i="128"/>
  <c r="H266" i="128" s="1"/>
  <c r="H219" i="128" s="1"/>
  <c r="G246" i="128"/>
  <c r="Q399" i="127"/>
  <c r="Q402" i="129"/>
  <c r="P404" i="127"/>
  <c r="Q391" i="127" s="1"/>
  <c r="N320" i="52"/>
  <c r="O21" i="9"/>
  <c r="Q21" i="9"/>
  <c r="J21" i="9"/>
  <c r="G267" i="128" l="1"/>
  <c r="G220" i="128" s="1"/>
  <c r="AJ267" i="128"/>
  <c r="Q394" i="127"/>
  <c r="G260" i="128"/>
  <c r="G213" i="128" s="1"/>
  <c r="T395" i="128"/>
  <c r="V395" i="128" s="1"/>
  <c r="W395" i="128" s="1"/>
  <c r="AJ260" i="128"/>
  <c r="AL260" i="128" s="1"/>
  <c r="G265" i="128"/>
  <c r="G218" i="128" s="1"/>
  <c r="AJ265" i="128"/>
  <c r="G263" i="128"/>
  <c r="G216" i="128" s="1"/>
  <c r="AJ263" i="128"/>
  <c r="G262" i="128"/>
  <c r="G215" i="128" s="1"/>
  <c r="AJ262" i="128"/>
  <c r="M237" i="127"/>
  <c r="M257" i="127" s="1"/>
  <c r="M210" i="127" s="1"/>
  <c r="H237" i="127"/>
  <c r="H257" i="127" s="1"/>
  <c r="H210" i="127" s="1"/>
  <c r="G237" i="127"/>
  <c r="K237" i="127"/>
  <c r="K257" i="127" s="1"/>
  <c r="K210" i="127" s="1"/>
  <c r="J237" i="127"/>
  <c r="J257" i="127" s="1"/>
  <c r="J210" i="127" s="1"/>
  <c r="S392" i="127"/>
  <c r="G245" i="129"/>
  <c r="M245" i="129"/>
  <c r="M265" i="129" s="1"/>
  <c r="M218" i="129" s="1"/>
  <c r="H245" i="129"/>
  <c r="H265" i="129" s="1"/>
  <c r="H218" i="129" s="1"/>
  <c r="K245" i="129"/>
  <c r="K265" i="129" s="1"/>
  <c r="K218" i="129" s="1"/>
  <c r="J245" i="129"/>
  <c r="J265" i="129" s="1"/>
  <c r="J218" i="129" s="1"/>
  <c r="S400" i="129"/>
  <c r="K240" i="129"/>
  <c r="K260" i="129" s="1"/>
  <c r="K213" i="129" s="1"/>
  <c r="J240" i="129"/>
  <c r="J260" i="129" s="1"/>
  <c r="J213" i="129" s="1"/>
  <c r="M240" i="129"/>
  <c r="M260" i="129" s="1"/>
  <c r="M213" i="129" s="1"/>
  <c r="H240" i="129"/>
  <c r="H260" i="129" s="1"/>
  <c r="H213" i="129" s="1"/>
  <c r="G240" i="129"/>
  <c r="S395" i="129"/>
  <c r="AJ259" i="128"/>
  <c r="AL259" i="128" s="1"/>
  <c r="T394" i="128"/>
  <c r="V394" i="128" s="1"/>
  <c r="W394" i="128" s="1"/>
  <c r="G259" i="128"/>
  <c r="G212" i="128" s="1"/>
  <c r="AJ261" i="128"/>
  <c r="G261" i="128"/>
  <c r="G214" i="128" s="1"/>
  <c r="G257" i="128"/>
  <c r="G210" i="128" s="1"/>
  <c r="AJ257" i="128"/>
  <c r="H238" i="129"/>
  <c r="H258" i="129" s="1"/>
  <c r="H211" i="129" s="1"/>
  <c r="G238" i="129"/>
  <c r="M238" i="129"/>
  <c r="M258" i="129" s="1"/>
  <c r="M211" i="129" s="1"/>
  <c r="K238" i="129"/>
  <c r="K258" i="129" s="1"/>
  <c r="K211" i="129" s="1"/>
  <c r="J238" i="129"/>
  <c r="J258" i="129" s="1"/>
  <c r="J211" i="129" s="1"/>
  <c r="S393" i="129"/>
  <c r="M244" i="127"/>
  <c r="M264" i="127" s="1"/>
  <c r="M217" i="127" s="1"/>
  <c r="K244" i="127"/>
  <c r="K264" i="127" s="1"/>
  <c r="K217" i="127" s="1"/>
  <c r="H244" i="127"/>
  <c r="H264" i="127" s="1"/>
  <c r="H217" i="127" s="1"/>
  <c r="G244" i="127"/>
  <c r="J244" i="127"/>
  <c r="J264" i="127" s="1"/>
  <c r="J217" i="127" s="1"/>
  <c r="S399" i="127"/>
  <c r="G264" i="128"/>
  <c r="G217" i="128" s="1"/>
  <c r="AJ264" i="128"/>
  <c r="H242" i="129"/>
  <c r="H262" i="129" s="1"/>
  <c r="H215" i="129" s="1"/>
  <c r="M242" i="129"/>
  <c r="M262" i="129" s="1"/>
  <c r="M215" i="129" s="1"/>
  <c r="K242" i="129"/>
  <c r="K262" i="129" s="1"/>
  <c r="K215" i="129" s="1"/>
  <c r="G242" i="129"/>
  <c r="J242" i="129"/>
  <c r="J262" i="129" s="1"/>
  <c r="J215" i="129" s="1"/>
  <c r="S397" i="129"/>
  <c r="Q401" i="127"/>
  <c r="K236" i="129"/>
  <c r="J236" i="129"/>
  <c r="H236" i="129"/>
  <c r="G236" i="129"/>
  <c r="M236" i="129"/>
  <c r="S391" i="129"/>
  <c r="Q397" i="127"/>
  <c r="J236" i="128"/>
  <c r="H236" i="128"/>
  <c r="K236" i="128"/>
  <c r="M236" i="128"/>
  <c r="G236" i="128"/>
  <c r="Q404" i="128"/>
  <c r="S391" i="128"/>
  <c r="G241" i="129"/>
  <c r="M241" i="129"/>
  <c r="M261" i="129" s="1"/>
  <c r="M214" i="129" s="1"/>
  <c r="K241" i="129"/>
  <c r="K261" i="129" s="1"/>
  <c r="K214" i="129" s="1"/>
  <c r="J241" i="129"/>
  <c r="J261" i="129" s="1"/>
  <c r="J214" i="129" s="1"/>
  <c r="H241" i="129"/>
  <c r="H261" i="129" s="1"/>
  <c r="H214" i="129" s="1"/>
  <c r="S396" i="129"/>
  <c r="K239" i="129"/>
  <c r="K259" i="129" s="1"/>
  <c r="K212" i="129" s="1"/>
  <c r="J239" i="129"/>
  <c r="J259" i="129" s="1"/>
  <c r="J212" i="129" s="1"/>
  <c r="H239" i="129"/>
  <c r="H259" i="129" s="1"/>
  <c r="H212" i="129" s="1"/>
  <c r="G239" i="129"/>
  <c r="M239" i="129"/>
  <c r="M259" i="129" s="1"/>
  <c r="M212" i="129" s="1"/>
  <c r="S394" i="129"/>
  <c r="Q393" i="127"/>
  <c r="K236" i="127"/>
  <c r="H236" i="127"/>
  <c r="G236" i="127"/>
  <c r="J236" i="127"/>
  <c r="M236" i="127"/>
  <c r="S391" i="127"/>
  <c r="K246" i="129"/>
  <c r="K266" i="129" s="1"/>
  <c r="K219" i="129" s="1"/>
  <c r="M246" i="129"/>
  <c r="M266" i="129" s="1"/>
  <c r="M219" i="129" s="1"/>
  <c r="H246" i="129"/>
  <c r="H266" i="129" s="1"/>
  <c r="H219" i="129" s="1"/>
  <c r="J246" i="129"/>
  <c r="J266" i="129" s="1"/>
  <c r="J219" i="129" s="1"/>
  <c r="G246" i="129"/>
  <c r="S401" i="129"/>
  <c r="Q400" i="127"/>
  <c r="G237" i="129"/>
  <c r="K237" i="129"/>
  <c r="K257" i="129" s="1"/>
  <c r="K210" i="129" s="1"/>
  <c r="H237" i="129"/>
  <c r="H257" i="129" s="1"/>
  <c r="H210" i="129" s="1"/>
  <c r="M237" i="129"/>
  <c r="M257" i="129" s="1"/>
  <c r="M210" i="129" s="1"/>
  <c r="J237" i="129"/>
  <c r="J257" i="129" s="1"/>
  <c r="J210" i="129" s="1"/>
  <c r="S392" i="129"/>
  <c r="Q402" i="127"/>
  <c r="Q398" i="129"/>
  <c r="Q404" i="129" s="1"/>
  <c r="AJ266" i="128"/>
  <c r="G266" i="128"/>
  <c r="G219" i="128" s="1"/>
  <c r="K247" i="129"/>
  <c r="K267" i="129" s="1"/>
  <c r="K220" i="129" s="1"/>
  <c r="G247" i="129"/>
  <c r="J247" i="129"/>
  <c r="J267" i="129" s="1"/>
  <c r="J220" i="129" s="1"/>
  <c r="M247" i="129"/>
  <c r="M267" i="129" s="1"/>
  <c r="M220" i="129" s="1"/>
  <c r="H247" i="129"/>
  <c r="H267" i="129" s="1"/>
  <c r="H220" i="129" s="1"/>
  <c r="S402" i="129"/>
  <c r="Q395" i="127"/>
  <c r="M244" i="129"/>
  <c r="M264" i="129" s="1"/>
  <c r="M217" i="129" s="1"/>
  <c r="J244" i="129"/>
  <c r="J264" i="129" s="1"/>
  <c r="J217" i="129" s="1"/>
  <c r="G244" i="129"/>
  <c r="H244" i="129"/>
  <c r="H264" i="129" s="1"/>
  <c r="H217" i="129" s="1"/>
  <c r="K244" i="129"/>
  <c r="K264" i="129" s="1"/>
  <c r="K217" i="129" s="1"/>
  <c r="S399" i="129"/>
  <c r="G258" i="128"/>
  <c r="G211" i="128" s="1"/>
  <c r="AJ258" i="128"/>
  <c r="AL258" i="128" s="1"/>
  <c r="T393" i="128"/>
  <c r="V393" i="128" s="1"/>
  <c r="W393" i="128" s="1"/>
  <c r="Q398" i="127"/>
  <c r="Q396" i="127"/>
  <c r="E38" i="9"/>
  <c r="I38" i="9" s="1"/>
  <c r="F35" i="26"/>
  <c r="H35" i="26" s="1"/>
  <c r="J269" i="129" l="1"/>
  <c r="Q8" i="129" s="1"/>
  <c r="K249" i="129"/>
  <c r="K252" i="129" s="1"/>
  <c r="M249" i="129"/>
  <c r="M252" i="129" s="1"/>
  <c r="H249" i="129"/>
  <c r="H252" i="129" s="1"/>
  <c r="M269" i="129"/>
  <c r="G249" i="129"/>
  <c r="H269" i="129"/>
  <c r="Q7" i="129" s="1"/>
  <c r="K269" i="129"/>
  <c r="Q9" i="129" s="1"/>
  <c r="J249" i="129"/>
  <c r="J252" i="129" s="1"/>
  <c r="G269" i="129"/>
  <c r="Q6" i="129" s="1"/>
  <c r="G264" i="129"/>
  <c r="G217" i="129" s="1"/>
  <c r="AJ264" i="129"/>
  <c r="K256" i="127"/>
  <c r="K209" i="127" s="1"/>
  <c r="G256" i="128"/>
  <c r="G209" i="128" s="1"/>
  <c r="AJ256" i="128"/>
  <c r="G250" i="128"/>
  <c r="AJ256" i="129"/>
  <c r="G256" i="129"/>
  <c r="G209" i="129" s="1"/>
  <c r="G262" i="129"/>
  <c r="G215" i="129" s="1"/>
  <c r="AJ262" i="129"/>
  <c r="G264" i="127"/>
  <c r="G217" i="127" s="1"/>
  <c r="AJ264" i="127"/>
  <c r="G258" i="129"/>
  <c r="G211" i="129" s="1"/>
  <c r="T393" i="129"/>
  <c r="V393" i="129" s="1"/>
  <c r="W393" i="129" s="1"/>
  <c r="AJ258" i="129"/>
  <c r="AL258" i="129" s="1"/>
  <c r="G257" i="127"/>
  <c r="G210" i="127" s="1"/>
  <c r="AJ257" i="127"/>
  <c r="K238" i="127"/>
  <c r="K258" i="127" s="1"/>
  <c r="K211" i="127" s="1"/>
  <c r="J238" i="127"/>
  <c r="J258" i="127" s="1"/>
  <c r="J211" i="127" s="1"/>
  <c r="G238" i="127"/>
  <c r="M238" i="127"/>
  <c r="M258" i="127" s="1"/>
  <c r="M211" i="127" s="1"/>
  <c r="H238" i="127"/>
  <c r="H258" i="127" s="1"/>
  <c r="H211" i="127" s="1"/>
  <c r="S393" i="127"/>
  <c r="M256" i="128"/>
  <c r="M209" i="128" s="1"/>
  <c r="M250" i="128"/>
  <c r="H250" i="129"/>
  <c r="H256" i="129"/>
  <c r="H209" i="129" s="1"/>
  <c r="K241" i="127"/>
  <c r="K261" i="127" s="1"/>
  <c r="K214" i="127" s="1"/>
  <c r="J241" i="127"/>
  <c r="J261" i="127" s="1"/>
  <c r="J214" i="127" s="1"/>
  <c r="G241" i="127"/>
  <c r="H241" i="127"/>
  <c r="H261" i="127" s="1"/>
  <c r="H214" i="127" s="1"/>
  <c r="M241" i="127"/>
  <c r="M261" i="127" s="1"/>
  <c r="M214" i="127" s="1"/>
  <c r="S396" i="127"/>
  <c r="G243" i="127"/>
  <c r="M243" i="127"/>
  <c r="M263" i="127" s="1"/>
  <c r="M216" i="127" s="1"/>
  <c r="H243" i="127"/>
  <c r="H263" i="127" s="1"/>
  <c r="H216" i="127" s="1"/>
  <c r="J243" i="127"/>
  <c r="J263" i="127" s="1"/>
  <c r="J216" i="127" s="1"/>
  <c r="K243" i="127"/>
  <c r="K263" i="127" s="1"/>
  <c r="K216" i="127" s="1"/>
  <c r="S398" i="127"/>
  <c r="X393" i="128"/>
  <c r="AR258" i="128"/>
  <c r="G257" i="129"/>
  <c r="G210" i="129" s="1"/>
  <c r="AJ257" i="129"/>
  <c r="K256" i="128"/>
  <c r="K209" i="128" s="1"/>
  <c r="K250" i="128"/>
  <c r="G260" i="129"/>
  <c r="G213" i="129" s="1"/>
  <c r="T395" i="129"/>
  <c r="V395" i="129" s="1"/>
  <c r="W395" i="129" s="1"/>
  <c r="AJ260" i="129"/>
  <c r="AL260" i="129" s="1"/>
  <c r="X395" i="128"/>
  <c r="AR260" i="128"/>
  <c r="K269" i="128"/>
  <c r="Q9" i="128" s="1"/>
  <c r="G269" i="128"/>
  <c r="Q6" i="128" s="1"/>
  <c r="K249" i="128"/>
  <c r="K252" i="128" s="1"/>
  <c r="M269" i="128"/>
  <c r="M249" i="128"/>
  <c r="M252" i="128" s="1"/>
  <c r="J249" i="128"/>
  <c r="J252" i="128" s="1"/>
  <c r="G249" i="128"/>
  <c r="H249" i="128"/>
  <c r="H252" i="128" s="1"/>
  <c r="H269" i="128"/>
  <c r="Q7" i="128" s="1"/>
  <c r="J269" i="128"/>
  <c r="Q8" i="128" s="1"/>
  <c r="H240" i="127"/>
  <c r="H260" i="127" s="1"/>
  <c r="H213" i="127" s="1"/>
  <c r="J240" i="127"/>
  <c r="J260" i="127" s="1"/>
  <c r="J213" i="127" s="1"/>
  <c r="M240" i="127"/>
  <c r="M260" i="127" s="1"/>
  <c r="M213" i="127" s="1"/>
  <c r="K240" i="127"/>
  <c r="K260" i="127" s="1"/>
  <c r="K213" i="127" s="1"/>
  <c r="G240" i="127"/>
  <c r="S395" i="127"/>
  <c r="H243" i="129"/>
  <c r="H263" i="129" s="1"/>
  <c r="H216" i="129" s="1"/>
  <c r="J243" i="129"/>
  <c r="J263" i="129" s="1"/>
  <c r="J216" i="129" s="1"/>
  <c r="G243" i="129"/>
  <c r="G250" i="129" s="1"/>
  <c r="M243" i="129"/>
  <c r="M263" i="129" s="1"/>
  <c r="M216" i="129" s="1"/>
  <c r="K243" i="129"/>
  <c r="K263" i="129" s="1"/>
  <c r="K216" i="129" s="1"/>
  <c r="S398" i="129"/>
  <c r="K245" i="127"/>
  <c r="K265" i="127" s="1"/>
  <c r="K218" i="127" s="1"/>
  <c r="G245" i="127"/>
  <c r="H245" i="127"/>
  <c r="H265" i="127" s="1"/>
  <c r="H218" i="127" s="1"/>
  <c r="M245" i="127"/>
  <c r="M265" i="127" s="1"/>
  <c r="M218" i="127" s="1"/>
  <c r="J245" i="127"/>
  <c r="J265" i="127" s="1"/>
  <c r="J218" i="127" s="1"/>
  <c r="S400" i="127"/>
  <c r="Q404" i="127"/>
  <c r="H256" i="128"/>
  <c r="H209" i="128" s="1"/>
  <c r="H250" i="128"/>
  <c r="J256" i="129"/>
  <c r="J209" i="129" s="1"/>
  <c r="J250" i="129"/>
  <c r="H256" i="127"/>
  <c r="H209" i="127" s="1"/>
  <c r="X394" i="128"/>
  <c r="AR259" i="128"/>
  <c r="J247" i="127"/>
  <c r="J267" i="127" s="1"/>
  <c r="J220" i="127" s="1"/>
  <c r="M247" i="127"/>
  <c r="M267" i="127" s="1"/>
  <c r="M220" i="127" s="1"/>
  <c r="G247" i="127"/>
  <c r="K247" i="127"/>
  <c r="K267" i="127" s="1"/>
  <c r="K220" i="127" s="1"/>
  <c r="H247" i="127"/>
  <c r="H267" i="127" s="1"/>
  <c r="H220" i="127" s="1"/>
  <c r="S402" i="127"/>
  <c r="M256" i="127"/>
  <c r="M209" i="127" s="1"/>
  <c r="G259" i="129"/>
  <c r="G212" i="129" s="1"/>
  <c r="T394" i="129"/>
  <c r="V394" i="129" s="1"/>
  <c r="W394" i="129" s="1"/>
  <c r="AJ259" i="129"/>
  <c r="AL259" i="129" s="1"/>
  <c r="J256" i="128"/>
  <c r="J209" i="128" s="1"/>
  <c r="J250" i="128"/>
  <c r="K256" i="129"/>
  <c r="K209" i="129" s="1"/>
  <c r="K250" i="129"/>
  <c r="G265" i="129"/>
  <c r="G218" i="129" s="1"/>
  <c r="AJ265" i="129"/>
  <c r="M239" i="127"/>
  <c r="M259" i="127" s="1"/>
  <c r="M212" i="127" s="1"/>
  <c r="H239" i="127"/>
  <c r="H259" i="127" s="1"/>
  <c r="H212" i="127" s="1"/>
  <c r="J239" i="127"/>
  <c r="J259" i="127" s="1"/>
  <c r="J212" i="127" s="1"/>
  <c r="K239" i="127"/>
  <c r="K259" i="127" s="1"/>
  <c r="K212" i="127" s="1"/>
  <c r="G239" i="127"/>
  <c r="S394" i="127"/>
  <c r="G267" i="129"/>
  <c r="G220" i="129" s="1"/>
  <c r="AJ267" i="129"/>
  <c r="G266" i="129"/>
  <c r="G219" i="129" s="1"/>
  <c r="AJ266" i="129"/>
  <c r="J256" i="127"/>
  <c r="J209" i="127" s="1"/>
  <c r="J250" i="127"/>
  <c r="AJ261" i="129"/>
  <c r="G261" i="129"/>
  <c r="G214" i="129" s="1"/>
  <c r="G242" i="127"/>
  <c r="J242" i="127"/>
  <c r="J262" i="127" s="1"/>
  <c r="J215" i="127" s="1"/>
  <c r="H242" i="127"/>
  <c r="H262" i="127" s="1"/>
  <c r="H215" i="127" s="1"/>
  <c r="K242" i="127"/>
  <c r="K262" i="127" s="1"/>
  <c r="K215" i="127" s="1"/>
  <c r="M242" i="127"/>
  <c r="M262" i="127" s="1"/>
  <c r="M215" i="127" s="1"/>
  <c r="S397" i="127"/>
  <c r="J246" i="127"/>
  <c r="J266" i="127" s="1"/>
  <c r="J219" i="127" s="1"/>
  <c r="M246" i="127"/>
  <c r="M266" i="127" s="1"/>
  <c r="M219" i="127" s="1"/>
  <c r="H246" i="127"/>
  <c r="H266" i="127" s="1"/>
  <c r="H219" i="127" s="1"/>
  <c r="K246" i="127"/>
  <c r="K266" i="127" s="1"/>
  <c r="K219" i="127" s="1"/>
  <c r="G246" i="127"/>
  <c r="S401" i="127"/>
  <c r="M256" i="129"/>
  <c r="M209" i="129" s="1"/>
  <c r="M250" i="129"/>
  <c r="G256" i="127"/>
  <c r="G209" i="127" s="1"/>
  <c r="AJ256" i="127"/>
  <c r="H30" i="26"/>
  <c r="E15" i="26" s="1"/>
  <c r="AJ258" i="127" l="1"/>
  <c r="AL258" i="127" s="1"/>
  <c r="G258" i="127"/>
  <c r="G211" i="127" s="1"/>
  <c r="T393" i="127"/>
  <c r="V393" i="127" s="1"/>
  <c r="W393" i="127" s="1"/>
  <c r="AR259" i="129"/>
  <c r="X394" i="129"/>
  <c r="T395" i="127"/>
  <c r="V395" i="127" s="1"/>
  <c r="W395" i="127" s="1"/>
  <c r="G260" i="127"/>
  <c r="G213" i="127" s="1"/>
  <c r="AJ260" i="127"/>
  <c r="AL260" i="127" s="1"/>
  <c r="T404" i="128"/>
  <c r="V404" i="128" s="1"/>
  <c r="W404" i="128" s="1"/>
  <c r="AR269" i="128" s="1"/>
  <c r="AJ269" i="128"/>
  <c r="AL269" i="128" s="1"/>
  <c r="G252" i="128"/>
  <c r="AG208" i="128"/>
  <c r="Q11" i="129"/>
  <c r="Q10" i="129"/>
  <c r="H254" i="128"/>
  <c r="H253" i="128"/>
  <c r="G263" i="127"/>
  <c r="G216" i="127" s="1"/>
  <c r="AJ263" i="127"/>
  <c r="AJ269" i="129"/>
  <c r="AL269" i="129" s="1"/>
  <c r="T404" i="129"/>
  <c r="V404" i="129" s="1"/>
  <c r="W404" i="129" s="1"/>
  <c r="AR269" i="129" s="1"/>
  <c r="G252" i="129"/>
  <c r="AG208" i="129"/>
  <c r="AG210" i="129" s="1"/>
  <c r="G12" i="129" s="1"/>
  <c r="J254" i="128"/>
  <c r="J253" i="128"/>
  <c r="H253" i="129"/>
  <c r="H254" i="129"/>
  <c r="G265" i="127"/>
  <c r="G218" i="127" s="1"/>
  <c r="AJ265" i="127"/>
  <c r="K250" i="127"/>
  <c r="M250" i="127"/>
  <c r="G249" i="127"/>
  <c r="K269" i="127"/>
  <c r="Q9" i="127" s="1"/>
  <c r="J269" i="127"/>
  <c r="Q8" i="127" s="1"/>
  <c r="M269" i="127"/>
  <c r="K249" i="127"/>
  <c r="K252" i="127" s="1"/>
  <c r="H269" i="127"/>
  <c r="Q7" i="127" s="1"/>
  <c r="J249" i="127"/>
  <c r="J252" i="127" s="1"/>
  <c r="H249" i="127"/>
  <c r="H252" i="127" s="1"/>
  <c r="G269" i="127"/>
  <c r="Q6" i="127" s="1"/>
  <c r="M249" i="127"/>
  <c r="M252" i="127" s="1"/>
  <c r="M253" i="128"/>
  <c r="M254" i="128"/>
  <c r="X395" i="129"/>
  <c r="AR260" i="129"/>
  <c r="M253" i="129"/>
  <c r="M254" i="129"/>
  <c r="G267" i="127"/>
  <c r="G220" i="127" s="1"/>
  <c r="AJ267" i="127"/>
  <c r="AJ266" i="127"/>
  <c r="G266" i="127"/>
  <c r="G219" i="127" s="1"/>
  <c r="Q11" i="128"/>
  <c r="Q10" i="128"/>
  <c r="G261" i="127"/>
  <c r="G214" i="127" s="1"/>
  <c r="AJ261" i="127"/>
  <c r="X393" i="129"/>
  <c r="AR258" i="129"/>
  <c r="K254" i="129"/>
  <c r="K253" i="129"/>
  <c r="AJ262" i="127"/>
  <c r="G262" i="127"/>
  <c r="G215" i="127" s="1"/>
  <c r="G250" i="127"/>
  <c r="G259" i="127"/>
  <c r="G212" i="127" s="1"/>
  <c r="T394" i="127"/>
  <c r="V394" i="127" s="1"/>
  <c r="W394" i="127" s="1"/>
  <c r="AJ259" i="127"/>
  <c r="AL259" i="127" s="1"/>
  <c r="H250" i="127"/>
  <c r="G263" i="129"/>
  <c r="G216" i="129" s="1"/>
  <c r="AJ263" i="129"/>
  <c r="K253" i="128"/>
  <c r="K254" i="128"/>
  <c r="J254" i="129"/>
  <c r="J253" i="129"/>
  <c r="D9" i="26"/>
  <c r="D8" i="26"/>
  <c r="D7" i="26"/>
  <c r="D6" i="26"/>
  <c r="T404" i="127" l="1"/>
  <c r="V404" i="127" s="1"/>
  <c r="W404" i="127" s="1"/>
  <c r="AR269" i="127" s="1"/>
  <c r="AJ269" i="127"/>
  <c r="AL269" i="127" s="1"/>
  <c r="G252" i="127"/>
  <c r="AG208" i="127"/>
  <c r="H254" i="127"/>
  <c r="H253" i="127"/>
  <c r="X395" i="127"/>
  <c r="AR260" i="127"/>
  <c r="J254" i="127"/>
  <c r="J253" i="127"/>
  <c r="G254" i="129"/>
  <c r="N254" i="129" s="1"/>
  <c r="G253" i="129"/>
  <c r="N253" i="129" s="1"/>
  <c r="AG210" i="128"/>
  <c r="G12" i="128" s="1"/>
  <c r="X394" i="127"/>
  <c r="AR259" i="127"/>
  <c r="K254" i="127"/>
  <c r="K253" i="127"/>
  <c r="G253" i="128"/>
  <c r="N253" i="128" s="1"/>
  <c r="G254" i="128"/>
  <c r="N254" i="128" s="1"/>
  <c r="X393" i="127"/>
  <c r="AR258" i="127"/>
  <c r="M253" i="127"/>
  <c r="M254" i="127"/>
  <c r="Q10" i="127"/>
  <c r="Q11" i="127"/>
  <c r="D6" i="20"/>
  <c r="D7" i="20"/>
  <c r="D8" i="20"/>
  <c r="D9" i="20"/>
  <c r="AG210" i="127" l="1"/>
  <c r="G12" i="127" s="1"/>
  <c r="G254" i="127"/>
  <c r="N254" i="127" s="1"/>
  <c r="G253" i="127"/>
  <c r="N253" i="127" s="1"/>
  <c r="D9" i="12"/>
  <c r="D8" i="12"/>
  <c r="D7" i="12"/>
  <c r="D6" i="12"/>
  <c r="D9" i="9"/>
  <c r="D8" i="9"/>
  <c r="D7" i="9"/>
  <c r="D6" i="9"/>
  <c r="E38" i="7" l="1"/>
  <c r="H50" i="20"/>
  <c r="H51" i="20"/>
  <c r="H52" i="20"/>
  <c r="H49" i="20"/>
  <c r="F50" i="20"/>
  <c r="F51" i="20"/>
  <c r="F52" i="20"/>
  <c r="F49" i="20"/>
  <c r="F14" i="20"/>
  <c r="F45" i="20"/>
  <c r="F43" i="20"/>
  <c r="F35" i="20"/>
  <c r="F31" i="20"/>
  <c r="F26" i="20"/>
  <c r="F27" i="20"/>
  <c r="F24" i="20"/>
  <c r="E48" i="20"/>
  <c r="E30" i="20"/>
  <c r="E23" i="20"/>
  <c r="E17" i="20"/>
  <c r="F19" i="20"/>
  <c r="F20" i="20"/>
  <c r="F18" i="20"/>
  <c r="O24" i="12"/>
  <c r="O25" i="12"/>
  <c r="O26" i="12"/>
  <c r="O27" i="12"/>
  <c r="O28" i="12"/>
  <c r="O29" i="12"/>
  <c r="O30" i="12"/>
  <c r="O31" i="12"/>
  <c r="O32" i="12"/>
  <c r="O23" i="12"/>
  <c r="C23" i="12"/>
  <c r="C24" i="12" s="1"/>
  <c r="Q22" i="9"/>
  <c r="Q23" i="9"/>
  <c r="Q24" i="9"/>
  <c r="Q25" i="9"/>
  <c r="Q26" i="9"/>
  <c r="Q27" i="9"/>
  <c r="Q28" i="9"/>
  <c r="Q29" i="9"/>
  <c r="Q30" i="9"/>
  <c r="O22" i="9"/>
  <c r="O23" i="9"/>
  <c r="O24" i="9"/>
  <c r="O25" i="9"/>
  <c r="O26" i="9"/>
  <c r="O27" i="9"/>
  <c r="O28" i="9"/>
  <c r="O29" i="9"/>
  <c r="O30" i="9"/>
  <c r="J22" i="9"/>
  <c r="J23" i="9"/>
  <c r="J24" i="9"/>
  <c r="J25" i="9"/>
  <c r="J26" i="9"/>
  <c r="J27" i="9"/>
  <c r="J28" i="9"/>
  <c r="J29" i="9"/>
  <c r="J30" i="9"/>
  <c r="H22" i="9"/>
  <c r="H23" i="9"/>
  <c r="H24" i="9"/>
  <c r="H25" i="9"/>
  <c r="H26" i="9"/>
  <c r="H27" i="9"/>
  <c r="H28" i="9"/>
  <c r="H29" i="9"/>
  <c r="H30" i="9"/>
  <c r="H21" i="9"/>
  <c r="F21" i="9"/>
  <c r="F22" i="9"/>
  <c r="F23" i="9"/>
  <c r="F24" i="9"/>
  <c r="F25" i="9"/>
  <c r="F26" i="9"/>
  <c r="F27" i="9"/>
  <c r="F28" i="9"/>
  <c r="F29" i="9"/>
  <c r="F30" i="9"/>
  <c r="O33" i="12"/>
  <c r="U22" i="12"/>
  <c r="T22" i="12"/>
  <c r="S22" i="12"/>
  <c r="R22" i="12"/>
  <c r="Q22" i="12"/>
  <c r="F38" i="7" l="1"/>
  <c r="M30" i="9"/>
  <c r="S30" i="9" s="1"/>
  <c r="M29" i="9"/>
  <c r="S29" i="9" s="1"/>
  <c r="M27" i="9"/>
  <c r="S27" i="9" s="1"/>
  <c r="M21" i="9"/>
  <c r="S21" i="9" s="1"/>
  <c r="M24" i="9"/>
  <c r="S24" i="9" s="1"/>
  <c r="M23" i="9"/>
  <c r="S23" i="9" s="1"/>
  <c r="M28" i="9"/>
  <c r="S28" i="9" s="1"/>
  <c r="M26" i="9"/>
  <c r="S26" i="9" s="1"/>
  <c r="M25" i="9"/>
  <c r="S25" i="9" s="1"/>
  <c r="H48" i="20"/>
  <c r="M22" i="9"/>
  <c r="S22" i="9" s="1"/>
  <c r="P31" i="12"/>
  <c r="P27" i="12"/>
  <c r="P28" i="12"/>
  <c r="P32" i="12"/>
  <c r="O35" i="12"/>
  <c r="P26" i="12"/>
  <c r="P23" i="12"/>
  <c r="C25" i="12"/>
  <c r="C26" i="12" s="1"/>
  <c r="P25" i="12"/>
  <c r="P30" i="12"/>
  <c r="P24" i="12"/>
  <c r="P29" i="12"/>
  <c r="G38" i="7" l="1"/>
  <c r="H38" i="7" s="1"/>
  <c r="I38" i="7" s="1"/>
  <c r="J38" i="7" s="1"/>
  <c r="S31" i="9"/>
  <c r="E15" i="9" s="1"/>
  <c r="C27" i="12"/>
  <c r="C28" i="12" s="1"/>
  <c r="C29" i="12" s="1"/>
  <c r="P35" i="12"/>
  <c r="Q30" i="12" s="1"/>
  <c r="Q26" i="12" l="1"/>
  <c r="S26" i="12"/>
  <c r="R25" i="12"/>
  <c r="U26" i="12"/>
  <c r="T25" i="12"/>
  <c r="T29" i="12"/>
  <c r="T26" i="12"/>
  <c r="S25" i="12"/>
  <c r="R26" i="12"/>
  <c r="U25" i="12"/>
  <c r="Q25" i="12"/>
  <c r="U29" i="12"/>
  <c r="T23" i="12"/>
  <c r="U24" i="12"/>
  <c r="U30" i="12"/>
  <c r="R29" i="12"/>
  <c r="T24" i="12"/>
  <c r="S29" i="12"/>
  <c r="S24" i="12"/>
  <c r="S23" i="12"/>
  <c r="C30" i="12"/>
  <c r="C31" i="12" s="1"/>
  <c r="C32" i="12" s="1"/>
  <c r="Q29" i="12"/>
  <c r="Q24" i="12"/>
  <c r="Q23" i="12"/>
  <c r="S30" i="12"/>
  <c r="F35" i="12"/>
  <c r="R27" i="12"/>
  <c r="U27" i="12"/>
  <c r="Q28" i="12"/>
  <c r="R32" i="12"/>
  <c r="U32" i="12"/>
  <c r="T28" i="12"/>
  <c r="R28" i="12"/>
  <c r="R31" i="12"/>
  <c r="U31" i="12"/>
  <c r="Q27" i="12"/>
  <c r="T32" i="12"/>
  <c r="Q32" i="12"/>
  <c r="S28" i="12"/>
  <c r="U28" i="12"/>
  <c r="Q31" i="12"/>
  <c r="T27" i="12"/>
  <c r="T31" i="12"/>
  <c r="S27" i="12"/>
  <c r="S31" i="12"/>
  <c r="S32" i="12"/>
  <c r="T30" i="12"/>
  <c r="R24" i="12"/>
  <c r="U23" i="12"/>
  <c r="R23" i="12"/>
  <c r="R30" i="12"/>
  <c r="U35" i="12" l="1"/>
  <c r="L35" i="12" s="1"/>
  <c r="T35" i="12"/>
  <c r="K35" i="12" s="1"/>
  <c r="S35" i="12"/>
  <c r="J35" i="12" s="1"/>
  <c r="Q35" i="12"/>
  <c r="H35" i="12" s="1"/>
  <c r="R35" i="12"/>
  <c r="I35" i="12" s="1"/>
  <c r="F67" i="28" l="1"/>
  <c r="K18" i="46" s="1"/>
  <c r="C68" i="28"/>
  <c r="F68" i="28" s="1"/>
  <c r="K44" i="46" l="1"/>
  <c r="H26" i="46"/>
  <c r="K36" i="46"/>
  <c r="K38" i="46"/>
  <c r="H19" i="46"/>
  <c r="K19" i="46"/>
  <c r="H45" i="46"/>
  <c r="K43" i="46"/>
  <c r="H35" i="46"/>
  <c r="K25" i="46"/>
  <c r="H36" i="46"/>
  <c r="K27" i="46"/>
  <c r="K20" i="46"/>
  <c r="H38" i="46"/>
  <c r="K26" i="46"/>
  <c r="H37" i="46"/>
  <c r="K35" i="46"/>
  <c r="K24" i="46"/>
  <c r="H39" i="46"/>
  <c r="K37" i="46"/>
  <c r="H44" i="46"/>
  <c r="K39" i="46"/>
  <c r="K31" i="46"/>
  <c r="H43" i="46"/>
  <c r="K45" i="46"/>
  <c r="H20" i="46"/>
  <c r="H27" i="46"/>
  <c r="H18" i="46"/>
  <c r="H30" i="20"/>
  <c r="H18" i="38"/>
  <c r="H17" i="38" s="1"/>
  <c r="H14" i="38" s="1"/>
  <c r="H17" i="46" l="1"/>
  <c r="H42" i="46"/>
  <c r="H23" i="46"/>
  <c r="H34" i="46"/>
  <c r="H42" i="20"/>
  <c r="H34" i="20"/>
  <c r="H23" i="20"/>
  <c r="H17" i="20"/>
  <c r="H14" i="46" l="1"/>
  <c r="H14" i="20"/>
  <c r="G65" i="28" l="1"/>
  <c r="H65" i="28" s="1"/>
  <c r="I65" i="28" s="1"/>
  <c r="J65" i="28" s="1"/>
  <c r="K65" i="28" s="1"/>
  <c r="L65" i="28" s="1"/>
  <c r="M65" i="28" s="1"/>
  <c r="N65" i="28" s="1"/>
  <c r="Q65" i="28"/>
  <c r="R65" i="28" s="1"/>
  <c r="M188" i="39" l="1"/>
  <c r="M196" i="39"/>
  <c r="M192" i="39"/>
  <c r="M174" i="39"/>
  <c r="M179" i="39"/>
  <c r="M177" i="39"/>
  <c r="M190" i="39"/>
  <c r="M193" i="39"/>
  <c r="M173" i="39"/>
  <c r="M178" i="39"/>
  <c r="M184" i="39"/>
  <c r="M180" i="39"/>
  <c r="M191" i="39"/>
  <c r="M175" i="39"/>
  <c r="M182" i="39"/>
  <c r="M181" i="39"/>
  <c r="M194" i="39"/>
  <c r="M186" i="39"/>
  <c r="M195" i="39"/>
  <c r="M187" i="39"/>
  <c r="M185" i="39"/>
  <c r="M189" i="39"/>
  <c r="M176" i="39"/>
  <c r="M96" i="39"/>
  <c r="M94" i="39"/>
  <c r="M78" i="39"/>
  <c r="M91" i="39"/>
  <c r="M88" i="39"/>
  <c r="M86" i="39"/>
  <c r="M90" i="39"/>
  <c r="M77" i="39"/>
  <c r="M93" i="39"/>
  <c r="M75" i="39"/>
  <c r="M89" i="39"/>
  <c r="M76" i="39"/>
  <c r="M85" i="39"/>
  <c r="M79" i="39"/>
  <c r="M83" i="39"/>
  <c r="M81" i="39"/>
  <c r="M80" i="39"/>
  <c r="M82" i="39"/>
  <c r="M84" i="39"/>
  <c r="M92" i="39"/>
  <c r="M95" i="39"/>
  <c r="M56" i="39"/>
  <c r="M72" i="39"/>
  <c r="M64" i="39"/>
  <c r="M66" i="39"/>
  <c r="M62" i="39"/>
  <c r="M58" i="39"/>
  <c r="M71" i="39"/>
  <c r="M57" i="39"/>
  <c r="M67" i="39"/>
  <c r="M63" i="39"/>
  <c r="M70" i="39"/>
  <c r="M59" i="39"/>
  <c r="M61" i="39"/>
  <c r="M65" i="39"/>
  <c r="M68" i="39"/>
  <c r="M129" i="39"/>
  <c r="M127" i="39"/>
  <c r="M139" i="39"/>
  <c r="M136" i="39"/>
  <c r="M131" i="39"/>
  <c r="M140" i="39"/>
  <c r="M130" i="39"/>
  <c r="M134" i="39"/>
  <c r="M138" i="39"/>
  <c r="M137" i="39"/>
  <c r="M133" i="39"/>
  <c r="M126" i="39"/>
  <c r="M125" i="39"/>
  <c r="M128" i="39"/>
  <c r="M135" i="39"/>
  <c r="M107" i="39"/>
  <c r="M105" i="39"/>
  <c r="M102" i="39"/>
  <c r="M101" i="39"/>
  <c r="M112" i="39"/>
  <c r="M117" i="39"/>
  <c r="M113" i="39"/>
  <c r="M110" i="39"/>
  <c r="M114" i="39"/>
  <c r="M99" i="39"/>
  <c r="M109" i="39"/>
  <c r="M111" i="39"/>
  <c r="M103" i="39"/>
  <c r="M104" i="39"/>
  <c r="M115" i="39"/>
  <c r="M118" i="39"/>
  <c r="M106" i="39"/>
  <c r="M116" i="39"/>
  <c r="M100" i="39"/>
  <c r="M145" i="39"/>
  <c r="M161" i="39"/>
  <c r="M165" i="39"/>
  <c r="M159" i="39"/>
  <c r="M163" i="39"/>
  <c r="M158" i="39"/>
  <c r="M148" i="39"/>
  <c r="M170" i="39"/>
  <c r="M156" i="39"/>
  <c r="M155" i="39"/>
  <c r="M164" i="39"/>
  <c r="M166" i="39"/>
  <c r="M149" i="39"/>
  <c r="M157" i="39"/>
  <c r="M169" i="39"/>
  <c r="M153" i="39"/>
  <c r="M154" i="39"/>
  <c r="M167" i="39"/>
  <c r="M151" i="39"/>
  <c r="M168" i="39"/>
  <c r="M152" i="39"/>
  <c r="M150" i="39"/>
  <c r="M160" i="39"/>
  <c r="M87" i="39" l="1"/>
  <c r="M162" i="39"/>
  <c r="M147" i="39"/>
  <c r="M74" i="39"/>
  <c r="M108" i="39"/>
  <c r="M124" i="39"/>
  <c r="M132" i="39"/>
  <c r="M183" i="39"/>
  <c r="M144" i="39"/>
  <c r="M172" i="39"/>
  <c r="M98" i="39"/>
  <c r="M55" i="39"/>
  <c r="M143" i="39"/>
  <c r="M142" i="39"/>
  <c r="M60" i="39"/>
  <c r="M69" i="39"/>
  <c r="M97" i="39" l="1"/>
  <c r="M73" i="39"/>
  <c r="M171" i="39"/>
  <c r="M54" i="39"/>
  <c r="M146" i="39"/>
  <c r="M141" i="39"/>
  <c r="M123" i="39" s="1"/>
  <c r="M121" i="39" l="1"/>
  <c r="M20" i="39" s="1"/>
  <c r="E20" i="39" s="1"/>
  <c r="M52" i="39"/>
  <c r="M19" i="39" s="1"/>
  <c r="E19" i="39" l="1"/>
  <c r="M18" i="39"/>
  <c r="E18" i="39" s="1"/>
  <c r="B19" i="7" l="1"/>
  <c r="B31" i="7" l="1"/>
  <c r="B38" i="7" s="1"/>
  <c r="B45" i="7" l="1"/>
  <c r="B54" i="7" s="1"/>
  <c r="B89" i="7" s="1"/>
  <c r="B106" i="7" s="1"/>
  <c r="B122" i="7" l="1"/>
  <c r="B173" i="7" s="1"/>
  <c r="B184" i="7" l="1"/>
  <c r="B195" i="7" s="1"/>
  <c r="B206" i="7" l="1"/>
  <c r="B217" i="7" s="1"/>
  <c r="B228" i="7" s="1"/>
  <c r="B239" i="7" s="1"/>
  <c r="B250" i="7" l="1"/>
  <c r="B258" i="7" s="1"/>
  <c r="B268" i="7" l="1"/>
  <c r="B276" i="7" l="1"/>
  <c r="B284" i="7" s="1"/>
  <c r="B292" i="7" s="1"/>
  <c r="B300" i="7" s="1"/>
  <c r="B308" i="7" s="1"/>
  <c r="S69" i="52" l="1"/>
  <c r="Z69" i="52" l="1"/>
  <c r="S184" i="52"/>
  <c r="W184" i="52" l="1"/>
  <c r="Z75" i="52"/>
  <c r="Z184" i="52"/>
  <c r="Z190" i="52" s="1"/>
  <c r="Z191" i="52" s="1"/>
  <c r="X191" i="52" s="1"/>
  <c r="P7" i="52" l="1"/>
  <c r="P196" i="52"/>
  <c r="W196" i="52" s="1"/>
  <c r="J414" i="52" s="1"/>
  <c r="P414" i="52" s="1"/>
  <c r="P418" i="52" s="1"/>
  <c r="P422" i="52" s="1"/>
  <c r="H233" i="52" l="1"/>
  <c r="J385" i="52" s="1"/>
  <c r="Q385" i="52" s="1"/>
  <c r="T417" i="52"/>
  <c r="T413" i="52"/>
  <c r="T415" i="52"/>
  <c r="T416" i="52"/>
  <c r="T414" i="52"/>
  <c r="T418" i="52" l="1"/>
  <c r="AN257" i="52" l="1"/>
  <c r="AP257" i="52" s="1"/>
  <c r="AN264" i="52"/>
  <c r="AP264" i="52" s="1"/>
  <c r="AI58" i="7" l="1"/>
  <c r="AH58" i="7"/>
  <c r="AF58" i="7" l="1"/>
  <c r="AK58" i="7"/>
  <c r="AL257" i="52"/>
  <c r="AL264" i="52"/>
  <c r="AR257" i="52"/>
  <c r="AR264" i="52"/>
  <c r="P423" i="52"/>
  <c r="P424" i="52" s="1"/>
  <c r="S423" i="52" s="1"/>
  <c r="AO269" i="52"/>
  <c r="AO256" i="52"/>
  <c r="AG217" i="52"/>
  <c r="M404" i="52"/>
  <c r="P385" i="52"/>
  <c r="K385" i="52"/>
  <c r="M385" i="52" s="1"/>
  <c r="M380" i="52" s="1"/>
  <c r="N380" i="52" s="1"/>
  <c r="M363" i="52"/>
  <c r="M361" i="52" s="1"/>
  <c r="M354" i="52" l="1"/>
  <c r="M395" i="52" s="1"/>
  <c r="M357" i="52"/>
  <c r="V398" i="52" s="1"/>
  <c r="W398" i="52" s="1"/>
  <c r="M376" i="52"/>
  <c r="N376" i="52" s="1"/>
  <c r="F404" i="52"/>
  <c r="AG220" i="52" s="1"/>
  <c r="F397" i="52" s="1"/>
  <c r="K397" i="52" s="1"/>
  <c r="M356" i="52"/>
  <c r="P378" i="52" s="1"/>
  <c r="M360" i="52"/>
  <c r="P382" i="52" s="1"/>
  <c r="N361" i="52"/>
  <c r="M402" i="52"/>
  <c r="P383" i="52"/>
  <c r="V402" i="52"/>
  <c r="W402" i="52" s="1"/>
  <c r="F393" i="52"/>
  <c r="K393" i="52" s="1"/>
  <c r="M379" i="52"/>
  <c r="N379" i="52" s="1"/>
  <c r="M358" i="52"/>
  <c r="M375" i="52"/>
  <c r="N375" i="52" s="1"/>
  <c r="M373" i="52"/>
  <c r="N373" i="52" s="1"/>
  <c r="M381" i="52"/>
  <c r="N381" i="52" s="1"/>
  <c r="M359" i="52"/>
  <c r="M353" i="52"/>
  <c r="S424" i="52"/>
  <c r="M377" i="52"/>
  <c r="N377" i="52" s="1"/>
  <c r="M352" i="52"/>
  <c r="M383" i="52"/>
  <c r="N383" i="52" s="1"/>
  <c r="M382" i="52"/>
  <c r="N382" i="52" s="1"/>
  <c r="S422" i="52"/>
  <c r="M378" i="52"/>
  <c r="N378" i="52" s="1"/>
  <c r="M355" i="52"/>
  <c r="M374" i="52"/>
  <c r="N374" i="52" s="1"/>
  <c r="M351" i="52"/>
  <c r="M350" i="52"/>
  <c r="M372" i="52"/>
  <c r="N372" i="52" s="1"/>
  <c r="N354" i="52" l="1"/>
  <c r="P376" i="52"/>
  <c r="Q376" i="52" s="1"/>
  <c r="S376" i="52" s="1"/>
  <c r="T376" i="52" s="1"/>
  <c r="N357" i="52"/>
  <c r="M398" i="52"/>
  <c r="P379" i="52"/>
  <c r="Q379" i="52" s="1"/>
  <c r="S379" i="52" s="1"/>
  <c r="T379" i="52" s="1"/>
  <c r="X398" i="52" s="1"/>
  <c r="F400" i="52"/>
  <c r="K400" i="52" s="1"/>
  <c r="F396" i="52"/>
  <c r="K396" i="52" s="1"/>
  <c r="F392" i="52"/>
  <c r="K392" i="52" s="1"/>
  <c r="F402" i="52"/>
  <c r="K402" i="52" s="1"/>
  <c r="N402" i="52" s="1"/>
  <c r="P402" i="52" s="1"/>
  <c r="M424" i="52"/>
  <c r="F401" i="52"/>
  <c r="K401" i="52" s="1"/>
  <c r="F391" i="52"/>
  <c r="K391" i="52" s="1"/>
  <c r="V401" i="52"/>
  <c r="W401" i="52" s="1"/>
  <c r="G10" i="52"/>
  <c r="Q378" i="52"/>
  <c r="S378" i="52" s="1"/>
  <c r="T378" i="52" s="1"/>
  <c r="F399" i="52"/>
  <c r="K399" i="52" s="1"/>
  <c r="M401" i="52"/>
  <c r="M397" i="52"/>
  <c r="N397" i="52" s="1"/>
  <c r="P397" i="52" s="1"/>
  <c r="V397" i="52"/>
  <c r="W397" i="52" s="1"/>
  <c r="N360" i="52"/>
  <c r="Q382" i="52"/>
  <c r="S382" i="52" s="1"/>
  <c r="T382" i="52" s="1"/>
  <c r="F395" i="52"/>
  <c r="K395" i="52" s="1"/>
  <c r="N395" i="52" s="1"/>
  <c r="F394" i="52"/>
  <c r="K394" i="52" s="1"/>
  <c r="N356" i="52"/>
  <c r="F398" i="52"/>
  <c r="K398" i="52" s="1"/>
  <c r="K404" i="52"/>
  <c r="AG218" i="52" s="1"/>
  <c r="Q383" i="52"/>
  <c r="S383" i="52" s="1"/>
  <c r="T383" i="52" s="1"/>
  <c r="X402" i="52" s="1"/>
  <c r="V399" i="52"/>
  <c r="W399" i="52" s="1"/>
  <c r="N358" i="52"/>
  <c r="P380" i="52"/>
  <c r="Q380" i="52" s="1"/>
  <c r="S380" i="52" s="1"/>
  <c r="T380" i="52" s="1"/>
  <c r="M399" i="52"/>
  <c r="N352" i="52"/>
  <c r="M393" i="52"/>
  <c r="N393" i="52" s="1"/>
  <c r="AN258" i="52" s="1"/>
  <c r="AP258" i="52" s="1"/>
  <c r="P374" i="52"/>
  <c r="Q374" i="52" s="1"/>
  <c r="S374" i="52" s="1"/>
  <c r="T374" i="52" s="1"/>
  <c r="N353" i="52"/>
  <c r="M394" i="52"/>
  <c r="P375" i="52"/>
  <c r="Q375" i="52" s="1"/>
  <c r="S375" i="52" s="1"/>
  <c r="T375" i="52" s="1"/>
  <c r="N355" i="52"/>
  <c r="V396" i="52"/>
  <c r="W396" i="52" s="1"/>
  <c r="M396" i="52"/>
  <c r="P377" i="52"/>
  <c r="Q377" i="52" s="1"/>
  <c r="S377" i="52" s="1"/>
  <c r="T377" i="52" s="1"/>
  <c r="M391" i="52"/>
  <c r="P372" i="52"/>
  <c r="Q372" i="52" s="1"/>
  <c r="S372" i="52" s="1"/>
  <c r="T372" i="52" s="1"/>
  <c r="N350" i="52"/>
  <c r="V392" i="52"/>
  <c r="W392" i="52" s="1"/>
  <c r="N351" i="52"/>
  <c r="P373" i="52"/>
  <c r="Q373" i="52" s="1"/>
  <c r="S373" i="52" s="1"/>
  <c r="T373" i="52" s="1"/>
  <c r="M392" i="52"/>
  <c r="P381" i="52"/>
  <c r="Q381" i="52" s="1"/>
  <c r="S381" i="52" s="1"/>
  <c r="T381" i="52" s="1"/>
  <c r="N359" i="52"/>
  <c r="V400" i="52"/>
  <c r="W400" i="52" s="1"/>
  <c r="M400" i="52"/>
  <c r="P395" i="52" l="1"/>
  <c r="AN260" i="52"/>
  <c r="AP260" i="52" s="1"/>
  <c r="X397" i="52"/>
  <c r="X400" i="52"/>
  <c r="X399" i="52"/>
  <c r="X396" i="52"/>
  <c r="X401" i="52"/>
  <c r="X392" i="52"/>
  <c r="N400" i="52"/>
  <c r="P400" i="52" s="1"/>
  <c r="N398" i="52"/>
  <c r="P398" i="52" s="1"/>
  <c r="N396" i="52"/>
  <c r="P396" i="52" s="1"/>
  <c r="N392" i="52"/>
  <c r="P392" i="52" s="1"/>
  <c r="N401" i="52"/>
  <c r="P401" i="52" s="1"/>
  <c r="N399" i="52"/>
  <c r="P399" i="52" s="1"/>
  <c r="N404" i="52"/>
  <c r="S404" i="52" s="1"/>
  <c r="N394" i="52"/>
  <c r="P393" i="52"/>
  <c r="N391" i="52"/>
  <c r="N363" i="52"/>
  <c r="AH272" i="52" s="1"/>
  <c r="P350" i="52"/>
  <c r="P394" i="52" l="1"/>
  <c r="AN259" i="52"/>
  <c r="AP259" i="52" s="1"/>
  <c r="AG216" i="52"/>
  <c r="G11" i="52" s="1"/>
  <c r="AN269" i="52"/>
  <c r="AP269" i="52" s="1"/>
  <c r="AH274" i="52"/>
  <c r="G9" i="52" s="1"/>
  <c r="M423" i="52"/>
  <c r="AN256" i="52"/>
  <c r="AP256" i="52" s="1"/>
  <c r="P391" i="52"/>
  <c r="P404" i="52" l="1"/>
  <c r="Q391" i="52" s="1"/>
  <c r="J236" i="52" l="1"/>
  <c r="G236" i="52"/>
  <c r="G256" i="52" s="1"/>
  <c r="G209" i="52" s="1"/>
  <c r="K236" i="52"/>
  <c r="M236" i="52"/>
  <c r="H236" i="52"/>
  <c r="S391" i="52"/>
  <c r="Q397" i="52"/>
  <c r="Q395" i="52"/>
  <c r="Q398" i="52"/>
  <c r="Q402" i="52"/>
  <c r="Q393" i="52"/>
  <c r="Q401" i="52"/>
  <c r="Q400" i="52"/>
  <c r="Q394" i="52"/>
  <c r="Q392" i="52"/>
  <c r="Q399" i="52"/>
  <c r="Q396" i="52"/>
  <c r="T391" i="52" l="1"/>
  <c r="H242" i="52"/>
  <c r="H262" i="52" s="1"/>
  <c r="H215" i="52" s="1"/>
  <c r="G242" i="52"/>
  <c r="J242" i="52"/>
  <c r="J262" i="52" s="1"/>
  <c r="J215" i="52" s="1"/>
  <c r="K242" i="52"/>
  <c r="K262" i="52" s="1"/>
  <c r="K215" i="52" s="1"/>
  <c r="M242" i="52"/>
  <c r="M262" i="52" s="1"/>
  <c r="M215" i="52" s="1"/>
  <c r="S397" i="52"/>
  <c r="J247" i="52"/>
  <c r="J267" i="52" s="1"/>
  <c r="J220" i="52" s="1"/>
  <c r="H247" i="52"/>
  <c r="H267" i="52" s="1"/>
  <c r="H220" i="52" s="1"/>
  <c r="K247" i="52"/>
  <c r="K267" i="52" s="1"/>
  <c r="K220" i="52" s="1"/>
  <c r="M247" i="52"/>
  <c r="M267" i="52" s="1"/>
  <c r="M220" i="52" s="1"/>
  <c r="G247" i="52"/>
  <c r="S402" i="52"/>
  <c r="G238" i="52"/>
  <c r="M238" i="52"/>
  <c r="M258" i="52" s="1"/>
  <c r="M211" i="52" s="1"/>
  <c r="J238" i="52"/>
  <c r="J258" i="52" s="1"/>
  <c r="J211" i="52" s="1"/>
  <c r="K238" i="52"/>
  <c r="K258" i="52" s="1"/>
  <c r="K211" i="52" s="1"/>
  <c r="H238" i="52"/>
  <c r="H258" i="52" s="1"/>
  <c r="H211" i="52" s="1"/>
  <c r="S393" i="52"/>
  <c r="H244" i="52"/>
  <c r="H264" i="52" s="1"/>
  <c r="H217" i="52" s="1"/>
  <c r="K244" i="52"/>
  <c r="K264" i="52" s="1"/>
  <c r="K217" i="52" s="1"/>
  <c r="J244" i="52"/>
  <c r="J264" i="52" s="1"/>
  <c r="J217" i="52" s="1"/>
  <c r="G244" i="52"/>
  <c r="M244" i="52"/>
  <c r="M264" i="52" s="1"/>
  <c r="M217" i="52" s="1"/>
  <c r="S399" i="52"/>
  <c r="M239" i="52"/>
  <c r="M259" i="52" s="1"/>
  <c r="M212" i="52" s="1"/>
  <c r="G239" i="52"/>
  <c r="J239" i="52"/>
  <c r="J259" i="52" s="1"/>
  <c r="J212" i="52" s="1"/>
  <c r="H239" i="52"/>
  <c r="H259" i="52" s="1"/>
  <c r="H212" i="52" s="1"/>
  <c r="K239" i="52"/>
  <c r="K259" i="52" s="1"/>
  <c r="K212" i="52" s="1"/>
  <c r="S394" i="52"/>
  <c r="K243" i="52"/>
  <c r="K263" i="52" s="1"/>
  <c r="K216" i="52" s="1"/>
  <c r="J243" i="52"/>
  <c r="J263" i="52" s="1"/>
  <c r="J216" i="52" s="1"/>
  <c r="G243" i="52"/>
  <c r="H243" i="52"/>
  <c r="H263" i="52" s="1"/>
  <c r="H216" i="52" s="1"/>
  <c r="M243" i="52"/>
  <c r="M263" i="52" s="1"/>
  <c r="M216" i="52" s="1"/>
  <c r="S398" i="52"/>
  <c r="Q404" i="52"/>
  <c r="G269" i="52" s="1"/>
  <c r="AJ256" i="52"/>
  <c r="AL256" i="52" s="1"/>
  <c r="M240" i="52"/>
  <c r="M260" i="52" s="1"/>
  <c r="M213" i="52" s="1"/>
  <c r="G240" i="52"/>
  <c r="H240" i="52"/>
  <c r="H260" i="52" s="1"/>
  <c r="H213" i="52" s="1"/>
  <c r="K240" i="52"/>
  <c r="K260" i="52" s="1"/>
  <c r="K213" i="52" s="1"/>
  <c r="J240" i="52"/>
  <c r="J260" i="52" s="1"/>
  <c r="J213" i="52" s="1"/>
  <c r="S395" i="52"/>
  <c r="G241" i="52"/>
  <c r="H241" i="52"/>
  <c r="H261" i="52" s="1"/>
  <c r="H214" i="52" s="1"/>
  <c r="K241" i="52"/>
  <c r="K261" i="52" s="1"/>
  <c r="K214" i="52" s="1"/>
  <c r="J241" i="52"/>
  <c r="J261" i="52" s="1"/>
  <c r="J214" i="52" s="1"/>
  <c r="M241" i="52"/>
  <c r="M261" i="52" s="1"/>
  <c r="M214" i="52" s="1"/>
  <c r="S396" i="52"/>
  <c r="H256" i="52"/>
  <c r="H209" i="52" s="1"/>
  <c r="H237" i="52"/>
  <c r="H257" i="52" s="1"/>
  <c r="H210" i="52" s="1"/>
  <c r="M237" i="52"/>
  <c r="M257" i="52" s="1"/>
  <c r="M210" i="52" s="1"/>
  <c r="K237" i="52"/>
  <c r="K257" i="52" s="1"/>
  <c r="K210" i="52" s="1"/>
  <c r="G237" i="52"/>
  <c r="J237" i="52"/>
  <c r="J257" i="52" s="1"/>
  <c r="J210" i="52" s="1"/>
  <c r="S392" i="52"/>
  <c r="M256" i="52"/>
  <c r="M209" i="52" s="1"/>
  <c r="K256" i="52"/>
  <c r="K209" i="52" s="1"/>
  <c r="J245" i="52"/>
  <c r="J265" i="52" s="1"/>
  <c r="J218" i="52" s="1"/>
  <c r="G245" i="52"/>
  <c r="H245" i="52"/>
  <c r="H265" i="52" s="1"/>
  <c r="H218" i="52" s="1"/>
  <c r="M245" i="52"/>
  <c r="M265" i="52" s="1"/>
  <c r="M218" i="52" s="1"/>
  <c r="K245" i="52"/>
  <c r="K265" i="52" s="1"/>
  <c r="K218" i="52" s="1"/>
  <c r="S400" i="52"/>
  <c r="H246" i="52"/>
  <c r="H266" i="52" s="1"/>
  <c r="H219" i="52" s="1"/>
  <c r="G246" i="52"/>
  <c r="J246" i="52"/>
  <c r="J266" i="52" s="1"/>
  <c r="J219" i="52" s="1"/>
  <c r="M246" i="52"/>
  <c r="M266" i="52" s="1"/>
  <c r="M219" i="52" s="1"/>
  <c r="K246" i="52"/>
  <c r="K266" i="52" s="1"/>
  <c r="K219" i="52" s="1"/>
  <c r="S401" i="52"/>
  <c r="J256" i="52"/>
  <c r="J209" i="52" s="1"/>
  <c r="T395" i="52" l="1"/>
  <c r="V395" i="52" s="1"/>
  <c r="W395" i="52" s="1"/>
  <c r="T394" i="52"/>
  <c r="V394" i="52" s="1"/>
  <c r="W394" i="52" s="1"/>
  <c r="T393" i="52"/>
  <c r="V393" i="52" s="1"/>
  <c r="W393" i="52" s="1"/>
  <c r="J250" i="52"/>
  <c r="G266" i="52"/>
  <c r="G219" i="52" s="1"/>
  <c r="AJ266" i="52"/>
  <c r="G261" i="52"/>
  <c r="G214" i="52" s="1"/>
  <c r="AJ261" i="52"/>
  <c r="G267" i="52"/>
  <c r="G220" i="52" s="1"/>
  <c r="AJ267" i="52"/>
  <c r="G257" i="52"/>
  <c r="G210" i="52" s="1"/>
  <c r="AJ257" i="52"/>
  <c r="G264" i="52"/>
  <c r="G217" i="52" s="1"/>
  <c r="AJ264" i="52"/>
  <c r="AJ263" i="52"/>
  <c r="G263" i="52"/>
  <c r="G216" i="52" s="1"/>
  <c r="AJ265" i="52"/>
  <c r="G265" i="52"/>
  <c r="G218" i="52" s="1"/>
  <c r="H250" i="52"/>
  <c r="G260" i="52"/>
  <c r="G213" i="52" s="1"/>
  <c r="AJ260" i="52"/>
  <c r="AL260" i="52" s="1"/>
  <c r="G250" i="52"/>
  <c r="M250" i="52"/>
  <c r="V391" i="52"/>
  <c r="W391" i="52" s="1"/>
  <c r="AJ259" i="52"/>
  <c r="AL259" i="52" s="1"/>
  <c r="G259" i="52"/>
  <c r="G212" i="52" s="1"/>
  <c r="G262" i="52"/>
  <c r="G215" i="52" s="1"/>
  <c r="AJ262" i="52"/>
  <c r="K250" i="52"/>
  <c r="G249" i="52"/>
  <c r="J249" i="52"/>
  <c r="J252" i="52" s="1"/>
  <c r="H269" i="52"/>
  <c r="Q7" i="52" s="1"/>
  <c r="H249" i="52"/>
  <c r="H252" i="52" s="1"/>
  <c r="K269" i="52"/>
  <c r="Q9" i="52" s="1"/>
  <c r="M249" i="52"/>
  <c r="M252" i="52" s="1"/>
  <c r="J269" i="52"/>
  <c r="Q8" i="52" s="1"/>
  <c r="Q6" i="52"/>
  <c r="K249" i="52"/>
  <c r="K252" i="52" s="1"/>
  <c r="M269" i="52"/>
  <c r="G258" i="52"/>
  <c r="G211" i="52" s="1"/>
  <c r="AJ258" i="52"/>
  <c r="AL258" i="52" s="1"/>
  <c r="AR260" i="52" l="1"/>
  <c r="X395" i="52"/>
  <c r="AR259" i="52"/>
  <c r="X394" i="52"/>
  <c r="AR258" i="52"/>
  <c r="X393" i="52"/>
  <c r="AR256" i="52"/>
  <c r="X391" i="52"/>
  <c r="J253" i="52"/>
  <c r="J254" i="52"/>
  <c r="M253" i="52"/>
  <c r="M254" i="52"/>
  <c r="K253" i="52"/>
  <c r="K254" i="52"/>
  <c r="AJ269" i="52"/>
  <c r="AL269" i="52" s="1"/>
  <c r="T404" i="52"/>
  <c r="V404" i="52" s="1"/>
  <c r="W404" i="52" s="1"/>
  <c r="AR269" i="52" s="1"/>
  <c r="G252" i="52"/>
  <c r="AG208" i="52"/>
  <c r="Q10" i="52"/>
  <c r="Q11" i="52"/>
  <c r="H254" i="52"/>
  <c r="H253" i="52"/>
  <c r="AG210" i="52" l="1"/>
  <c r="G12" i="52" s="1"/>
  <c r="G254" i="52"/>
  <c r="N254" i="52" s="1"/>
  <c r="G253" i="52"/>
  <c r="N253" i="52" s="1"/>
  <c r="AA129" i="7" l="1"/>
  <c r="AA125" i="7" s="1"/>
  <c r="AB125" i="7"/>
  <c r="AB129" i="7"/>
  <c r="X129" i="7" s="1" a="1"/>
  <c r="X129" i="7" s="1"/>
  <c r="Z125" i="7"/>
  <c r="Y129" i="7"/>
  <c r="Y125" i="7" s="1"/>
  <c r="AL130" i="7" l="1"/>
  <c r="AL129" i="7"/>
  <c r="AL128" i="7"/>
  <c r="AL127" i="7"/>
  <c r="AL131" i="7"/>
  <c r="AL133" i="7"/>
  <c r="AL132" i="7"/>
  <c r="X125" i="7" a="1"/>
  <c r="X125" i="7" s="1"/>
  <c r="AM129" i="7" l="1"/>
  <c r="AR129" i="7"/>
  <c r="AQ129" i="7"/>
  <c r="AP129" i="7"/>
  <c r="AO129" i="7"/>
  <c r="AS129" i="7"/>
  <c r="AN129" i="7"/>
  <c r="AP131" i="7"/>
  <c r="AR131" i="7"/>
  <c r="AM131" i="7"/>
  <c r="AO131" i="7"/>
  <c r="AN131" i="7"/>
  <c r="AS131" i="7"/>
  <c r="AQ131" i="7"/>
  <c r="AM127" i="7"/>
  <c r="AQ127" i="7"/>
  <c r="AO127" i="7"/>
  <c r="AR127" i="7"/>
  <c r="AN127" i="7"/>
  <c r="AS127" i="7"/>
  <c r="AP127" i="7"/>
  <c r="AP130" i="7"/>
  <c r="AR130" i="7"/>
  <c r="AS130" i="7"/>
  <c r="AN130" i="7"/>
  <c r="AQ130" i="7"/>
  <c r="AO130" i="7"/>
  <c r="AM130" i="7"/>
  <c r="AN132" i="7"/>
  <c r="AR132" i="7"/>
  <c r="AP132" i="7"/>
  <c r="AS132" i="7"/>
  <c r="AQ132" i="7"/>
  <c r="AO132" i="7"/>
  <c r="AM132" i="7"/>
  <c r="AN133" i="7"/>
  <c r="AO133" i="7"/>
  <c r="AQ133" i="7"/>
  <c r="AR133" i="7"/>
  <c r="AP133" i="7"/>
  <c r="AM133" i="7"/>
  <c r="AS133" i="7"/>
  <c r="AQ128" i="7"/>
  <c r="AR128" i="7"/>
  <c r="AO128" i="7"/>
  <c r="AS128" i="7"/>
  <c r="AM128" i="7"/>
  <c r="AN128" i="7"/>
  <c r="AP128" i="7"/>
  <c r="AM140" i="7" l="1"/>
  <c r="AM148" i="7"/>
  <c r="AN137" i="7"/>
  <c r="AN145" i="7"/>
  <c r="AN136" i="7"/>
  <c r="AN144" i="7"/>
  <c r="AM136" i="7"/>
  <c r="AM144" i="7"/>
  <c r="AS136" i="7"/>
  <c r="AS144" i="7"/>
  <c r="AQ140" i="7"/>
  <c r="AQ148" i="7"/>
  <c r="AS135" i="7"/>
  <c r="AS143" i="7"/>
  <c r="AS137" i="7"/>
  <c r="AS145" i="7"/>
  <c r="AN141" i="7"/>
  <c r="AN149" i="7"/>
  <c r="AM139" i="7"/>
  <c r="AM147" i="7"/>
  <c r="AP139" i="7"/>
  <c r="AP147" i="7"/>
  <c r="AO137" i="7"/>
  <c r="AO145" i="7"/>
  <c r="AO139" i="7"/>
  <c r="AO147" i="7"/>
  <c r="AP135" i="7"/>
  <c r="AP143" i="7"/>
  <c r="AQ136" i="7"/>
  <c r="AQ144" i="7"/>
  <c r="AR140" i="7"/>
  <c r="AR148" i="7"/>
  <c r="AP141" i="7"/>
  <c r="AP149" i="7"/>
  <c r="AP137" i="7"/>
  <c r="AP145" i="7"/>
  <c r="AS138" i="7"/>
  <c r="AS146" i="7"/>
  <c r="AO140" i="7"/>
  <c r="AO148" i="7"/>
  <c r="AR139" i="7"/>
  <c r="AR147" i="7"/>
  <c r="AP140" i="7"/>
  <c r="AP148" i="7"/>
  <c r="AR135" i="7"/>
  <c r="AR143" i="7"/>
  <c r="AO135" i="7"/>
  <c r="AO143" i="7"/>
  <c r="AM135" i="7"/>
  <c r="AM143" i="7"/>
  <c r="AQ137" i="7"/>
  <c r="AQ145" i="7"/>
  <c r="AR138" i="7"/>
  <c r="AR146" i="7"/>
  <c r="AO136" i="7"/>
  <c r="AO144" i="7"/>
  <c r="AS140" i="7"/>
  <c r="AS148" i="7"/>
  <c r="AS141" i="7"/>
  <c r="AS149" i="7"/>
  <c r="AN140" i="7"/>
  <c r="AN148" i="7"/>
  <c r="AQ135" i="7"/>
  <c r="AQ143" i="7"/>
  <c r="AO138" i="7"/>
  <c r="AO146" i="7"/>
  <c r="AQ141" i="7"/>
  <c r="AQ149" i="7"/>
  <c r="AQ138" i="7"/>
  <c r="AQ146" i="7"/>
  <c r="AQ139" i="7"/>
  <c r="AQ147" i="7"/>
  <c r="AR137" i="7"/>
  <c r="AR145" i="7"/>
  <c r="AN139" i="7"/>
  <c r="AN147" i="7"/>
  <c r="AP138" i="7"/>
  <c r="AP146" i="7"/>
  <c r="AR136" i="7"/>
  <c r="AR144" i="7"/>
  <c r="AN135" i="7"/>
  <c r="AN143" i="7"/>
  <c r="AM141" i="7"/>
  <c r="AM149" i="7"/>
  <c r="AM138" i="7"/>
  <c r="AM146" i="7"/>
  <c r="AR141" i="7"/>
  <c r="AR149" i="7"/>
  <c r="AP136" i="7"/>
  <c r="AP144" i="7"/>
  <c r="AO141" i="7"/>
  <c r="AO149" i="7"/>
  <c r="AN138" i="7"/>
  <c r="AN146" i="7"/>
  <c r="AS139" i="7"/>
  <c r="AS147" i="7"/>
  <c r="AM137" i="7"/>
  <c r="AM14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Pieter Nuiten</author>
  </authors>
  <commentList>
    <comment ref="N92" authorId="0" shapeId="0" xr:uid="{EA7D2F4E-C4DA-4434-BE88-3E5C64C17687}">
      <text>
        <r>
          <rPr>
            <b/>
            <sz val="9"/>
            <color indexed="81"/>
            <rFont val="Tahoma"/>
            <family val="2"/>
          </rPr>
          <t>Pieter Nuiten:</t>
        </r>
        <r>
          <rPr>
            <sz val="9"/>
            <color indexed="81"/>
            <rFont val="Tahoma"/>
            <family val="2"/>
          </rPr>
          <t xml:space="preserve">
x:\Inhoudelijk\GPR GEBOUW\GPR Gebouw 4\2. Onderhoud &amp; Ontwikkeling\2. Ontwikkeling thema's\0. DPG\Conversieformules rapportcijfer NMD 2.1\Bepaling formules DPG, 19-12-2017 richting GPR 4.4 en NTA8800.xlsx</t>
        </r>
      </text>
    </comment>
    <comment ref="W92" authorId="0" shapeId="0" xr:uid="{ADD43119-E9A7-4E5F-BDEB-40E7A532714B}">
      <text>
        <r>
          <rPr>
            <b/>
            <sz val="9"/>
            <color indexed="81"/>
            <rFont val="Tahoma"/>
            <family val="2"/>
          </rPr>
          <t>Pieter Nuiten:</t>
        </r>
        <r>
          <rPr>
            <sz val="9"/>
            <color indexed="81"/>
            <rFont val="Tahoma"/>
            <family val="2"/>
          </rPr>
          <t xml:space="preserve">
x:\Inhoudelijk\GPR GEBOUW\GPR Gebouw 4\2. Onderhoud &amp; Ontwikkeling\2. Ontwikkeling thema's\0. DPG\Conversieformules rapportcijfer NMD 2.1\Bepaling formules DPG, 19-12-2017 richting GPR 4.4 en NTA8800.xlsx</t>
        </r>
      </text>
    </comment>
    <comment ref="N125" authorId="0" shapeId="0" xr:uid="{34824E80-F995-4AC8-9B42-F4D0D860621A}">
      <text>
        <r>
          <rPr>
            <b/>
            <sz val="9"/>
            <color indexed="81"/>
            <rFont val="Tahoma"/>
            <family val="2"/>
          </rPr>
          <t>Pieter Nuiten:</t>
        </r>
        <r>
          <rPr>
            <sz val="9"/>
            <color indexed="81"/>
            <rFont val="Tahoma"/>
            <family val="2"/>
          </rPr>
          <t xml:space="preserve">
x:\Inhoudelijk\GPR GEBOUW\GPR Gebouw 4\2. Onderhoud &amp; Ontwikkeling\2. Ontwikkeling thema's\0. DPG\Conversieformules rapportcijfer NMD 2.1\Bepaling formules DPG, 19-12-2017 richting GPR 4.4 en NTA8800.xlsx</t>
        </r>
      </text>
    </comment>
    <comment ref="E141" authorId="0" shapeId="0" xr:uid="{DBDF9042-910F-4E38-98AB-AF24967BDCB6}">
      <text>
        <r>
          <rPr>
            <b/>
            <sz val="9"/>
            <color indexed="81"/>
            <rFont val="Tahoma"/>
            <family val="2"/>
          </rPr>
          <t>Pieter Nuiten:</t>
        </r>
        <r>
          <rPr>
            <sz val="9"/>
            <color indexed="81"/>
            <rFont val="Tahoma"/>
            <family val="2"/>
          </rPr>
          <t xml:space="preserve">
x:\Inhoudelijk\GPR GEBOUW\GPR Gebouw 4\2. Onderhoud &amp; Ontwikkeling\2. Ontwikkeling thema's\0. DPG\Conversieformules rapportcijfer NMD 2.1\Bepaling formules DPG, 19-12-2017 richting GPR 4.4 en NTA8800.xlsx</t>
        </r>
      </text>
    </comment>
    <comment ref="G141" authorId="0" shapeId="0" xr:uid="{80C28915-223C-4720-9629-4EACC72A8F22}">
      <text>
        <r>
          <rPr>
            <b/>
            <sz val="9"/>
            <color indexed="81"/>
            <rFont val="Tahoma"/>
            <family val="2"/>
          </rPr>
          <t>Pieter Nuiten:</t>
        </r>
        <r>
          <rPr>
            <sz val="9"/>
            <color indexed="81"/>
            <rFont val="Tahoma"/>
            <family val="2"/>
          </rPr>
          <t xml:space="preserve">
x:\Inhoudelijk\GPR GEBOUW\GPR Gebouw 4\2. Onderhoud &amp; Ontwikkeling\2. Ontwikkeling thema's\0. DPG\Conversieformules rapportcijfer NMD 2.1\Bepaling formules DPG, 19-12-2017 richting GPR 4.4 en NTA8800.xlsx</t>
        </r>
      </text>
    </comment>
    <comment ref="N141" authorId="0" shapeId="0" xr:uid="{C286878D-4A58-46F3-975C-A44246174E9E}">
      <text>
        <r>
          <rPr>
            <b/>
            <sz val="9"/>
            <color indexed="81"/>
            <rFont val="Tahoma"/>
            <family val="2"/>
          </rPr>
          <t>Pieter Nuiten:</t>
        </r>
        <r>
          <rPr>
            <sz val="9"/>
            <color indexed="81"/>
            <rFont val="Tahoma"/>
            <family val="2"/>
          </rPr>
          <t xml:space="preserve">
x:\Inhoudelijk\GPR GEBOUW\GPR Gebouw 4\2. Onderhoud &amp; Ontwikkeling\2. Ontwikkeling thema's\0. DPG\Conversieformules rapportcijfer NMD 2.1\Bepaling formules DPG, 19-12-2017 richting GPR 4.4 en NTA8800.xlsx</t>
        </r>
      </text>
    </comment>
    <comment ref="E157" authorId="0" shapeId="0" xr:uid="{E7711716-082A-4497-8DE1-DEDAC8935AD3}">
      <text>
        <r>
          <rPr>
            <b/>
            <sz val="9"/>
            <color indexed="81"/>
            <rFont val="Tahoma"/>
            <family val="2"/>
          </rPr>
          <t>Pieter Nuiten:</t>
        </r>
        <r>
          <rPr>
            <sz val="9"/>
            <color indexed="81"/>
            <rFont val="Tahoma"/>
            <family val="2"/>
          </rPr>
          <t xml:space="preserve">
x:\Inhoudelijk\GPR GEBOUW\GPR Gebouw 4\2. Onderhoud &amp; Ontwikkeling\2. Ontwikkeling thema's\0. DPG\Conversieformules rapportcijfer NMD 2.1\Bepaling formules DPG, 19-12-2017 richting GPR 4.4 en NTA8800.xlsx</t>
        </r>
      </text>
    </comment>
    <comment ref="N157" authorId="0" shapeId="0" xr:uid="{11A959CE-3155-4D40-B660-2FD5CE06557B}">
      <text>
        <r>
          <rPr>
            <b/>
            <sz val="9"/>
            <color indexed="81"/>
            <rFont val="Tahoma"/>
            <family val="2"/>
          </rPr>
          <t>Pieter Nuiten:</t>
        </r>
        <r>
          <rPr>
            <sz val="9"/>
            <color indexed="81"/>
            <rFont val="Tahoma"/>
            <family val="2"/>
          </rPr>
          <t xml:space="preserve">
x:\Inhoudelijk\GPR GEBOUW\GPR Gebouw 4\2. Onderhoud &amp; Ontwikkeling\2. Ontwikkeling thema's\0. DPG\Conversieformules rapportcijfer NMD 2.1\Bepaling formules DPG, 19-12-2017 richting GPR 4.4 en NTA8800.xlsx</t>
        </r>
      </text>
    </comment>
    <comment ref="P157" authorId="0" shapeId="0" xr:uid="{4CC320FF-D5E8-46C1-A3C0-C1997C1910C6}">
      <text>
        <r>
          <rPr>
            <b/>
            <sz val="9"/>
            <color indexed="81"/>
            <rFont val="Tahoma"/>
            <family val="2"/>
          </rPr>
          <t>Pieter Nuiten:</t>
        </r>
        <r>
          <rPr>
            <sz val="9"/>
            <color indexed="81"/>
            <rFont val="Tahoma"/>
            <family val="2"/>
          </rPr>
          <t xml:space="preserve">
x:\Inhoudelijk\GPR GEBOUW\GPR Gebouw 4\2. Onderhoud &amp; Ontwikkeling\2. Ontwikkeling thema's\0. DPG\Conversieformules rapportcijfer NMD 2.1\Bepaling formules DPG, 19-12-2017 richting GPR 4.4 en NTA8800.xlsx</t>
        </r>
      </text>
    </comment>
    <comment ref="W157" authorId="0" shapeId="0" xr:uid="{A1448865-D94C-4C5A-B159-972FBDB3A1F8}">
      <text>
        <r>
          <rPr>
            <b/>
            <sz val="9"/>
            <color indexed="81"/>
            <rFont val="Tahoma"/>
            <family val="2"/>
          </rPr>
          <t>Pieter Nuiten:</t>
        </r>
        <r>
          <rPr>
            <sz val="9"/>
            <color indexed="81"/>
            <rFont val="Tahoma"/>
            <family val="2"/>
          </rPr>
          <t xml:space="preserve">
x:\Inhoudelijk\GPR GEBOUW\GPR Gebouw 4\2. Onderhoud &amp; Ontwikkeling\2. Ontwikkeling thema's\0. DPG\Conversieformules rapportcijfer NMD 2.1\Bepaling formules DPG, 19-12-2017 richting GPR 4.4 en NTA8800.xlsx</t>
        </r>
      </text>
    </comment>
    <comment ref="N301" authorId="0" shapeId="0" xr:uid="{B3DC97E2-631A-4138-BDBB-4E33FDCEDE03}">
      <text>
        <r>
          <rPr>
            <b/>
            <sz val="9"/>
            <color indexed="81"/>
            <rFont val="Tahoma"/>
            <family val="2"/>
          </rPr>
          <t>Pieter Nuiten:</t>
        </r>
        <r>
          <rPr>
            <sz val="9"/>
            <color indexed="81"/>
            <rFont val="Tahoma"/>
            <family val="2"/>
          </rPr>
          <t xml:space="preserve">
Global Warming potenial in kg CO2 eq tbv Klimaatmonitor. Dus E+M.</t>
        </r>
      </text>
    </comment>
    <comment ref="O301" authorId="0" shapeId="0" xr:uid="{C565D352-E805-4CD6-9E0F-DC59C609A501}">
      <text>
        <r>
          <rPr>
            <b/>
            <sz val="9"/>
            <color indexed="81"/>
            <rFont val="Tahoma"/>
            <family val="2"/>
          </rPr>
          <t>Pieter Nuiten:</t>
        </r>
        <r>
          <rPr>
            <sz val="9"/>
            <color indexed="81"/>
            <rFont val="Tahoma"/>
            <family val="2"/>
          </rPr>
          <t xml:space="preserve">
Global Warming potenial in kg CO2 eq tbv Klimaatmonitor. Dus E+M.</t>
        </r>
      </text>
    </comment>
    <comment ref="P301" authorId="0" shapeId="0" xr:uid="{92B51DFA-C868-4224-A85C-08EC4E8FCFF8}">
      <text>
        <r>
          <rPr>
            <b/>
            <sz val="9"/>
            <color indexed="81"/>
            <rFont val="Tahoma"/>
            <family val="2"/>
          </rPr>
          <t>Pieter Nuiten:</t>
        </r>
        <r>
          <rPr>
            <sz val="9"/>
            <color indexed="81"/>
            <rFont val="Tahoma"/>
            <family val="2"/>
          </rPr>
          <t xml:space="preserve">
Global Warming potenial in kg CO2 eq tbv Klimaatmonitor. Dus E+M.</t>
        </r>
      </text>
    </comment>
    <comment ref="E306" authorId="0" shapeId="0" xr:uid="{8DFED96D-50F9-44E7-BDBA-77EB1326E6E9}">
      <text>
        <r>
          <rPr>
            <b/>
            <sz val="9"/>
            <color indexed="81"/>
            <rFont val="Tahoma"/>
            <family val="2"/>
          </rPr>
          <t>Pieter Nuiten:</t>
        </r>
        <r>
          <rPr>
            <sz val="9"/>
            <color indexed="81"/>
            <rFont val="Tahoma"/>
            <family val="2"/>
          </rPr>
          <t xml:space="preserve">
In GPR 4.3 is deze ingebouwd als 
0,0045973 euro/</t>
        </r>
        <r>
          <rPr>
            <b/>
            <sz val="9"/>
            <color indexed="81"/>
            <rFont val="Tahoma"/>
            <family val="2"/>
          </rPr>
          <t>kg</t>
        </r>
        <r>
          <rPr>
            <sz val="9"/>
            <color indexed="81"/>
            <rFont val="Tahoma"/>
            <family val="2"/>
          </rPr>
          <t>, maar dat had 
0,0045973 euro/</t>
        </r>
        <r>
          <rPr>
            <b/>
            <sz val="9"/>
            <color indexed="81"/>
            <rFont val="Tahoma"/>
            <family val="2"/>
          </rPr>
          <t>MJ</t>
        </r>
        <r>
          <rPr>
            <sz val="9"/>
            <color indexed="81"/>
            <rFont val="Tahoma"/>
            <family val="2"/>
          </rPr>
          <t xml:space="preserve"> moeten zijn. Per kg dus ongeveer een factor 15 hoger. </t>
        </r>
      </text>
    </comment>
    <comment ref="I306" authorId="0" shapeId="0" xr:uid="{AE8C89E1-960F-41C1-A1C0-394FDE9EC99A}">
      <text>
        <r>
          <rPr>
            <b/>
            <sz val="9"/>
            <color indexed="81"/>
            <rFont val="Tahoma"/>
            <family val="2"/>
          </rPr>
          <t>Pieter Nuiten:</t>
        </r>
        <r>
          <rPr>
            <sz val="9"/>
            <color indexed="81"/>
            <rFont val="Tahoma"/>
            <family val="2"/>
          </rPr>
          <t xml:space="preserve">
Ten opzichte van de waarde voor GPR 4.3 zoals ie bedoeld is, dus gezien per MJ en niet per kg zoals het in de software is geïmplementeerd.</t>
        </r>
      </text>
    </comment>
    <comment ref="J306" authorId="0" shapeId="0" xr:uid="{7105B2D9-F704-4178-90E8-BB9C0FA2AD35}">
      <text>
        <r>
          <rPr>
            <b/>
            <sz val="9"/>
            <color indexed="81"/>
            <rFont val="Tahoma"/>
            <family val="2"/>
          </rPr>
          <t>Pieter Nuiten:</t>
        </r>
        <r>
          <rPr>
            <sz val="9"/>
            <color indexed="81"/>
            <rFont val="Tahoma"/>
            <family val="2"/>
          </rPr>
          <t xml:space="preserve">
Ten opzichte van de waarde voor GPR 4.3 zoals ie bedoeld is, dus gezien per MJ en niet per kg zoals het in de software is geïmplementeerd.</t>
        </r>
      </text>
    </comment>
    <comment ref="N309" authorId="0" shapeId="0" xr:uid="{D8EC6CF5-C42E-4165-96CE-9289041CF3C8}">
      <text>
        <r>
          <rPr>
            <b/>
            <sz val="9"/>
            <color indexed="81"/>
            <rFont val="Tahoma"/>
            <family val="2"/>
          </rPr>
          <t>Pieter Nuiten:</t>
        </r>
        <r>
          <rPr>
            <sz val="9"/>
            <color indexed="81"/>
            <rFont val="Tahoma"/>
            <family val="2"/>
          </rPr>
          <t xml:space="preserve">
Global Warming potenial in kg CO2 eq tbv Klimaatmonitor. Dus E+M.</t>
        </r>
      </text>
    </comment>
    <comment ref="O309" authorId="0" shapeId="0" xr:uid="{71F593B7-E8D7-4731-8B24-D8426A4FB2F9}">
      <text>
        <r>
          <rPr>
            <b/>
            <sz val="9"/>
            <color indexed="81"/>
            <rFont val="Tahoma"/>
            <family val="2"/>
          </rPr>
          <t>Pieter Nuiten:</t>
        </r>
        <r>
          <rPr>
            <sz val="9"/>
            <color indexed="81"/>
            <rFont val="Tahoma"/>
            <family val="2"/>
          </rPr>
          <t xml:space="preserve">
Global Warming potenial in kg CO2 eq tbv Klimaatmonitor. Dus E+M.</t>
        </r>
      </text>
    </comment>
    <comment ref="P309" authorId="0" shapeId="0" xr:uid="{7774046F-4ECA-416F-A8D4-81085D7DA8A0}">
      <text>
        <r>
          <rPr>
            <b/>
            <sz val="9"/>
            <color indexed="81"/>
            <rFont val="Tahoma"/>
            <family val="2"/>
          </rPr>
          <t>Pieter Nuiten:</t>
        </r>
        <r>
          <rPr>
            <sz val="9"/>
            <color indexed="81"/>
            <rFont val="Tahoma"/>
            <family val="2"/>
          </rPr>
          <t xml:space="preserve">
Global Warming potenial in kg CO2 eq tbv Klimaatmonitor. Dus E+M.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Pieter Nuiten</author>
  </authors>
  <commentList>
    <comment ref="K320" authorId="0" shapeId="0" xr:uid="{1CE280A6-6265-4EB3-AD6C-48AB9D5C73C4}">
      <text>
        <r>
          <rPr>
            <b/>
            <sz val="9"/>
            <color indexed="81"/>
            <rFont val="Tahoma"/>
            <family val="2"/>
          </rPr>
          <t>Pieter Nuiten:</t>
        </r>
        <r>
          <rPr>
            <sz val="9"/>
            <color indexed="81"/>
            <rFont val="Tahoma"/>
            <family val="2"/>
          </rPr>
          <t xml:space="preserve">
Deze moet gelijk zijn aan de ingevoerde primaire energie per m2 GO.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Pieter Nuiten</author>
  </authors>
  <commentList>
    <comment ref="K320" authorId="0" shapeId="0" xr:uid="{ED261CE2-E790-47C1-81C1-808127740D7F}">
      <text>
        <r>
          <rPr>
            <b/>
            <sz val="9"/>
            <color indexed="81"/>
            <rFont val="Tahoma"/>
            <family val="2"/>
          </rPr>
          <t>Pieter Nuiten:</t>
        </r>
        <r>
          <rPr>
            <sz val="9"/>
            <color indexed="81"/>
            <rFont val="Tahoma"/>
            <family val="2"/>
          </rPr>
          <t xml:space="preserve">
Deze moet gelijk zijn aan de ingevoerde primaire energie per m2 GO.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Pieter Nuiten</author>
  </authors>
  <commentList>
    <comment ref="K320" authorId="0" shapeId="0" xr:uid="{1D57A742-395A-4F63-8F8E-9EB6F6130784}">
      <text>
        <r>
          <rPr>
            <b/>
            <sz val="9"/>
            <color indexed="81"/>
            <rFont val="Tahoma"/>
            <family val="2"/>
          </rPr>
          <t>Pieter Nuiten:</t>
        </r>
        <r>
          <rPr>
            <sz val="9"/>
            <color indexed="81"/>
            <rFont val="Tahoma"/>
            <family val="2"/>
          </rPr>
          <t xml:space="preserve">
Deze moet gelijk zijn aan de ingevoerde primaire energie per m2 GO.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Pieter Nuiten</author>
  </authors>
  <commentList>
    <comment ref="K320" authorId="0" shapeId="0" xr:uid="{577A3049-D8F9-4313-9CC0-8725F6099EA2}">
      <text>
        <r>
          <rPr>
            <b/>
            <sz val="9"/>
            <color indexed="81"/>
            <rFont val="Tahoma"/>
            <family val="2"/>
          </rPr>
          <t>Pieter Nuiten:</t>
        </r>
        <r>
          <rPr>
            <sz val="9"/>
            <color indexed="81"/>
            <rFont val="Tahoma"/>
            <family val="2"/>
          </rPr>
          <t xml:space="preserve">
Deze moet gelijk zijn aan de ingevoerde primaire energie per m2 GO.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Wouter van Wijnen</author>
  </authors>
  <commentList>
    <comment ref="E19" authorId="0" shapeId="0" xr:uid="{31F06D05-13EA-4726-9F97-8F1CA15DA868}">
      <text>
        <r>
          <rPr>
            <sz val="9"/>
            <color indexed="81"/>
            <rFont val="Tahoma"/>
            <family val="2"/>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<sst xmlns="http://schemas.openxmlformats.org/spreadsheetml/2006/main" count="9545" uniqueCount="1849">
  <si>
    <t>Pieter</t>
  </si>
  <si>
    <t>Wijzigingsblad</t>
  </si>
  <si>
    <t>David</t>
  </si>
  <si>
    <t>Projectkenmerken</t>
  </si>
  <si>
    <t>Projectnaam</t>
  </si>
  <si>
    <t>Projectcode</t>
  </si>
  <si>
    <t>Locatie</t>
  </si>
  <si>
    <t>Datum</t>
  </si>
  <si>
    <t>Energie</t>
  </si>
  <si>
    <t>Milieu</t>
  </si>
  <si>
    <t>Toekomstwaarde</t>
  </si>
  <si>
    <t>Overstijgend</t>
  </si>
  <si>
    <t>+</t>
  </si>
  <si>
    <t>Overzicht wijzigingen rekenbladen</t>
  </si>
  <si>
    <t>Rekenblad</t>
  </si>
  <si>
    <t xml:space="preserve">Wijziging d.d. </t>
  </si>
  <si>
    <t>Omschrijving</t>
  </si>
  <si>
    <t>x</t>
  </si>
  <si>
    <t>Interne toelichting W/E</t>
  </si>
  <si>
    <t>Betrokken cel(len)</t>
  </si>
  <si>
    <t>Wijziging door</t>
  </si>
  <si>
    <t>NEN 7120 naar GPR 4</t>
  </si>
  <si>
    <t>Toegevoegd: Over te nemen waarde voor CO2-emissie</t>
  </si>
  <si>
    <t>NTA 8800 naar GPR 4</t>
  </si>
  <si>
    <t>Adaptief vermogen</t>
  </si>
  <si>
    <t xml:space="preserve">Toegevoegd conform de versie van 16 december 2021, met één verschil: de eindscore is in % (score benut) in plaats van een absolute score tussen 0,00 en 4,00. </t>
  </si>
  <si>
    <t>Harry iom David en Marijn</t>
  </si>
  <si>
    <t>Combineren woningen</t>
  </si>
  <si>
    <t>Eenheid primaire energie afhankelijk van bepalingsmethode</t>
  </si>
  <si>
    <t>Hergebruikspotentie</t>
  </si>
  <si>
    <t>Kleine wijzigingen in lay-out</t>
  </si>
  <si>
    <t>CirculariteitsPrestatie CPG 1.7</t>
  </si>
  <si>
    <t>Vaste scores '6' in 'Strategie 5: Creëer voorwaarden voor gebruik in toekomstige cycli' gewijzigd naar formules</t>
  </si>
  <si>
    <t>Harry</t>
  </si>
  <si>
    <t>Correctie in bepaling meterstanden DPG</t>
  </si>
  <si>
    <t xml:space="preserve">Er zt een foute verwijzing (ontbrekende $) in formule 'gewogen DPG - energiedeel'. </t>
  </si>
  <si>
    <t>$BR$58</t>
  </si>
  <si>
    <t>Resultaat als percentage met één decimaal weergeven</t>
  </si>
  <si>
    <t>Circulaire materialen</t>
  </si>
  <si>
    <t>Resultaat als percentage weergeven</t>
  </si>
  <si>
    <t>Allen</t>
  </si>
  <si>
    <t xml:space="preserve">Laatste check, beveiliging e.d. </t>
  </si>
  <si>
    <t>Pieter iom David</t>
  </si>
  <si>
    <t>Update CPG</t>
  </si>
  <si>
    <t>formule voor 3.1 DPG aangepast + tekst GPR-invoer in blad tabellen + rijen voor C1 en C2 uit blad tabellen verwijderd</t>
  </si>
  <si>
    <t>In plaats van de berekening op basis van de DPG-indicator en een functie met C1 en C2 wordt de waarde direct opgehaald bij de themascores.</t>
  </si>
  <si>
    <t>Weegfactor DPG-monitor en beperkte wijzigingen in CPG1.8 doorgevoerd</t>
  </si>
  <si>
    <t>Per rij is altijd een substrategie is de sunstartegie benoemd, bij meerdere items de rest uitgegrijsd.</t>
  </si>
  <si>
    <t>tabellen</t>
  </si>
  <si>
    <t>tabel CPG 1.7 toegevoegd</t>
  </si>
  <si>
    <t>$B$101:$Q$119</t>
  </si>
  <si>
    <t>Faye</t>
  </si>
  <si>
    <t>Blad toegevoegd CPG 1.7</t>
  </si>
  <si>
    <t>Zodat de suite ook geschikt is voor GPR 4.3</t>
  </si>
  <si>
    <t>tabellen_EMD</t>
  </si>
  <si>
    <t>Update inijking MPG woningen bij gebruik NMD 3.0 (heeft ook gevolgen voor inijking DPG)</t>
  </si>
  <si>
    <t>Conform opgave David, zie bestand x:\Inhoudelijk\GPR GEBOUW\GPR Gebouw 4\2. Onderhoud &amp; Ontwikkeling\2. Ontwikkeling thema's\2. Milieu\Bepaling formules MPG, NMD3.0+GPR4.4, 12-10-2021.xlsx</t>
  </si>
  <si>
    <t>Update inijking MPG bij gebruik NMD 3.0 (heeft ook gevolgen voor inijking DPG)</t>
  </si>
  <si>
    <t>Conform opgave David, zie bestand x:\Inhoudelijk\GPR GEBOUW\GPR Gebouw 4\2. Onderhoud &amp; Ontwikkeling\2. Ontwikkeling thema's\2. Milieu\Bepaling formules MPG, NMD3.0+GPR4.4, 21-09-2021.xlsx</t>
  </si>
  <si>
    <t xml:space="preserve">Aanpassing enkele weegfactoren bedrijfsgebouwen. Uitschakelen sport en zwembad. </t>
  </si>
  <si>
    <t xml:space="preserve">Volgorde items in tabel CPG aangepast. </t>
  </si>
  <si>
    <t>Gebruiksfuncties_CPG</t>
  </si>
  <si>
    <t>Pieter, David, Rogier</t>
  </si>
  <si>
    <t>Overzicht GPR hulpmiddelen</t>
  </si>
  <si>
    <t>Tegel "kruisjeslijst" toegevoegd</t>
  </si>
  <si>
    <t>Verwijst naar hulpmiddel "kruisjeslijst"</t>
  </si>
  <si>
    <t>$G$20</t>
  </si>
  <si>
    <t>Kruisjeslijst</t>
  </si>
  <si>
    <t>Toegevoegd</t>
  </si>
  <si>
    <t>Update CPG1.7 (GPR4.3) naar CPG 1.8 (GPR4.4)</t>
  </si>
  <si>
    <t>De items waar naar verwezen werd, zijn gewijzigd. Ook is de opzet aangepast naar de in GPR4.4 meegenomen inzichten.</t>
  </si>
  <si>
    <t>Correctie in bepaling 'meterstanden tbv DPG' bij keuze voor 'GPR 4.3'. 
Verkeerde verwijzing in een formule.</t>
  </si>
  <si>
    <t xml:space="preserve">Formule in cel $BS$58 verwees naar het berekende energiegebruik cf de bronmethode, ipv de doelmethode. </t>
  </si>
  <si>
    <t>$BS$58</t>
  </si>
  <si>
    <t>Correctie in bepaling 'meterstanden tbv DPG' bij keuze voor 'GPR 4.4'.
Verkeerde verwijzing in een formule.</t>
  </si>
  <si>
    <t>Correctie in bepaling 'meterstanden tbv MPG'. Bij 'netstroom' staat nu de netto afgenomen elektriciteit. Bij 'zonnestroom' (bedoeld wordt stroom die wordt opgewekt in een zonnepark en aanvullend op netstroom wordt geleverd aan de woning/gebouw) staat nu 0.</t>
  </si>
  <si>
    <t>Berekening DPG op basis van de ingevoerde BVO ipv een aanname van BVO irt GO</t>
  </si>
  <si>
    <t>Er zat een aanname in van 0,85 m2 GO/BVO voor GPR 4.4. En 1 m2/m2 voor GPR 4.3. Maar later is ook m2 BVO als invoerveld toegevoegd. Die wordt nu dus gebruikt.</t>
  </si>
  <si>
    <t>T  A  B  E  L  L  E  N</t>
  </si>
  <si>
    <r>
      <t>Type verbinding (TV</t>
    </r>
    <r>
      <rPr>
        <sz val="10"/>
        <color theme="0"/>
        <rFont val="Segoe UI"/>
        <family val="2"/>
      </rPr>
      <t>)</t>
    </r>
  </si>
  <si>
    <t>keuze</t>
  </si>
  <si>
    <t>score</t>
  </si>
  <si>
    <t>toelichting</t>
  </si>
  <si>
    <t xml:space="preserve">los of droog </t>
  </si>
  <si>
    <t>los of klik-, klitteband-, magnetische verbinding</t>
  </si>
  <si>
    <t>toegevoegde elementen</t>
  </si>
  <si>
    <t>bout- en moer-, veer-, hoek-, schroefverbinding</t>
  </si>
  <si>
    <t>directe integraal</t>
  </si>
  <si>
    <t>pin-, spijkerverbinding</t>
  </si>
  <si>
    <t>zachte chemisch</t>
  </si>
  <si>
    <t>kit-, schuimverbinding (PUR)</t>
  </si>
  <si>
    <t>harde chemisch</t>
  </si>
  <si>
    <t>chemische ankers of lijm-, aanstorting-, las-, cementgebonden verbinding</t>
  </si>
  <si>
    <t>Toegankelijkheid verbinding (ToV)</t>
  </si>
  <si>
    <t>vrij</t>
  </si>
  <si>
    <t>vrij toegankelijk</t>
  </si>
  <si>
    <t>extra handeling, geen schade</t>
  </si>
  <si>
    <t>toegankelijkheid met extra handelingen die geen schade veroorzaken</t>
  </si>
  <si>
    <t>extra handeling, volledig herstelbare schade</t>
  </si>
  <si>
    <t>toegankelijkheid met extra handelingen met volledig herstelbare schade</t>
  </si>
  <si>
    <t>extra handeling, gedeeltelijk herstelbare schade (meer dan 20% van de waarde)</t>
  </si>
  <si>
    <t>toegankelijkheid met extra handelingen met gedeeltelijk herstelbare schade</t>
  </si>
  <si>
    <t>niet toegankelijk, onherstelbare schade aan product of omliggende producten</t>
  </si>
  <si>
    <r>
      <t>Doorkruisi</t>
    </r>
    <r>
      <rPr>
        <b/>
        <sz val="10"/>
        <rFont val="Segoe UI"/>
        <family val="2"/>
      </rPr>
      <t>ng (DK</t>
    </r>
    <r>
      <rPr>
        <sz val="10"/>
        <rFont val="Segoe UI"/>
        <family val="2"/>
      </rPr>
      <t>)</t>
    </r>
  </si>
  <si>
    <t>geen/modulair</t>
  </si>
  <si>
    <t>geen, door modulaire zonering van objecten</t>
  </si>
  <si>
    <t>doorkruisingen</t>
  </si>
  <si>
    <t>enkele doorkruisingen tussen één of meerdere objecten</t>
  </si>
  <si>
    <t>integratie</t>
  </si>
  <si>
    <t>volledige integratie van objecten</t>
  </si>
  <si>
    <t>Randopsluiting (RO)</t>
  </si>
  <si>
    <t>open</t>
  </si>
  <si>
    <t>open, geen belemmering voor  (tussentijds) uitnemen van producten</t>
  </si>
  <si>
    <t>overlapping</t>
  </si>
  <si>
    <t>overlapping, gedeeltelijke belemmering voor het (tussentijds) uitnemen van producten</t>
  </si>
  <si>
    <t>gesloten</t>
  </si>
  <si>
    <t>gesloten, volledige belemmering voor het (tussentijds) uitnemen van producten</t>
  </si>
  <si>
    <t>Kwaliteitsfactor (Kpr)</t>
  </si>
  <si>
    <t>uitstekend</t>
  </si>
  <si>
    <t>vergelijkbaar nieuwbouw</t>
  </si>
  <si>
    <t>goed</t>
  </si>
  <si>
    <t>functioneel, maar minder lang</t>
  </si>
  <si>
    <t>matig/slecht</t>
  </si>
  <si>
    <t>minder functioneel en/of beperkte restlevensduur (&lt;50%?)</t>
  </si>
  <si>
    <t>Marktwaarde (Mpr)</t>
  </si>
  <si>
    <t>oorspronkelijk</t>
  </si>
  <si>
    <t>oorspronkelijk product (dakpan, losse schone steen)</t>
  </si>
  <si>
    <t>modulair</t>
  </si>
  <si>
    <t>modulaire maatvoering (veelvoud van 30 of 60 cm)</t>
  </si>
  <si>
    <t>aanpasbaar</t>
  </si>
  <si>
    <t>passend te maken (houten of stalen balken, houten deur)</t>
  </si>
  <si>
    <t>overig</t>
  </si>
  <si>
    <t>-</t>
  </si>
  <si>
    <t>Circulair materiaalgebruik</t>
  </si>
  <si>
    <t>biobased, overig</t>
  </si>
  <si>
    <t>producten op basis biobased grondstoffen</t>
  </si>
  <si>
    <t>biobased, CO2-opslag</t>
  </si>
  <si>
    <t>biobased + toegepast in het casco (langdurige CO2-opslag)</t>
  </si>
  <si>
    <t>secundair, extra</t>
  </si>
  <si>
    <t>producten met extra hoog percentage secundaire grondstoffen</t>
  </si>
  <si>
    <t>Parameter</t>
  </si>
  <si>
    <t>Subparameter</t>
  </si>
  <si>
    <t>Woning en woongebouw</t>
  </si>
  <si>
    <t>Woongebouwen voor de zorg</t>
  </si>
  <si>
    <t>Kantoor</t>
  </si>
  <si>
    <t>Bijeenkomst</t>
  </si>
  <si>
    <t>Onderwijs</t>
  </si>
  <si>
    <t>Winkel</t>
  </si>
  <si>
    <t>Logies</t>
  </si>
  <si>
    <t>Bedrijfsgebouwen</t>
  </si>
  <si>
    <t>Sporthallen</t>
  </si>
  <si>
    <t>Zwembaden</t>
  </si>
  <si>
    <t>Extra maatregelen (handhaven casco en/of gevel)</t>
  </si>
  <si>
    <t>Itemcode</t>
  </si>
  <si>
    <t>2.1.10</t>
  </si>
  <si>
    <t>Maximum</t>
  </si>
  <si>
    <t>Hergebruik producten</t>
  </si>
  <si>
    <t>2.1.3</t>
  </si>
  <si>
    <t>Circulaire materialen ('secundair, extra')</t>
  </si>
  <si>
    <t>2.1.4</t>
  </si>
  <si>
    <t>Circulaire materialen ('biobased CO2-opslag'+'biobased overig')</t>
  </si>
  <si>
    <t>Hout uit duurzaam beheerde bossen</t>
  </si>
  <si>
    <t>2.1.5</t>
  </si>
  <si>
    <t>BENG 3 - indicator</t>
  </si>
  <si>
    <t>1.1</t>
  </si>
  <si>
    <t>Circulair watergebruik</t>
  </si>
  <si>
    <t>2.2.6</t>
  </si>
  <si>
    <t>2.2.7</t>
  </si>
  <si>
    <t>2.2.8</t>
  </si>
  <si>
    <t>Duurzaamheidsprestatie (DPG)</t>
  </si>
  <si>
    <t>E&amp;M</t>
  </si>
  <si>
    <t>RES</t>
  </si>
  <si>
    <t>Lange gebouwlevensduur</t>
  </si>
  <si>
    <t>2.1.7</t>
  </si>
  <si>
    <t>Robuuste uitvoering of detaillering bij gevoelige elementen</t>
  </si>
  <si>
    <t>2.1.6</t>
  </si>
  <si>
    <t>Eenvoudig aanpasbare elementen</t>
  </si>
  <si>
    <t>Ontkoppeling lagen Brand (afwijkende levensduur)</t>
  </si>
  <si>
    <t>2.1.8</t>
  </si>
  <si>
    <t>Wateroverlast en droogte</t>
  </si>
  <si>
    <t>5.3.2</t>
  </si>
  <si>
    <t>Prefab bouwsysteem</t>
  </si>
  <si>
    <t>2.1.9</t>
  </si>
  <si>
    <t>Gegevens CPG-berekening (1.7)</t>
  </si>
  <si>
    <t>Bijeenkomstgebouwen</t>
  </si>
  <si>
    <t>Kantoorgebouwen</t>
  </si>
  <si>
    <t>Logiesgebouwen</t>
  </si>
  <si>
    <t>Onderwijsgebouwen</t>
  </si>
  <si>
    <t>Woongebouwen</t>
  </si>
  <si>
    <t>2.2.2</t>
  </si>
  <si>
    <t>Circulaire materialen (biobased of secundair)</t>
  </si>
  <si>
    <t>2.2.3</t>
  </si>
  <si>
    <t>2.3.7</t>
  </si>
  <si>
    <t>2.3.6</t>
  </si>
  <si>
    <t>DPG-monitor</t>
  </si>
  <si>
    <t>0.0</t>
  </si>
  <si>
    <t>C1</t>
  </si>
  <si>
    <t>C2</t>
  </si>
  <si>
    <t>Belasting riolering, bodem en grondwater</t>
  </si>
  <si>
    <t>2.3.8</t>
  </si>
  <si>
    <t>Bouwmethode, afgestemd op meerdere cycli</t>
  </si>
  <si>
    <t>NB CHECK DE GEBRUIKSFUNCTIES</t>
  </si>
  <si>
    <t>woningen|utiliteitsgebouwen</t>
  </si>
  <si>
    <t>parameter</t>
  </si>
  <si>
    <t>eenheid</t>
  </si>
  <si>
    <t>hoofdkenmerken woning|utiliteitsgebouwen</t>
  </si>
  <si>
    <t>.</t>
  </si>
  <si>
    <t>naam woning|gebouw [vrije invoer - max 13 karakters ivm leesbaarheid]</t>
  </si>
  <si>
    <t>vrije tekst</t>
  </si>
  <si>
    <t>woning vrij L</t>
  </si>
  <si>
    <t>hoekwoning M</t>
  </si>
  <si>
    <t>logieswoning</t>
  </si>
  <si>
    <t>tussenwon S</t>
  </si>
  <si>
    <t>tussenwon M</t>
  </si>
  <si>
    <t>won XS wg XL</t>
  </si>
  <si>
    <t>woongebouw M</t>
  </si>
  <si>
    <t>vrij &lt; 1965</t>
  </si>
  <si>
    <t>vrij 1965 - 1974</t>
  </si>
  <si>
    <t>vrij 1975 - 1991</t>
  </si>
  <si>
    <t>vrij 1992 - 2005</t>
  </si>
  <si>
    <t>vrij 2006 - 2012</t>
  </si>
  <si>
    <t>vrij &gt; 2012</t>
  </si>
  <si>
    <t>2/1 kap &lt; 1965</t>
  </si>
  <si>
    <t>2/1 kap 1965 - 1974</t>
  </si>
  <si>
    <t>2/1 kap 1975 - 1991</t>
  </si>
  <si>
    <t>2/1 kap 1992 - 2005</t>
  </si>
  <si>
    <t>2/1 kap 2006 - 2012</t>
  </si>
  <si>
    <t>2/1 kap &gt; 2012</t>
  </si>
  <si>
    <t>hoek &lt; 1946</t>
  </si>
  <si>
    <t>hoek 1946 - 1964</t>
  </si>
  <si>
    <t>hoek 1965 - 1974</t>
  </si>
  <si>
    <t>hoek 1975 - 1991</t>
  </si>
  <si>
    <t>hoek 1992 - 2005</t>
  </si>
  <si>
    <t>hoek 2006 - 2012</t>
  </si>
  <si>
    <t>hoek &gt; 2012</t>
  </si>
  <si>
    <t>tussen &lt; 1946</t>
  </si>
  <si>
    <t>tussen 1946 - 1964</t>
  </si>
  <si>
    <t>tussen 1965 - 1974</t>
  </si>
  <si>
    <t>tussen 1975 - 1991</t>
  </si>
  <si>
    <t>tussen 1992 - 2005</t>
  </si>
  <si>
    <t>tussen 2006 - 2012</t>
  </si>
  <si>
    <t>tussen &gt; 2012</t>
  </si>
  <si>
    <t>maisonnette &lt; 1965</t>
  </si>
  <si>
    <t>maisonnette 1965 - 1974</t>
  </si>
  <si>
    <t>maisonnette 1975 - 1991</t>
  </si>
  <si>
    <t>maisonnette 1992 - 2005</t>
  </si>
  <si>
    <t>maisonnette 2006 - 2012</t>
  </si>
  <si>
    <t>maisonnette &gt; 2012</t>
  </si>
  <si>
    <t>galerij &lt; 1965</t>
  </si>
  <si>
    <t>galerij 1965 - 1974</t>
  </si>
  <si>
    <t>galerij 1975 - 1991</t>
  </si>
  <si>
    <t>galerij 1992 - 2005</t>
  </si>
  <si>
    <t>galerij 2006 - 2012</t>
  </si>
  <si>
    <t>galerij &gt; 2012</t>
  </si>
  <si>
    <t>portiek &lt; 1946</t>
  </si>
  <si>
    <t>portiek 1946 - 1964</t>
  </si>
  <si>
    <t>portiek 1965 - 1974</t>
  </si>
  <si>
    <t>portiek 1975 - 1991</t>
  </si>
  <si>
    <t>portiek 1992 - 2005</t>
  </si>
  <si>
    <t>portiek 2006 - 2012</t>
  </si>
  <si>
    <t>portiek &gt; 2012</t>
  </si>
  <si>
    <t>overig &lt; 1965</t>
  </si>
  <si>
    <t>overig 1965 - 1974</t>
  </si>
  <si>
    <t>overig 1975 - 1991</t>
  </si>
  <si>
    <t>overig 1992 - 2005</t>
  </si>
  <si>
    <t>overig 2006 - 2012</t>
  </si>
  <si>
    <t>overig &gt; 2012</t>
  </si>
  <si>
    <t>bijeenkomst S</t>
  </si>
  <si>
    <t>bijeenkomst M</t>
  </si>
  <si>
    <t>bijeenkomst L</t>
  </si>
  <si>
    <t>bijeenk. XL</t>
  </si>
  <si>
    <t>creche XXS</t>
  </si>
  <si>
    <t>creche XS</t>
  </si>
  <si>
    <t>creche S</t>
  </si>
  <si>
    <t>gezond bed L</t>
  </si>
  <si>
    <t>gezond bed XL</t>
  </si>
  <si>
    <t>gezondheid S</t>
  </si>
  <si>
    <t>kantoor XXS</t>
  </si>
  <si>
    <t>kantoor XS</t>
  </si>
  <si>
    <t>kantoor S</t>
  </si>
  <si>
    <t>kantoor M</t>
  </si>
  <si>
    <t>kantoor XL 1</t>
  </si>
  <si>
    <t>kantoor XL 2</t>
  </si>
  <si>
    <t>logies M</t>
  </si>
  <si>
    <t>school XS</t>
  </si>
  <si>
    <t>school S</t>
  </si>
  <si>
    <t>school M</t>
  </si>
  <si>
    <t>school L</t>
  </si>
  <si>
    <t>school XL</t>
  </si>
  <si>
    <t>sport M</t>
  </si>
  <si>
    <t>sport L</t>
  </si>
  <si>
    <t>winkel XXS</t>
  </si>
  <si>
    <t>winkel XS</t>
  </si>
  <si>
    <t>winkel S</t>
  </si>
  <si>
    <t>winkel XL</t>
  </si>
  <si>
    <t>gebruiksfunctie</t>
  </si>
  <si>
    <t>keuzelijst</t>
  </si>
  <si>
    <t>woning</t>
  </si>
  <si>
    <t>woongebouw</t>
  </si>
  <si>
    <t>bijeenkomst overig</t>
  </si>
  <si>
    <t>bijeenkomst kinderopvang</t>
  </si>
  <si>
    <t>gezondheid met bed</t>
  </si>
  <si>
    <t>gezondheid overig</t>
  </si>
  <si>
    <t>kantoor</t>
  </si>
  <si>
    <t>logies</t>
  </si>
  <si>
    <t>onderwijs</t>
  </si>
  <si>
    <t>sport</t>
  </si>
  <si>
    <t>winkel</t>
  </si>
  <si>
    <t>woning: gestapeld (1) / niet gestapeld (0)</t>
  </si>
  <si>
    <t>keuzelijst 0/1</t>
  </si>
  <si>
    <t>gebruiksoppervlakte</t>
  </si>
  <si>
    <t>m2/won_geb</t>
  </si>
  <si>
    <t>verliesoppervlakken bouwdelen</t>
  </si>
  <si>
    <t>bg vloer</t>
  </si>
  <si>
    <t>dichte gevel</t>
  </si>
  <si>
    <t>dak</t>
  </si>
  <si>
    <t>raam</t>
  </si>
  <si>
    <t>deur</t>
  </si>
  <si>
    <t>TOTAAL</t>
  </si>
  <si>
    <t>verliesoppervlak t.o.v. gebruiksoppervlakte Als/Ag</t>
  </si>
  <si>
    <t>m2/m2</t>
  </si>
  <si>
    <t>raamoppervlak t.o.v. gebruiksoppervlakte Als/Ag</t>
  </si>
  <si>
    <t>bron RVO</t>
  </si>
  <si>
    <t xml:space="preserve">BENG referentie woningen </t>
  </si>
  <si>
    <t>Voorbeeld- woningen bestaand 2020</t>
  </si>
  <si>
    <t>BENG referentie utiliteit</t>
  </si>
  <si>
    <r>
      <t>ondergrens Q;</t>
    </r>
    <r>
      <rPr>
        <b/>
        <sz val="10"/>
        <color theme="3"/>
        <rFont val="Calibri"/>
        <family val="2"/>
        <scheme val="minor"/>
      </rPr>
      <t>H;nd en Q;C;nd</t>
    </r>
  </si>
  <si>
    <t>naam</t>
  </si>
  <si>
    <t>ondergrens voor</t>
  </si>
  <si>
    <t>QH;nd</t>
  </si>
  <si>
    <t>kWh/m2</t>
  </si>
  <si>
    <t>QC;nd</t>
  </si>
  <si>
    <t>check gebruiksfuncties</t>
  </si>
  <si>
    <t>parameters Q;H;nd</t>
  </si>
  <si>
    <t>NTA8800 tool 1.46, berekening dd 14 09 2020</t>
  </si>
  <si>
    <t>cellengebouw</t>
  </si>
  <si>
    <t>woning/woongebouw (1) - utiliteitsgebouw (0)</t>
  </si>
  <si>
    <t>snijpunt</t>
  </si>
  <si>
    <t>natuurlijk (A)</t>
  </si>
  <si>
    <t>mech (B1)</t>
  </si>
  <si>
    <t>mech (C1)</t>
  </si>
  <si>
    <t>mech - CO2 (C4c)</t>
  </si>
  <si>
    <t>balans (D1)</t>
  </si>
  <si>
    <t>balans CO2 (D5a)</t>
  </si>
  <si>
    <r>
      <t xml:space="preserve">C  </t>
    </r>
    <r>
      <rPr>
        <sz val="10"/>
        <color theme="3"/>
        <rFont val="Calibri"/>
        <family val="2"/>
      </rPr>
      <t>[constante]</t>
    </r>
  </si>
  <si>
    <r>
      <t xml:space="preserve">n  </t>
    </r>
    <r>
      <rPr>
        <sz val="10"/>
        <color theme="3"/>
        <rFont val="Calibri"/>
        <family val="2"/>
      </rPr>
      <t>[constante]</t>
    </r>
  </si>
  <si>
    <t>op basis van analyse van NTA8800-berekeningen van gebouwen in de energielabeldatabase 2019/2020 (ruim 65.000 utiliteitsgebouwen) en Voorbeeldwoningen 2020.</t>
  </si>
  <si>
    <t>QH,nd = max( 0 ; snijpunt + C * Ugemiddeld * (Averlies/Ag)^n )       [kWh/m2]</t>
  </si>
  <si>
    <t>parameters Q;C;nd</t>
  </si>
  <si>
    <r>
      <t xml:space="preserve">C1  </t>
    </r>
    <r>
      <rPr>
        <sz val="10"/>
        <color theme="3"/>
        <rFont val="Calibri"/>
        <family val="2"/>
      </rPr>
      <t>[constante]</t>
    </r>
  </si>
  <si>
    <r>
      <t xml:space="preserve">C2  </t>
    </r>
    <r>
      <rPr>
        <sz val="10"/>
        <color theme="3"/>
        <rFont val="Calibri"/>
        <family val="2"/>
      </rPr>
      <t>[constante]</t>
    </r>
  </si>
  <si>
    <r>
      <t xml:space="preserve">C3  </t>
    </r>
    <r>
      <rPr>
        <sz val="10"/>
        <color theme="3"/>
        <rFont val="Calibri"/>
        <family val="2"/>
      </rPr>
      <t>[constante]</t>
    </r>
  </si>
  <si>
    <r>
      <t xml:space="preserve">C4  </t>
    </r>
    <r>
      <rPr>
        <sz val="10"/>
        <color theme="3"/>
        <rFont val="Calibri"/>
        <family val="2"/>
      </rPr>
      <t>[constante]</t>
    </r>
  </si>
  <si>
    <r>
      <t xml:space="preserve">n1  </t>
    </r>
    <r>
      <rPr>
        <sz val="10"/>
        <color theme="3"/>
        <rFont val="Calibri"/>
        <family val="2"/>
      </rPr>
      <t>[constante]</t>
    </r>
  </si>
  <si>
    <r>
      <t xml:space="preserve">n2  </t>
    </r>
    <r>
      <rPr>
        <sz val="10"/>
        <color theme="3"/>
        <rFont val="Calibri"/>
        <family val="2"/>
      </rPr>
      <t>[constante]</t>
    </r>
  </si>
  <si>
    <r>
      <t xml:space="preserve">n3  </t>
    </r>
    <r>
      <rPr>
        <sz val="10"/>
        <color theme="3"/>
        <rFont val="Calibri"/>
        <family val="2"/>
      </rPr>
      <t>[constante]</t>
    </r>
  </si>
  <si>
    <r>
      <t xml:space="preserve">n4  </t>
    </r>
    <r>
      <rPr>
        <sz val="10"/>
        <color theme="3"/>
        <rFont val="Calibri"/>
        <family val="2"/>
      </rPr>
      <t>[constante]</t>
    </r>
  </si>
  <si>
    <t>QC,nd = max( 0 ; snijpunt + c1*Ag^n1 + c2*(A,ls/A,g)^n2 + c3*U,gem^n3 + c4*(Araam/Ag)^n4 )    kWh/m2</t>
  </si>
  <si>
    <t>parameters Q(C+H);nd;EP1;ventsys C1</t>
  </si>
  <si>
    <t>C</t>
  </si>
  <si>
    <t>n</t>
  </si>
  <si>
    <t>Q_C+H,nd,EP1,berekend = max( 0 ; snijpunt + c*U,gem* (Als/Ag)^n )      kWh/m2</t>
  </si>
  <si>
    <t>BENG-eisen 2021</t>
  </si>
  <si>
    <t>grenswaarden A,ls/A,g bij bepalen BENG 1</t>
  </si>
  <si>
    <t>grenswaarde 1: A,ls/A,g</t>
  </si>
  <si>
    <t>grenswaarde 2: A,ls/A,g</t>
  </si>
  <si>
    <t>BENG 1 als A,ls/A,g ≤ grenswaarde 1</t>
  </si>
  <si>
    <t>BENG 1</t>
  </si>
  <si>
    <t>als grenswaarde 1 &lt; A,ls/A,g ≤ grenswaarde 2:  BENG 1 = C1 + C2 * (A,ls/A,g - C3)</t>
  </si>
  <si>
    <t>C3</t>
  </si>
  <si>
    <t>als A,ls/A,g &gt; grenswaarde 2: BENG 1 = C4 + C5 * (A,ls/A,g - C6)</t>
  </si>
  <si>
    <t>C4</t>
  </si>
  <si>
    <t>C5</t>
  </si>
  <si>
    <t>C6</t>
  </si>
  <si>
    <t>BENG 2 - primair energiegebruik</t>
  </si>
  <si>
    <t>primair energiegebruik</t>
  </si>
  <si>
    <t>BENG 3 - % hernieuwbaar</t>
  </si>
  <si>
    <t>% hernieuwbaar</t>
  </si>
  <si>
    <t>%</t>
  </si>
  <si>
    <t>https://zoek.officielebekendmakingen.nl/stb-2019-501.html</t>
  </si>
  <si>
    <t>grenzen 'standaard'</t>
  </si>
  <si>
    <t>bouwjaarklasse</t>
  </si>
  <si>
    <t>&lt;1945</t>
  </si>
  <si>
    <t>&gt;1945</t>
  </si>
  <si>
    <t>gebruiksfunctie &amp; bouwjaarklasse</t>
  </si>
  <si>
    <t>grenswaarden A,ls/A,g bij bepalen 'standaard'</t>
  </si>
  <si>
    <t>grenswaarde A,ls/A,g</t>
  </si>
  <si>
    <t>'standaard' als A,ls/A,g &lt; grenswaarde</t>
  </si>
  <si>
    <t>'standaard'</t>
  </si>
  <si>
    <r>
      <t xml:space="preserve">als A,ls/A,g </t>
    </r>
    <r>
      <rPr>
        <b/>
        <sz val="10"/>
        <color rgb="FF4D4D63"/>
        <rFont val="Ubuntu"/>
        <family val="2"/>
      </rPr>
      <t>≥</t>
    </r>
    <r>
      <rPr>
        <b/>
        <sz val="10"/>
        <color rgb="FF4D4D63"/>
        <rFont val="Segoe UI"/>
        <family val="2"/>
      </rPr>
      <t xml:space="preserve"> grenswaarde:  'standaard' = C1 + C2 * (A,ls/A,g - 1,0)</t>
    </r>
  </si>
  <si>
    <t>rapport xxxxx Nieman</t>
  </si>
  <si>
    <t>Versie GPR Gebouw</t>
  </si>
  <si>
    <t>versie GPR Gebouw</t>
  </si>
  <si>
    <t>GPR versie</t>
  </si>
  <si>
    <t>GPR 4.3</t>
  </si>
  <si>
    <t>GPR 4.4</t>
  </si>
  <si>
    <t>i</t>
  </si>
  <si>
    <t>vormfactor DPG [m2 Ag/m2 BVO]</t>
  </si>
  <si>
    <t>Versie energieprestatie rekenmethode</t>
  </si>
  <si>
    <t>EP-methode</t>
  </si>
  <si>
    <t>NEN 7120</t>
  </si>
  <si>
    <t>NTA 8800</t>
  </si>
  <si>
    <t>Basiswaarden GPR Score Energie</t>
  </si>
  <si>
    <t>EP-methode te gebruiken als invoer per GPR versie (bron)</t>
  </si>
  <si>
    <t>eenheid EP-methode gebruikt bij invoer in GPR versie (bron)</t>
  </si>
  <si>
    <t>MJ</t>
  </si>
  <si>
    <t>kWh</t>
  </si>
  <si>
    <t>GPR versie &amp; EP-methode</t>
  </si>
  <si>
    <t>Primair energiegebruik</t>
  </si>
  <si>
    <t>primair energiegebruik per m2 bij GPR 6</t>
  </si>
  <si>
    <t>primair energiegebruik per m2 bij GPR 10</t>
  </si>
  <si>
    <t>inijkingsformule</t>
  </si>
  <si>
    <t>GPRscore = 10 * EXP (macht * (EP2 - EP2.10))</t>
  </si>
  <si>
    <t>macht = ln(GPR6/10) / (EP2.6 - EP2.10)</t>
  </si>
  <si>
    <t>methode</t>
  </si>
  <si>
    <t>macht</t>
  </si>
  <si>
    <t>EP2.6</t>
  </si>
  <si>
    <t>EP2.10</t>
  </si>
  <si>
    <t>MJ/m2 Ag</t>
  </si>
  <si>
    <t>kWh/m2 Ag</t>
  </si>
  <si>
    <t>GPR 4.3 | NTA 8800</t>
  </si>
  <si>
    <t>GPR 4.4 | NTA 8800</t>
  </si>
  <si>
    <t>bijeenkomst kinderdagverblijf</t>
  </si>
  <si>
    <t>gezondheid bedgebied</t>
  </si>
  <si>
    <t>logies in logiesgebouw</t>
  </si>
  <si>
    <t>cel</t>
  </si>
  <si>
    <t>CO2-emissie per m2 bij GPR 6 - subthema 1.2</t>
  </si>
  <si>
    <t>kg/m2 Ag</t>
  </si>
  <si>
    <t>GPR 4.3 | NEN 7120</t>
  </si>
  <si>
    <t>GPR 4.4 | NEN 7120</t>
  </si>
  <si>
    <t>MJ/m2</t>
  </si>
  <si>
    <t>MPG</t>
  </si>
  <si>
    <t>Materiaal</t>
  </si>
  <si>
    <t>MPG factor a</t>
  </si>
  <si>
    <t>bron</t>
  </si>
  <si>
    <t>MPG factor b</t>
  </si>
  <si>
    <t>GPR 4.3 NMD 2.3</t>
  </si>
  <si>
    <t>GPR 4.4 NMD 3.0</t>
  </si>
  <si>
    <t>factor a</t>
  </si>
  <si>
    <t>factor b</t>
  </si>
  <si>
    <t>euro/m2 BVO</t>
  </si>
  <si>
    <t>Duurzaamheids-index (DPG)</t>
  </si>
  <si>
    <t>EPG* / EP2* tbv DPG bij GPR 6 (voor 4.3 is dat ongeveer 6)</t>
  </si>
  <si>
    <t>EPG* / EP2* tbv DPG bij GPR 10</t>
  </si>
  <si>
    <t>MPG tbv DPG bij GPR 6 (voor 4.3 is dat ongeveer 6)</t>
  </si>
  <si>
    <t>MPG tbv DPG bij GPR 10</t>
  </si>
  <si>
    <t>GPR 4.3 | NMD 2.3/3.0</t>
  </si>
  <si>
    <t>GPR 4.4 | NMD 2.3/3.0</t>
  </si>
  <si>
    <t>DPG-index bij GPR 6 (hier voor 4.3 wel exact 6, dus niet gelijk aan som van hierboven)</t>
  </si>
  <si>
    <t>DPG-index bij GPR 10</t>
  </si>
  <si>
    <t>GPR 4.3 | NEN 7120 | NMD 2.3/3.0 | KIEM</t>
  </si>
  <si>
    <t>GPR 4.3 | NTA 8800 | NMD 2.3/3.0 | KIEM</t>
  </si>
  <si>
    <t>GPR 4.4 | NEN 7120 | NMD2.3/3.0 | DPG2</t>
  </si>
  <si>
    <t>GPR 4.4 | NTA 8800 | NMD 2.3/30 | DPG2</t>
  </si>
  <si>
    <t>DPG.6</t>
  </si>
  <si>
    <t>DPG.10</t>
  </si>
  <si>
    <t>DPG-index</t>
  </si>
  <si>
    <t>euro/m2</t>
  </si>
  <si>
    <t>energiedrager</t>
  </si>
  <si>
    <t>verhouding impact</t>
  </si>
  <si>
    <t>verhouding GWP / E</t>
  </si>
  <si>
    <t>GWP 4.3 / M</t>
  </si>
  <si>
    <t>GWP 4.4 / M</t>
  </si>
  <si>
    <t>aardgas</t>
  </si>
  <si>
    <t>m3</t>
  </si>
  <si>
    <t>elektriciteit</t>
  </si>
  <si>
    <t>elektriciteit opgewekt</t>
  </si>
  <si>
    <t>hout / biomassa</t>
  </si>
  <si>
    <t>kg</t>
  </si>
  <si>
    <t>GJ</t>
  </si>
  <si>
    <t>Formules GPR Score</t>
  </si>
  <si>
    <t>DPG versus GPR_E en GPR_M</t>
  </si>
  <si>
    <t>EP2 = EP2.10 + ln(GPRscore/10) / macht</t>
  </si>
  <si>
    <t>→ Score milieu</t>
  </si>
  <si>
    <t>↓ Score energie</t>
  </si>
  <si>
    <t>↓ EP* [euro/m2] 
→ MPG [euro/m2]</t>
  </si>
  <si>
    <t>- EP2 = primair energiegebruik per m2</t>
  </si>
  <si>
    <t>- EP2.6 = primair energiegebruik per m2 bij GPR score 6</t>
  </si>
  <si>
    <t>- EP2.10 = primair energiegebruik per m2 bij GPR score 10</t>
  </si>
  <si>
    <t>Macht</t>
  </si>
  <si>
    <t>DPG_E</t>
  </si>
  <si>
    <t>DPG_EP2.10</t>
  </si>
  <si>
    <t>MPG_a</t>
  </si>
  <si>
    <t>MPG_b</t>
  </si>
  <si>
    <t>DPG</t>
  </si>
  <si>
    <t>Toelichting</t>
  </si>
  <si>
    <t>woningbouw</t>
  </si>
  <si>
    <t>utiliteitsbouw</t>
  </si>
  <si>
    <t>Gegevens uit berekening</t>
  </si>
  <si>
    <t>Projecttype en GPR versie</t>
  </si>
  <si>
    <t>pakket energieprestatieberekening</t>
  </si>
  <si>
    <t>Uniec 2</t>
  </si>
  <si>
    <t>rekenresultaten uit EP-berekening</t>
  </si>
  <si>
    <t>verbergen</t>
  </si>
  <si>
    <t>bronmethode</t>
  </si>
  <si>
    <t>doelmethode</t>
  </si>
  <si>
    <t>energiefunctie</t>
  </si>
  <si>
    <t>Enorm</t>
  </si>
  <si>
    <t>elektriciteit: gebouwgebonden installaties</t>
  </si>
  <si>
    <t>m3 aeq</t>
  </si>
  <si>
    <t>externe warmtelevering</t>
  </si>
  <si>
    <t>ventilatie</t>
  </si>
  <si>
    <t>verwarming</t>
  </si>
  <si>
    <t>tapwater</t>
  </si>
  <si>
    <t>koeling</t>
  </si>
  <si>
    <t>bevochtiging</t>
  </si>
  <si>
    <t>ontvochtiging</t>
  </si>
  <si>
    <t>verlichting</t>
  </si>
  <si>
    <t>hulpenergie elektrisch</t>
  </si>
  <si>
    <t>elektriciteitsopwekking</t>
  </si>
  <si>
    <t>CO2</t>
  </si>
  <si>
    <t>Klimaatmonitor</t>
  </si>
  <si>
    <t>m2 BVO</t>
  </si>
  <si>
    <r>
      <t xml:space="preserve">Wijze van verdelen van MKI </t>
    </r>
    <r>
      <rPr>
        <b/>
        <sz val="8.5"/>
        <color rgb="FFFF0000"/>
        <rFont val="Segoe UI"/>
        <family val="2"/>
      </rPr>
      <t>afblijven</t>
    </r>
  </si>
  <si>
    <t>DPG @ 6</t>
  </si>
  <si>
    <t>oppervlakte</t>
  </si>
  <si>
    <t>Primair</t>
  </si>
  <si>
    <t>Meterstanden invullen in 1.1  Energieprestatie tbv DPG</t>
  </si>
  <si>
    <t>controle</t>
  </si>
  <si>
    <t>elektriciteit gebruik</t>
  </si>
  <si>
    <t>opwekking pv / wkk</t>
  </si>
  <si>
    <t>externe
warmte</t>
  </si>
  <si>
    <t>hout
biomassa</t>
  </si>
  <si>
    <t>Grens GPR 6</t>
  </si>
  <si>
    <t>Grens GPR 10</t>
  </si>
  <si>
    <t>alpha</t>
  </si>
  <si>
    <t>doel GPR-score subthema 1.1</t>
  </si>
  <si>
    <t>primaire energie bij benodigde GPR</t>
  </si>
  <si>
    <t>gewogen primaire energie</t>
  </si>
  <si>
    <t>verdeling primair energiegebruik</t>
  </si>
  <si>
    <t>resulterende 
GPR-score</t>
  </si>
  <si>
    <t>gewogen EP2*</t>
  </si>
  <si>
    <t>verdeling MKI</t>
  </si>
  <si>
    <t>GPR-score bij MPG</t>
  </si>
  <si>
    <t>berekende EP2*</t>
  </si>
  <si>
    <t>DPG-index
= EP2* + MPG</t>
  </si>
  <si>
    <t>doel DPG-score subthema 1.1 &amp; subthema 2.1.1</t>
  </si>
  <si>
    <t>DPG-index bij benodigde DPG</t>
  </si>
  <si>
    <t>EP2*</t>
  </si>
  <si>
    <t>DPG-index berekend</t>
  </si>
  <si>
    <t>gewogen
CO2 emissie</t>
  </si>
  <si>
    <t>verdeling 
CO2 emissie</t>
  </si>
  <si>
    <t>CO2 emissie</t>
  </si>
  <si>
    <t>CO2-reductie</t>
  </si>
  <si>
    <t>EP2*
berekend</t>
  </si>
  <si>
    <t>gewogen DPG - energiedeel</t>
  </si>
  <si>
    <t>verdeling DPG - energiedeel</t>
  </si>
  <si>
    <t>correctiefactor energiegebruiken</t>
  </si>
  <si>
    <t>EP2* berekend uit gecorrigeerde meterstanden</t>
  </si>
  <si>
    <t>DPG-index berekend uit gecorrigeerde meterstanden</t>
  </si>
  <si>
    <t>DPG uit gecorrigeerde meterstanden</t>
  </si>
  <si>
    <t>euro</t>
  </si>
  <si>
    <t>kg/m2</t>
  </si>
  <si>
    <t>milieu-impactfactor</t>
  </si>
  <si>
    <t>gemeenschappelijke ruimten</t>
  </si>
  <si>
    <t>Uniec 3</t>
  </si>
  <si>
    <t>VABI NTA 8800</t>
  </si>
  <si>
    <t>CO2-emissie bij gebruik warmtenet</t>
  </si>
  <si>
    <t>Gebruiksfunctie</t>
  </si>
  <si>
    <t>Bepalingsmethode</t>
  </si>
  <si>
    <t>Grenswaarde CO2-emissie</t>
  </si>
  <si>
    <t>Gebruiksoppervlakte</t>
  </si>
  <si>
    <t>m2</t>
  </si>
  <si>
    <t>Per gebouw</t>
  </si>
  <si>
    <t>Op basis van finale energiegebruiken</t>
  </si>
  <si>
    <t>Op basis van totale CO2-emissie</t>
  </si>
  <si>
    <t>Aardgas</t>
  </si>
  <si>
    <t>kg/m3</t>
  </si>
  <si>
    <t>Elektriciteit</t>
  </si>
  <si>
    <t>kg/kWh</t>
  </si>
  <si>
    <t>kg/GJ</t>
  </si>
  <si>
    <t>CO2-emissie</t>
  </si>
  <si>
    <t>Emissiereductie</t>
  </si>
  <si>
    <t>Warmte - eigen CO2-kental</t>
  </si>
  <si>
    <t>Berekende CO2-emissie</t>
  </si>
  <si>
    <t>Per vierkante meter gebruiksoppervlakte</t>
  </si>
  <si>
    <t>m3/m2</t>
  </si>
  <si>
    <t>GJ/m2</t>
  </si>
  <si>
    <t>Specifieke gebouwlevensduur tbv MPG-berekening</t>
  </si>
  <si>
    <t>uitmuntend</t>
  </si>
  <si>
    <t>standaard</t>
  </si>
  <si>
    <t>maximale afwijking:</t>
  </si>
  <si>
    <t>Woonfunctie</t>
  </si>
  <si>
    <t>Utilitaire functie</t>
  </si>
  <si>
    <t>Stap 1: vaststellen afwijking van de default</t>
  </si>
  <si>
    <t>Kenmerk</t>
  </si>
  <si>
    <t>optie</t>
  </si>
  <si>
    <t>verdeling</t>
  </si>
  <si>
    <t>weegfactor</t>
  </si>
  <si>
    <t>Flev.k</t>
  </si>
  <si>
    <t>Gebouwkwaliteit</t>
  </si>
  <si>
    <t>Robuustheid</t>
  </si>
  <si>
    <t>Robuuste uitvoering</t>
  </si>
  <si>
    <t>Toekomstbestendige constructies</t>
  </si>
  <si>
    <t>Identiteit</t>
  </si>
  <si>
    <t>Beeldkwaliteit</t>
  </si>
  <si>
    <t>Landmark</t>
  </si>
  <si>
    <t>Gebouwvolume</t>
  </si>
  <si>
    <t>Uitbreidbaarheid</t>
  </si>
  <si>
    <t>Afstootbaarheid</t>
  </si>
  <si>
    <t>Verplaatsbaarheid</t>
  </si>
  <si>
    <t>Indeling binnen volume</t>
  </si>
  <si>
    <t>Herverkavelbaarheid</t>
  </si>
  <si>
    <t>Herindeelbaarheid (binnen unit)</t>
  </si>
  <si>
    <t>Voorzieningen</t>
  </si>
  <si>
    <t>Aanpasbaarheid technische kwaliteit</t>
  </si>
  <si>
    <t>Uitbreidbaarheid voorzieningen</t>
  </si>
  <si>
    <t>Alle gebouwkenmerken</t>
  </si>
  <si>
    <t>afwijking op basis alle kenmerken (Flev) →</t>
  </si>
  <si>
    <t>STAP 2: VASTSTELLEN SPECIFIEKE GEBOUWLEVENSDUUR</t>
  </si>
  <si>
    <t>Default gebruiksfunctie</t>
  </si>
  <si>
    <t>jaar</t>
  </si>
  <si>
    <t>Afwijking van default</t>
  </si>
  <si>
    <t>(afgerond naar gehele decimaal)</t>
  </si>
  <si>
    <t>Specifieke gebouwlevensduur</t>
  </si>
  <si>
    <t>jaar (afgerond naar geheel getal)</t>
  </si>
  <si>
    <t>Kruisjeslijst functionele gebouwelementen per gebruiksfunctie</t>
  </si>
  <si>
    <t>Code</t>
  </si>
  <si>
    <t>Functionele gebouwelementen / Elementenmethode 2005</t>
  </si>
  <si>
    <t>Gebruiksfuncties</t>
  </si>
  <si>
    <t>woonfunctie</t>
  </si>
  <si>
    <t>kantoorfunctie</t>
  </si>
  <si>
    <t>bijeenkomstfunctie</t>
  </si>
  <si>
    <t>industriefunctie</t>
  </si>
  <si>
    <t>onderwijsfunctie</t>
  </si>
  <si>
    <t>logiesfunctie</t>
  </si>
  <si>
    <t>gezondheidszorgfunctie</t>
  </si>
  <si>
    <t>winkelfunctie</t>
  </si>
  <si>
    <t>1-</t>
  </si>
  <si>
    <t>FUNDERINGEN</t>
  </si>
  <si>
    <t>11.10</t>
  </si>
  <si>
    <t>bodemvoorzieningen; grond, algemeen (verzamelniveau)</t>
  </si>
  <si>
    <t>13.10</t>
  </si>
  <si>
    <t>vloeren op grondslag; niet constructief, algemeen (verzamelniveau)</t>
  </si>
  <si>
    <t>13.20</t>
  </si>
  <si>
    <t>vloeren op grondslag; constructief, algemeen (verzamelniveau)</t>
  </si>
  <si>
    <t>16.10</t>
  </si>
  <si>
    <t>funderingsconstructies; voeten en balken, algemeen (verzamelniveau)</t>
  </si>
  <si>
    <t>16.20</t>
  </si>
  <si>
    <t>funderingsconstructies; keerwanden, algemeen (verzamelniveau)</t>
  </si>
  <si>
    <t>17.10</t>
  </si>
  <si>
    <t>paalfunderingen; niet geheid, algemeen (verzamelniveau)</t>
  </si>
  <si>
    <t>17.20</t>
  </si>
  <si>
    <t>paalfunderingen; geheid, algemeen (verzamelniveau)</t>
  </si>
  <si>
    <t>2-</t>
  </si>
  <si>
    <t>RUWBOUW</t>
  </si>
  <si>
    <t>21.10</t>
  </si>
  <si>
    <t>buitenwanden; niet constructief, algemeen (verzamelniveau)</t>
  </si>
  <si>
    <t>21.20</t>
  </si>
  <si>
    <t>buitenwanden; constructief, algemeen (verzamelniveau)</t>
  </si>
  <si>
    <t>22.10</t>
  </si>
  <si>
    <t>binnenwanden; niet constructief, algemeen (verzamelniveau)</t>
  </si>
  <si>
    <t>22.20</t>
  </si>
  <si>
    <t>binnenwanden; constructief, algemeen (verzamelniveau)</t>
  </si>
  <si>
    <t>23.10</t>
  </si>
  <si>
    <t>vloeren; niet constructief, algemeen (verzamelniveau)</t>
  </si>
  <si>
    <t>23.20</t>
  </si>
  <si>
    <t>vloeren; constructief, algemeen (verzamelniveau)</t>
  </si>
  <si>
    <t>24.10</t>
  </si>
  <si>
    <t>trappen en hellingen; trappen, algemeen (verzamelniveau)</t>
  </si>
  <si>
    <t>24.20</t>
  </si>
  <si>
    <t>trappen en hellingen; hellingen, algemeen (verzamelniveau)</t>
  </si>
  <si>
    <t>27.10</t>
  </si>
  <si>
    <t>daken; niet constructief, algemeen (verzamelniveau)</t>
  </si>
  <si>
    <t>27.20</t>
  </si>
  <si>
    <t>daken; constructief, algemeen (verzamelniveau)</t>
  </si>
  <si>
    <t>28.10</t>
  </si>
  <si>
    <t>hoofddraagconstructies; kolommen en liggers, algemeen (verzamelniveau)</t>
  </si>
  <si>
    <t>28.20</t>
  </si>
  <si>
    <t>hoofddraagconstructies; wanden en vloeren, algemeen (verzamelniveau)</t>
  </si>
  <si>
    <t>28.30</t>
  </si>
  <si>
    <t>hoofddraagconstructies; ruimte-eenheden, algemeen (verzamelniveau)</t>
  </si>
  <si>
    <t>3-</t>
  </si>
  <si>
    <t>AFBOUW</t>
  </si>
  <si>
    <t>31.20</t>
  </si>
  <si>
    <t>buitenwandopeningen; gevuld met ramen, algemeen (verzamelniveau)</t>
  </si>
  <si>
    <t>31.30</t>
  </si>
  <si>
    <t>buitenwandopeningen; gevuld met deuren, algemeen (verzamelniveau)</t>
  </si>
  <si>
    <t>31.40</t>
  </si>
  <si>
    <t>buitenwandopeningen; gevuld met puien, algemeen (verzamelniveau)</t>
  </si>
  <si>
    <t>32.20</t>
  </si>
  <si>
    <t>binnenwandopeningen; gevuld met ramen, algemeen (verzamelniveau)</t>
  </si>
  <si>
    <t>32.30</t>
  </si>
  <si>
    <t>binnenwandopeningen; gevuld met deuren, algemeen (verzamelniveau)</t>
  </si>
  <si>
    <t>32.40</t>
  </si>
  <si>
    <t>binnenwandopeningen; gevuld met puien, algemeen (verzamelniveau)</t>
  </si>
  <si>
    <t>33.20</t>
  </si>
  <si>
    <t>vloeropeningen; gevuld, algemeen (verzamelniveau)</t>
  </si>
  <si>
    <t>34.10</t>
  </si>
  <si>
    <t>balustrades en leuningen; balustrades, algemeen (verzamelniveau)</t>
  </si>
  <si>
    <t>34.20</t>
  </si>
  <si>
    <t>balustrades en leuningen; leuningen, algemeen (verzamelniveau)</t>
  </si>
  <si>
    <t>37.20</t>
  </si>
  <si>
    <t>dakopeningen; gevuld, algemeen (verzamelniveau)</t>
  </si>
  <si>
    <t>38.10</t>
  </si>
  <si>
    <t>inbouwpakketten; algemeen (verzamelniveau)</t>
  </si>
  <si>
    <t>O</t>
  </si>
  <si>
    <t>4-</t>
  </si>
  <si>
    <t>AFWERKINGEN</t>
  </si>
  <si>
    <t>41.10</t>
  </si>
  <si>
    <t>buitenwandafwerkingen; algemeen (verzamelniveau)</t>
  </si>
  <si>
    <t>42.10</t>
  </si>
  <si>
    <t>binnenwandafwerkingen; algemeen (verzamelniveau)</t>
  </si>
  <si>
    <t>43.20</t>
  </si>
  <si>
    <t>vloerafwerkingen; niet verhoogd, algemeen (verzamelniveau)</t>
  </si>
  <si>
    <t>45.10</t>
  </si>
  <si>
    <t>plafondafwerkingen; verlaagd, algemeen (verzamelniveau)</t>
  </si>
  <si>
    <t>47.10</t>
  </si>
  <si>
    <t>dakafwerkingen; afwerkingen, algemeen (verzamelniveau)</t>
  </si>
  <si>
    <t>47.20</t>
  </si>
  <si>
    <t>dakafwerkingen; bekledingen, algemeen (verzamelniveau)</t>
  </si>
  <si>
    <t>5-</t>
  </si>
  <si>
    <t>INSTALLATIES</t>
  </si>
  <si>
    <t>51.10</t>
  </si>
  <si>
    <t>warmte-opwekking; lokaal, algemeen (verzamelniveau)</t>
  </si>
  <si>
    <t>51.20</t>
  </si>
  <si>
    <t>warmte-opwekking; centraal, algemeen (verzamelniveau)</t>
  </si>
  <si>
    <t>51.30</t>
  </si>
  <si>
    <t>warmte-opwekking; toegeleverde warmte, algemeen (verzamelniveau)</t>
  </si>
  <si>
    <t>51.40</t>
  </si>
  <si>
    <t>warmte-opwekking; warmte-krachtkoppeling, algemeen (verzamelniveau)</t>
  </si>
  <si>
    <t>51.50</t>
  </si>
  <si>
    <t>warmte-opwekking; bijzonder, algemeen (verzamelniveau)</t>
  </si>
  <si>
    <t>52.10</t>
  </si>
  <si>
    <t>afvoeren; regenwater, algemeen (verzamelniveau)</t>
  </si>
  <si>
    <t>52.20</t>
  </si>
  <si>
    <t>afvoeren; fecaliën, algemeen (verzamelniveau)</t>
  </si>
  <si>
    <t>52.60</t>
  </si>
  <si>
    <t>afvoeren; vast vuil, algemeen (verzamelniveau)</t>
  </si>
  <si>
    <t>53.10</t>
  </si>
  <si>
    <t>water; drinkwater, algemeen (verzamelniveau)</t>
  </si>
  <si>
    <t>53.20</t>
  </si>
  <si>
    <t>water; verwarmd tapwater, algemeen (verzamelniveau)</t>
  </si>
  <si>
    <t>54.10</t>
  </si>
  <si>
    <t>gassen; brandstof, algemeen (verzamelniveau)</t>
  </si>
  <si>
    <t>55.10</t>
  </si>
  <si>
    <t>koude-opwekking; lokaal, algemeen (verzamelniveau)</t>
  </si>
  <si>
    <t>55.20</t>
  </si>
  <si>
    <t>koude-opwekking; centraal, algemeen (verzamelniveau)</t>
  </si>
  <si>
    <t>55.30</t>
  </si>
  <si>
    <t>koude-opwekking; distributie, algemeen (verzamelniveau)</t>
  </si>
  <si>
    <t>56.10</t>
  </si>
  <si>
    <t>warmtedistributie; water, algemeen (verzamelniveau)</t>
  </si>
  <si>
    <t>56.20</t>
  </si>
  <si>
    <t>warmtedistributie; stoom, algemeen (verzamelniveau)</t>
  </si>
  <si>
    <t>56.30</t>
  </si>
  <si>
    <t>warmtedistributie; lucht, algemeen (verzamelniveau)</t>
  </si>
  <si>
    <t>56.40</t>
  </si>
  <si>
    <t>warmtedistributie; bijzonder, algemeen (verzamelniveau)</t>
  </si>
  <si>
    <t>57.10</t>
  </si>
  <si>
    <t>luchtbehandeling; natuurlijke ventilatie, algemeen (verzamelniveau)</t>
  </si>
  <si>
    <t>57.20</t>
  </si>
  <si>
    <t>luchtbehandeling; lokale mechanische afzuiging, algemeen (verzamelniveau)</t>
  </si>
  <si>
    <t>57.30</t>
  </si>
  <si>
    <t>luchtbehandeling; centrale mechanische afzuiging, algemeen (verzamelniveau)</t>
  </si>
  <si>
    <t>57.40</t>
  </si>
  <si>
    <t>luchtbehandeling; lokale mechanische ventilatie, algemeen (verzamelniveau)</t>
  </si>
  <si>
    <t>57.50</t>
  </si>
  <si>
    <t>luchtbehandeling; centrale mechanische ventilatie, algemeen (verzamelniveau)</t>
  </si>
  <si>
    <t>57.60</t>
  </si>
  <si>
    <t>luchtbehandeling; lokaal, algemeen (verzamelniveau)</t>
  </si>
  <si>
    <t>57.70</t>
  </si>
  <si>
    <t>luchtbehandeling; centraal, algemeen (verzamelniveau)</t>
  </si>
  <si>
    <t>58.10</t>
  </si>
  <si>
    <t>regeling klimaat en sanitair; specifieke regelingen, algemeen (verzamelniveau)</t>
  </si>
  <si>
    <t>6-</t>
  </si>
  <si>
    <t>INSTALLATIES ELEKTROTECHNISCH</t>
  </si>
  <si>
    <t>61.10</t>
  </si>
  <si>
    <t>centrale elektrotechnische voorz.; energie, noodstroom, algemeen (verzamelniveau)</t>
  </si>
  <si>
    <t>61.20</t>
  </si>
  <si>
    <t>centrale elektrotechnische voorz.; aarding, algemeen (verzamelniveau)</t>
  </si>
  <si>
    <t>61.30</t>
  </si>
  <si>
    <t>centrale elektrotechnische voorz.; kanalisatie, algemeen (verzamelniveau)</t>
  </si>
  <si>
    <t>61.50</t>
  </si>
  <si>
    <t>centrale elektrotechnische voorz.; energie, laagspanning, algemeen</t>
  </si>
  <si>
    <t>61.61</t>
  </si>
  <si>
    <t>centrale elektrotechnische voorz.; energie, zeer lage spanning, lager dan 100 V</t>
  </si>
  <si>
    <t>61.70</t>
  </si>
  <si>
    <t>centrale elektrotechnische voorz.; bliksemafleiding, algemeen</t>
  </si>
  <si>
    <t>62.20</t>
  </si>
  <si>
    <t>krachtstroom; laagspanning, onbewaakt, algemeen (verzamelniveau)</t>
  </si>
  <si>
    <t>63.10</t>
  </si>
  <si>
    <t>verlichting; standaard, onbewaakt, algemeen (verzamelniveau)</t>
  </si>
  <si>
    <t>63.20</t>
  </si>
  <si>
    <t>verlichting; calamiteiten, decentraal gevoed, algemeen (verzamelniveau)</t>
  </si>
  <si>
    <t>63.70</t>
  </si>
  <si>
    <t>verlichting; bijzonder, reclame, algemeen (verzamelniveau)</t>
  </si>
  <si>
    <t>64.40</t>
  </si>
  <si>
    <t>communicatie; overdracht van data, algemeen (verzamelniveau)</t>
  </si>
  <si>
    <t>64.50</t>
  </si>
  <si>
    <t>communicatie; geïntegreerde systemen, algemeen (verzamelniveau)</t>
  </si>
  <si>
    <t>65.10</t>
  </si>
  <si>
    <t>beveiliging; brand, algemeen (verzamelniveau)</t>
  </si>
  <si>
    <t>66.10</t>
  </si>
  <si>
    <t>transport; liften, algemeen (verzamelniveau)</t>
  </si>
  <si>
    <t>66.20</t>
  </si>
  <si>
    <t>transport; roltrappen en rolpaden, algemeen (verzamelniveau)</t>
  </si>
  <si>
    <t>66.30</t>
  </si>
  <si>
    <t>transport; goederen, algemeen (verzamelniveau)</t>
  </si>
  <si>
    <t>7-</t>
  </si>
  <si>
    <t>VASTE VOORZIENINGEN</t>
  </si>
  <si>
    <t>71.10</t>
  </si>
  <si>
    <t>vaste verkeersvoorzieningen; standaard, algemeen (verzamelniveau)</t>
  </si>
  <si>
    <t>73.10</t>
  </si>
  <si>
    <t>vaste keukenvoorzieningen; standaard, algemeen (verzamelniveau)</t>
  </si>
  <si>
    <t>73.20</t>
  </si>
  <si>
    <t>vaste keukenvoorzieningen; bijzonder, algemeen (verzamelniveau)</t>
  </si>
  <si>
    <t>74.10</t>
  </si>
  <si>
    <t>vaste sanitaire voorzieningen; standaard, algemeen (verzamelniveau)</t>
  </si>
  <si>
    <t>74.20</t>
  </si>
  <si>
    <t>vaste sanitaire voorzieningen; bijzonder, algemeen (verzamelniveau)</t>
  </si>
  <si>
    <t>90.20</t>
  </si>
  <si>
    <t>terrein; opstallen, algemeen (verzamelniveau)</t>
  </si>
  <si>
    <t>90.30</t>
  </si>
  <si>
    <t>terrein; omheiningen, algemeen (verzamelniveau)</t>
  </si>
  <si>
    <t>90.40</t>
  </si>
  <si>
    <t>terrein; terreinafwerkingen, algemeen (verzamelniveau)</t>
  </si>
  <si>
    <t>90.50</t>
  </si>
  <si>
    <t>terrein; werktuigbouwkundig, algemeen (verzamelniveau)</t>
  </si>
  <si>
    <t>90.60</t>
  </si>
  <si>
    <t>terrein; elektrotechnisch, algemeen (verzamelniveau)</t>
  </si>
  <si>
    <t>90.70</t>
  </si>
  <si>
    <t>terrein; terreininrichtingen, standaard, algemeen (verzamelniveau)</t>
  </si>
  <si>
    <t>Berekenen hergebruikspotentie</t>
  </si>
  <si>
    <t>Berekening hergebruikspotentie</t>
  </si>
  <si>
    <t>hergebruikspotentie</t>
  </si>
  <si>
    <t>Bron losmaakbaarheidsindex: "MEETMETHODIEK LOSMAAKBAARHEID VERSIE 2.0"</t>
  </si>
  <si>
    <t>Score bij relevante producten</t>
  </si>
  <si>
    <t>Productnaam</t>
  </si>
  <si>
    <t>1. Losmaakbaarheid</t>
  </si>
  <si>
    <t>2. Kwaliteitsfactor</t>
  </si>
  <si>
    <t>3. Marktwaarde</t>
  </si>
  <si>
    <t>4. MPG product</t>
  </si>
  <si>
    <t>Score</t>
  </si>
  <si>
    <t>1.1 type verbinding</t>
  </si>
  <si>
    <t>1.2 toegankelijkheid</t>
  </si>
  <si>
    <t>1.3 doorkruising</t>
  </si>
  <si>
    <t>1.4 randopsluiting</t>
  </si>
  <si>
    <t>(vrije invoer)</t>
  </si>
  <si>
    <t>keuzes</t>
  </si>
  <si>
    <t>TVn</t>
  </si>
  <si>
    <t>ToVn</t>
  </si>
  <si>
    <t>DKn</t>
  </si>
  <si>
    <t>Ron</t>
  </si>
  <si>
    <t>LIpn</t>
  </si>
  <si>
    <t>Kpr</t>
  </si>
  <si>
    <t>Mpr</t>
  </si>
  <si>
    <t>(GPR Materiaal)</t>
  </si>
  <si>
    <t>Hpr</t>
  </si>
  <si>
    <t>Maximale score</t>
  </si>
  <si>
    <t>MPG gebouw</t>
  </si>
  <si>
    <t>best scorende opties</t>
  </si>
  <si>
    <t>(uit GPR Materiaal)</t>
  </si>
  <si>
    <t>(LIpn + Kpr + Mpr : 1.0)</t>
  </si>
  <si>
    <t>Gebouw (alle producten)</t>
  </si>
  <si>
    <t>PV-systemen</t>
  </si>
  <si>
    <t>Gebouw, zonder PV-systemen</t>
  </si>
  <si>
    <t>toelichting parameter</t>
  </si>
  <si>
    <t>De dragende verbinding geldt als maatgevend</t>
  </si>
  <si>
    <t>Houdt hierbij de demontagevolgorede aan, meestal de omgekeerde bouwvolgorde</t>
  </si>
  <si>
    <t xml:space="preserve">Het begrip ”doorkruisingen” betekent dat producten of elementen door elkaar heen lopen of zelfs in zijn geheel met elkaar zijn geïntegreerd. </t>
  </si>
  <si>
    <t>Met de factor randopsluiting beoordeel je hoe producten in een samenstelling zijn geplaatst en of dit open is of gesloten.</t>
  </si>
  <si>
    <t>De kwaliteit van het product na demontage. Het gaat om producten met een wezenlijke restlevensduur (&gt;50% product-levensduur)</t>
  </si>
  <si>
    <t>Het product moet marktwaarde hebben. We negeren het toesnijden van het ontwerp op afwijkende maten en kwaliteiten.</t>
  </si>
  <si>
    <t>MPG van het losmaakbare product</t>
  </si>
  <si>
    <t>keuze (pull-down)</t>
  </si>
  <si>
    <t>toelichting keuze</t>
  </si>
  <si>
    <t>Berekenen circulaire materialen</t>
  </si>
  <si>
    <t>Berekening Circulaire materialen</t>
  </si>
  <si>
    <t>Circulaire materialen (over te nemen in GPR Gebouw)</t>
  </si>
  <si>
    <t>MPG product</t>
  </si>
  <si>
    <t>Keuzes</t>
  </si>
  <si>
    <t>(optie kiezen)</t>
  </si>
  <si>
    <t>(MPG x punten)</t>
  </si>
  <si>
    <t>Best scorende optie</t>
  </si>
  <si>
    <t>(vast)</t>
  </si>
  <si>
    <t>Alle producten</t>
  </si>
  <si>
    <t xml:space="preserve"> </t>
  </si>
  <si>
    <t>Indicatie BENG 1</t>
  </si>
  <si>
    <t>aantal</t>
  </si>
  <si>
    <t>selectie</t>
  </si>
  <si>
    <t>rekenen</t>
  </si>
  <si>
    <t>Type woning of utiliteitsgebouw</t>
  </si>
  <si>
    <t>naam woning|gebouw</t>
  </si>
  <si>
    <t>Kenmerken bouwdelen</t>
  </si>
  <si>
    <t>parameters</t>
  </si>
  <si>
    <t>opp. referentie
[m2]</t>
  </si>
  <si>
    <t>opp. eigen waarden [m2]</t>
  </si>
  <si>
    <t>opp. reken-waarden [m2]</t>
  </si>
  <si>
    <t>invoer Rc
[m2K/W]</t>
  </si>
  <si>
    <t>invoer U
[W/m2K]</t>
  </si>
  <si>
    <t>U-waarde
[W/m2K]</t>
  </si>
  <si>
    <t>Ri+Re
[m2K/W]</t>
  </si>
  <si>
    <t>A*U
[W/K]</t>
  </si>
  <si>
    <t>A verlies / Ag</t>
  </si>
  <si>
    <t>gemiddelde van bouwdelen</t>
  </si>
  <si>
    <t>BENG 1 &amp; GPR Gebouw Toekomstwaarde</t>
  </si>
  <si>
    <t>&gt;&gt; grenswaarde 1: A,ls/A,g</t>
  </si>
  <si>
    <t>&gt;&gt; grenswaarde 2: A,ls/A,g</t>
  </si>
  <si>
    <t>BENG1 (A,ls/A,g ≤ grenswaarde 1)</t>
  </si>
  <si>
    <t>Nieuwbouweis BENG 1 [kWh/m2]</t>
  </si>
  <si>
    <t>Indicatie BENG1 [kWh/m2]</t>
  </si>
  <si>
    <t>Indicatie BENG 1 t.o.v. Nieuwbouweis BENG 1</t>
  </si>
  <si>
    <t>Voldoet de woning aan de 'standaard'</t>
  </si>
  <si>
    <t>ventilatiesysteem</t>
  </si>
  <si>
    <t>A_verlies / A_gebruik</t>
  </si>
  <si>
    <t>Indicatie warmtebehoefte verwarming 'standaard'</t>
  </si>
  <si>
    <t>grenswaarde 'Standaard' [kWh/m2]</t>
  </si>
  <si>
    <t>indicatie warmtebehoefte verwarming [kWh/m2]</t>
  </si>
  <si>
    <t>indicatie warmtebehoefte voldoet aan 'standaard'</t>
  </si>
  <si>
    <t>Voor gebuiker verborgen kolommen.</t>
  </si>
  <si>
    <r>
      <t xml:space="preserve">Methode adaptief vermogen 1.0  </t>
    </r>
    <r>
      <rPr>
        <sz val="8"/>
        <color theme="0"/>
        <rFont val="Segoe UI"/>
        <family val="2"/>
      </rPr>
      <t>methode d.d. 16 12 2021</t>
    </r>
  </si>
  <si>
    <t>keuzelijsten</t>
  </si>
  <si>
    <t>Weegfactoren d.d. 14 06 2021</t>
  </si>
  <si>
    <t>Berekening</t>
  </si>
  <si>
    <t>INVOER CONTEXT</t>
  </si>
  <si>
    <t>Klik hier voor een toelichting op de indicatoren</t>
  </si>
  <si>
    <t>Locatietype</t>
  </si>
  <si>
    <t>Context</t>
  </si>
  <si>
    <t>RESULTATEN</t>
  </si>
  <si>
    <t>score benut</t>
  </si>
  <si>
    <t>weegfactoren</t>
  </si>
  <si>
    <t>SCORE</t>
  </si>
  <si>
    <t>ADAPTIEF VERMOGEN</t>
  </si>
  <si>
    <t>(0,00-4,00)</t>
  </si>
  <si>
    <t>GEBRUIKSDYNAMIEK</t>
  </si>
  <si>
    <t>Woon</t>
  </si>
  <si>
    <t>HERBESTEMMINGSDYNAMIEK</t>
  </si>
  <si>
    <t>INVOER PRESTATIES PER INDICATOR</t>
  </si>
  <si>
    <t>Utiliteit,overig</t>
  </si>
  <si>
    <t>Keuze invoer</t>
  </si>
  <si>
    <t>prestatie</t>
  </si>
  <si>
    <t>slecht</t>
  </si>
  <si>
    <t>normaal</t>
  </si>
  <si>
    <t>beter</t>
  </si>
  <si>
    <t>punten</t>
  </si>
  <si>
    <t>Dragende indicatoren</t>
  </si>
  <si>
    <t>aantal per prestatie:</t>
  </si>
  <si>
    <t>totaal:</t>
  </si>
  <si>
    <t>Binnenstedelijk</t>
  </si>
  <si>
    <t>Niet-binnenstedelijk</t>
  </si>
  <si>
    <t>Invoeropties</t>
  </si>
  <si>
    <t>gebruik defaults</t>
  </si>
  <si>
    <t>specificatie</t>
  </si>
  <si>
    <t>Opties</t>
  </si>
  <si>
    <t>1.WO-BI</t>
  </si>
  <si>
    <t>Aanvullende indicatoren</t>
  </si>
  <si>
    <t>2.WO-NB</t>
  </si>
  <si>
    <t>3.KA-BI</t>
  </si>
  <si>
    <t>4.KA-NB</t>
  </si>
  <si>
    <t>5.WI-BI</t>
  </si>
  <si>
    <t>6.WI-NB</t>
  </si>
  <si>
    <t>7.UO-BI</t>
  </si>
  <si>
    <t>8.UO-NB</t>
  </si>
  <si>
    <t>Wel (1)/geen (0) utilitiet</t>
  </si>
  <si>
    <t>RESULTATEN GEBRUIKSDYNAMIEK</t>
  </si>
  <si>
    <t>cluster</t>
  </si>
  <si>
    <t>type</t>
  </si>
  <si>
    <t>indicator</t>
  </si>
  <si>
    <t>RESULTATEN HERBESTEMMINGSDYNAMIEK</t>
  </si>
  <si>
    <t>Weegset alle contexten</t>
  </si>
  <si>
    <t>Perspectief</t>
  </si>
  <si>
    <t>Cluster</t>
  </si>
  <si>
    <t>Type adaptiviteit</t>
  </si>
  <si>
    <t>Weegset</t>
  </si>
  <si>
    <t>Item / context</t>
  </si>
  <si>
    <t>Gebruiksdynamiek</t>
  </si>
  <si>
    <t>Herbestemmingsdynamiek</t>
  </si>
  <si>
    <t>© W/E adviseurs, oktober 2021</t>
  </si>
  <si>
    <r>
      <t xml:space="preserve">Methode adaptief vermogen 1.0 - </t>
    </r>
    <r>
      <rPr>
        <b/>
        <sz val="14"/>
        <color theme="0"/>
        <rFont val="Segoe UI"/>
        <family val="2"/>
      </rPr>
      <t>kenmerken indicatoren</t>
    </r>
    <r>
      <rPr>
        <sz val="14"/>
        <color theme="0"/>
        <rFont val="Segoe UI"/>
        <family val="2"/>
      </rPr>
      <t xml:space="preserve"> </t>
    </r>
    <r>
      <rPr>
        <sz val="8"/>
        <color theme="0"/>
        <rFont val="Segoe UI"/>
        <family val="2"/>
      </rPr>
      <t>methode d.d. 16 12 2021</t>
    </r>
  </si>
  <si>
    <t>Overzicht van kenmerken indicatoren - voor gebruikers verborgen</t>
  </si>
  <si>
    <t>TERUG NAAR REKENBLAD ADAPTIEF VERMOGEN</t>
  </si>
  <si>
    <t>Kies indicator</t>
  </si>
  <si>
    <t>Indicator</t>
  </si>
  <si>
    <t>Dragend of aanvullend</t>
  </si>
  <si>
    <t>Gebruik- en/of herbestemmings-dynamiek</t>
  </si>
  <si>
    <t>Belang</t>
  </si>
  <si>
    <t>Aanpasbaar volume</t>
  </si>
  <si>
    <t>Wijziging in toename gebruiksoppervlak</t>
  </si>
  <si>
    <t>Wijziging in afname gebruiksoppervlak</t>
  </si>
  <si>
    <t>Wijziging in plaats gebouw</t>
  </si>
  <si>
    <t>Aanpasbaar binnen volume</t>
  </si>
  <si>
    <t>Wijziging in grootte/functies op gebouwniveau</t>
  </si>
  <si>
    <t>Wijziging indeling in gebouw</t>
  </si>
  <si>
    <t>Aanpasbare kwaliteit</t>
  </si>
  <si>
    <t>Wijziging in voor-zieningen/installaties</t>
  </si>
  <si>
    <t>Wijziging inrich-ting/afwerking</t>
  </si>
  <si>
    <t>Prestatieniveaus</t>
  </si>
  <si>
    <t>1. Slecht</t>
  </si>
  <si>
    <t>2. Redelijk</t>
  </si>
  <si>
    <t>3. Goed</t>
  </si>
  <si>
    <t>4. Uitstekend</t>
  </si>
  <si>
    <t>Toelichting criteria</t>
  </si>
  <si>
    <t>Aanvullende informatie/definities</t>
  </si>
  <si>
    <t>Extra kenmerken</t>
  </si>
  <si>
    <t>Invloed</t>
  </si>
  <si>
    <t>GPR</t>
  </si>
  <si>
    <t>Flextool DGBC</t>
  </si>
  <si>
    <t>Overzicht en kenmerken indicatoren</t>
  </si>
  <si>
    <t>© DGBC &amp; W/E adviseurs. december 2021</t>
  </si>
  <si>
    <t>Aanvullende infOrmatie/definities</t>
  </si>
  <si>
    <t>D01a</t>
  </si>
  <si>
    <t>Onderscheid draagconstructie en installaties (gebruiksdynamiek)</t>
  </si>
  <si>
    <t>Dragend</t>
  </si>
  <si>
    <t>Gebruik</t>
  </si>
  <si>
    <t>In welke mate zijn de draagconstructie  en installatiecomponenten in de unit/woning gescheiden van elkaar uitgevoerd?</t>
  </si>
  <si>
    <t>Zeer belangrijk. Als de draagconstructie en installaties niet verweven zijn, kan de unit verschillend worden ingedeeld.</t>
  </si>
  <si>
    <t>Dit is &lt;10% van een unit/woning</t>
  </si>
  <si>
    <t xml:space="preserve">Dit is 10 - 50% van een unit/woning </t>
  </si>
  <si>
    <t xml:space="preserve">Dit is 50 - 80% van een unit/woning </t>
  </si>
  <si>
    <t>Dit is &gt; 80% van een unit/woning</t>
  </si>
  <si>
    <t>1.	Percentages worden bepaald aan de hand van het GO die van de installatie (componenten) afhankelijk zijn
2.	Onder dragende elementen wordt zowel de draagconstructie als de vloeren en gevel verstaan.
3.	Gescheiden betekent: losmaakbaar van elkaar uitgevoerd
4.	Afhankelijk van betekent:  de  installaties die nodig zijn voor binnenklimaat en elektronische installaties in een ruimte. 
Indien 1 van de distributiekanalen of leidingen van deze installaties is verweven met de draagconstructie, wordt het oppervlak van deze ruimte als niet gescheiden beoordeeld.</t>
  </si>
  <si>
    <t xml:space="preserve">Indien inbouwcomponenten verbonden zijn met dragende elementen wordt de flexibiliteit van de indeling beperkt. Als bijvoorbeeld leidingen of kanalen zijn ingestort in een betonnen vloer, kunnen deze lastiger worden aangepast dan wanneer deze hier geen onlosmakelijk onderdeel van zijn. </t>
  </si>
  <si>
    <t>D</t>
  </si>
  <si>
    <t xml:space="preserve"> 5.2.4: biedt meer opties </t>
  </si>
  <si>
    <t>1.2</t>
  </si>
  <si>
    <t>D01b</t>
  </si>
  <si>
    <t>Onderscheid draagconstructie en installaties (herbestemmingsdynamiek)</t>
  </si>
  <si>
    <t>Herbestemming</t>
  </si>
  <si>
    <t>In welke mate zijn de draagconstructie  en installatiecomponenten in het gebouw gescheiden van elkaar uitgevoerd?</t>
  </si>
  <si>
    <t xml:space="preserve">Zeer belangrijk. Als de draagconstructie en installaties niet verweven zijn, kan het gebouw verschillend worden ingedeeld. </t>
  </si>
  <si>
    <t xml:space="preserve">Dit is &lt;10% van het gebouw </t>
  </si>
  <si>
    <t xml:space="preserve">Dit is 10 - 30% van het gebouw </t>
  </si>
  <si>
    <t xml:space="preserve">Dit is 30 - 50% van het gebouw </t>
  </si>
  <si>
    <t>Dit is &gt; 50% van het gebouw</t>
  </si>
  <si>
    <t>1.	Percentages worden bepaald aan de hand van het GO  die van de installatie (componenten) afhankelijk zijn
2.	Onder dragende elementen wordt zowel de draagconstructie als de vloeren en gevel verstaan. 
3.	Gescheiden betekent: losmaakbaar van elkaar uitgevoerd
4.	Afhankelijk van betekent:  de  installaties die nodig zijn voor binnenklimaat en elektronische installaties in een ruimte. 
Indien 1 van de distributiekanalen of leidingen van deze installaties is verweven met de draagconstructie, wordt het oppervlak van deze ruimte als niet gescheiden beoordeeld.</t>
  </si>
  <si>
    <t>Indien inbouwcomponenten verbonden zijn met dragende elementen wordt de flexibiliteit van de indeling beperkt. Als bijvoorbeeld leidingen of kanalen zijn ingestort in een betonnen vloer, kunnen deze lastiger worden aangepast dan wanneer deze hier geen onlosmakelijk onderdeel van zijn.</t>
  </si>
  <si>
    <t>D02a</t>
  </si>
  <si>
    <t>Overmaat gebouwoppervlak</t>
  </si>
  <si>
    <t>Gebruik en Herbestemming</t>
  </si>
  <si>
    <t>Is het gebouw overgedimensioneerd m.b.t. vereiste ruimte c.q. beschikbaar vloeroppervlak?</t>
  </si>
  <si>
    <t xml:space="preserve">Belangrijk. Naarmate er meer ruimte/vloeroppervlak beschikbaar is (b.v. zoneringssysteem met margeruimtes) dan neemt de herverkavelbaarheid, herindeelbaarheid en herbestemmingsmogelijkheid t.b.v. toekomstige functiewijzigingen toe. </t>
  </si>
  <si>
    <t>Nee</t>
  </si>
  <si>
    <t>5 - 10% overgedimensioneerd</t>
  </si>
  <si>
    <t>10 - 20% overgedimensioneerd</t>
  </si>
  <si>
    <t>&gt; 20% overgedimensioneerd</t>
  </si>
  <si>
    <t>1.	Percentages worden bepaald aan de hand van het GO
2.	Op basis van het PvE is de vraag voor het aantal gebruikers bepaald. De overdimensionering wordt vervolgens bepaald ten opzichte van de standaard bezettingsgraad uit het bouwbesluit.</t>
  </si>
  <si>
    <t xml:space="preserve">B </t>
  </si>
  <si>
    <t>D02b</t>
  </si>
  <si>
    <t>Overmaat woning</t>
  </si>
  <si>
    <t>Is de dimensionering van de woning, zodat hiermee meerdere indelingen van de woning mogelijk zijn?</t>
  </si>
  <si>
    <t xml:space="preserve">Belangrijk. Naarmate er meer ruimte/vloeroppervlak beschikbaar is (b.v. zoneringssysteem met margeruimtes) dan neemt de herverkavelbaarheid, herindeelbaarheid en herbestemmingsmogelijkheid t.b.v. toekomstige wijzigingen toe. </t>
  </si>
  <si>
    <t>Met een grote ingreep zijn meerdere indelingen mogelijk</t>
  </si>
  <si>
    <t>Met het plaatsen van een extra wand, kan een extra (slaap)kamer worden gecreeerd.</t>
  </si>
  <si>
    <t xml:space="preserve"> Met het plaatsen van een of twee extra wanden, kunnen twee extra (slaap)kamers worden gecreeerd.</t>
  </si>
  <si>
    <t>1.	Onder grote ingreep wordt verstaan dat er wanden moeten worden gesloopt.
2.	Een extra kamer voldoet aan de eisen van het bouwbesluit voor een bedruimte</t>
  </si>
  <si>
    <t>D03</t>
  </si>
  <si>
    <t>Vrije verdiepingshoogte</t>
  </si>
  <si>
    <t>Hoe groot bedraagt de minimale vrije verdiepingshoogte?</t>
  </si>
  <si>
    <t>Belangrijk. Naarmate er meer ruimte/vloeroppervlak beschikbaar is (b.v. zoneringssysteem met margeruimtes) dan neemt de herverkavelbaarheid, herindeelbaarheid en herbestemmingsmogelijkheid t.b.v. toekomstige functiewijzigingen toe.</t>
  </si>
  <si>
    <t>&lt; 2.60 m</t>
  </si>
  <si>
    <t>2.60 - 3.00 m</t>
  </si>
  <si>
    <t>3.00 - 3.40 m</t>
  </si>
  <si>
    <t>&gt;3.40 m</t>
  </si>
  <si>
    <t>1.	De vrije verdiepingshoogte is de hoogte tussen de bovenkant van een afgewerkte vloer en de onderkant van het laagste, daarboven gelegen constructiedeel. 
2.	Minimaal 95% van het GO moet voldoen.</t>
  </si>
  <si>
    <t>B</t>
  </si>
  <si>
    <t xml:space="preserve">12. Afmeting van de netto interne hoogte. Nagenoeg gelijk. </t>
  </si>
  <si>
    <t>D04</t>
  </si>
  <si>
    <t>Overdimensionering bouwkundige ruimte/reservering voor E&amp;W- installaties en schachten</t>
  </si>
  <si>
    <t>Is de bouwkundig gereserveerde ruimte voor (W, E, ECT) installaties overgedimensioneerd?</t>
  </si>
  <si>
    <t xml:space="preserve">Belangrijk. Als de ruimte reservering voor de installaties is overgedimensioneerd, neemt de uitbreidbaarheid t.b.v. toekomstige functiewijzigingen toe, omdat extra installaties kunnen worden toegevoegd. </t>
  </si>
  <si>
    <t>Niet overgedimensioneerd</t>
  </si>
  <si>
    <t>10 - 30% overgedimensioneerd</t>
  </si>
  <si>
    <t>30 - 50% overgedimensioneerd</t>
  </si>
  <si>
    <t>&gt; 50% overgedimensioneerd</t>
  </si>
  <si>
    <t>1.	Op basis van het installatie ontwerp (E &amp; W) is de minimale ruimte bouwkundige ruimte voor distributie van E, W en ECT bepaald. 
2.	Op basis van de plek met de kleinste doorvoermogelijkheid wordt het percentage bepaald.
3.	Percentage wordt bepaald op basis van aantal doorvoeren.</t>
  </si>
  <si>
    <t xml:space="preserve">Gereserveerde bouwkundige ruimte voor installaties
Hieronder wordt verstaan de ruimte die aanwezig is in schachten, kabelgoten en overige voor distributie van W, E en ECT gereserveerde ruimten. </t>
  </si>
  <si>
    <t>I</t>
  </si>
  <si>
    <t>5.1</t>
  </si>
  <si>
    <t>D05</t>
  </si>
  <si>
    <t xml:space="preserve">Uitbreidbaar gebouw of woning/unit, horizontaal en/of vertikaal
</t>
  </si>
  <si>
    <t>In hoeverre kan het gebouw of de woning/unit horizontaal en/of vertikaal uitgebreid worden, zonder de hoofddraagconstructie aan te passen?</t>
  </si>
  <si>
    <t xml:space="preserve">Belangrijk. Naarmate een gebouw uitgebreid kan worden voor nieuwe of grotere bestaande functies, neemt de herbestemmingsmogelijkheid en uitbreidbaarheid van het gebouw toe. </t>
  </si>
  <si>
    <t>Individuele horizontale en/of vertikale uitbreiding van een gebruikersunit is niet mogelijk.</t>
  </si>
  <si>
    <t>10 - 30% uitbreidbaar</t>
  </si>
  <si>
    <t>30 - 50% uitbreidbaar</t>
  </si>
  <si>
    <t>&gt; 50% uitbreidbaar</t>
  </si>
  <si>
    <t>1.	Percentages worden bepaald aan de hand van het GO van het huidige gebouw ten opzichte van de mogelijke uitbreiding.
2.	Voor horizontale uitbreiding is terrein beschikbaar waar deze uitbreiding zou kunnen plaats vinden. 
3.	Voor verticale uitbreiding is de hoofddraagstructuur geschikt voor het plaatsen van een of meerdere verdiepingen.</t>
  </si>
  <si>
    <t>GO: gebruiksoppervlak, vastgesteld conform NEN 2580.</t>
  </si>
  <si>
    <t>U</t>
  </si>
  <si>
    <t>5.2.2</t>
  </si>
  <si>
    <t>D06</t>
  </si>
  <si>
    <t xml:space="preserve">Instelbaarheid van installaties
</t>
  </si>
  <si>
    <t>In hoeverre kunnen de (W, E, ICT) installaties makkelijk reageren op wijzigende functionele eisen? Hoe instelbaar zijn de installaties?</t>
  </si>
  <si>
    <t xml:space="preserve">Belangrijk. Naar mate de instelbaarheid en regelbaarheid van de installatiecomponenten groter is, is de uitbreidbaarheid en aanpasbaarheid van het gebouw groter. </t>
  </si>
  <si>
    <t>Slecht instelbaar (monofunctioneel of gefixeerd gebruik)</t>
  </si>
  <si>
    <t>Beperkt instelbaar, slechts na ingrijpende maatregelen</t>
  </si>
  <si>
    <t>Deels instelbaar, na eenvoudige maatregelen</t>
  </si>
  <si>
    <t>Goed en eenvoudig instelbaar: het meten/regelen bij verschillend gebruik is direct mogelijk</t>
  </si>
  <si>
    <t>1.	Onder goed en eenvoudig instelbaar wordt verstaan dat de installaties worden aangestuurd op afstand en dat er geen fysieke werkzaamheden hoeven plaats te vinden om de installaties te regelen. 
2.	Indien alleen E of W goed en eenvoudig in te stellen zijn, kan worden gekozen voor de antwoordoptie deels.</t>
  </si>
  <si>
    <t>Installatiecomponenten
Onder installatiecomponenten worden zowel de gebouwgebonden elementen zoals luchtbehandling, warmte- en koudeopwekking alsmede afgifte punten zoals inblaasunits en verlichting bedoeld.</t>
  </si>
  <si>
    <t>3. In hoeverre liggen de E-faciliteiten in een raster?</t>
  </si>
  <si>
    <t>D07</t>
  </si>
  <si>
    <t xml:space="preserve">Verplaatsbare binnenwanden
</t>
  </si>
  <si>
    <t>In hoeverre zijn binnenwanden, zowel ruimte- en/of functiescheidend, makkelijk te verplaatsen?</t>
  </si>
  <si>
    <t>Belangrijk. Naar mate binnenwanden eenvoudiger te verplaatsen zijn, neemt de verplaatsbaarheid van het gebouw toe.</t>
  </si>
  <si>
    <t>Binnenwanden zijn niet zonder ingrijpende/kostbare bouwkundige ingrepen verplaatsbaar.</t>
  </si>
  <si>
    <t>Binnenwanden zijn niet verplaatsbaar, wel afbreekbaar.</t>
  </si>
  <si>
    <t>Binnenwanden zijn verplaatsbaar door ze af te breken en opnieuw op te bouwen.</t>
  </si>
  <si>
    <t>Binnenwanden zijn eenvoudig zonder ingrijpende/kostbare bouwkundige ingrepen verplaatsbaar (b.v. systeemwanden).</t>
  </si>
  <si>
    <t>1.	Als een aanzienlijk deel van de wanden (&gt;20% van de strekkende meters wand) een dragende functie heeft, moet worden gekozen voor antwoordoptie 1.
2.	Binnenwanden die afbreekbaar zijn, hebben geen dragende functie. 
3.	Binnenwanden zijn verplaatsbaar indien ze zonder dat materialen verloren gaan op een andere plaats dezelfde functie kunnen vervullen. 
4.	Binnenwanden zijn verplaatsbaar indien de vloerbelasting die toelaat.</t>
  </si>
  <si>
    <t>2. Welke binnenwanden worden toegepast en in hoeverre zijn de binnenwanden verplaatsbaar en herbruikbaar?
5. Welke functiescheidende wanden worden toegepast en in hoeverre zijn deze verplaatsbaar en herbruikbaar?</t>
  </si>
  <si>
    <t>D08</t>
  </si>
  <si>
    <t xml:space="preserve">Ontkoppelbaarheid en bereikbaarheid installatiecomponenten
</t>
  </si>
  <si>
    <t>Kunnen de componenten van de installaties makkelijk worden ontkoppeld?</t>
  </si>
  <si>
    <t>Belangrijk. Naarmate de bereikbaarheid en ontkoppelbaarheid van installatiecomponenten groter is, neemt de herindeelbaarheid en transformeerbaarheid toe.</t>
  </si>
  <si>
    <t>Componenten zijn slecht bereikbaar (op dragerniveau, ingestort) en o.a. daardoor zijn ze niet ontkoppelbaar, demonteerbaar en bereikbaar. N</t>
  </si>
  <si>
    <t>Componenten zijn slecht bereikbaar (deels op drager- en inbouwniveau) en o.a. daardoor slecht ontkoppelbaar, demonteerbaar of bereikbaar.</t>
  </si>
  <si>
    <t>Componenten zijn goed bereikbaar (componenten op inbouwniveau) en zijn (groten)deels te ontkoppelen en demonteren.</t>
  </si>
  <si>
    <t>Componenten zijn zeer goed bereikbaar (op inbouwniveau) en zijn volledig ontkoppelbaar, demonteerbaar en stekkerbaar.</t>
  </si>
  <si>
    <t>1.	Componenten zijn slecht bereikbaar indien deze onderdeel zijn van de draagconstructie en bijvoorbeeld zijn ingestort in het beton. 
2.	Indien een aanzienlijk deel (&gt;40% van het aantal) van de componenten goed bereikbaar is, kan gekozen worden voor de antwoordoptie ‘deels’.</t>
  </si>
  <si>
    <t xml:space="preserve">13. Waar zijn de installaties geplaatst? </t>
  </si>
  <si>
    <t>D09</t>
  </si>
  <si>
    <t>Positionering obstakels draagstructuur</t>
  </si>
  <si>
    <t>Op welke wijze werken onderdelen van de draagstructuur belemmerend voor de herindeelbaarheid van de woning of unit?</t>
  </si>
  <si>
    <t>Belangrijk Hoe minder onderdelen van de draagconstructie ‘’in de weg’’ staan, des te groter de verkavelbaarheid en herindeelbaarheid van een gebouw.</t>
  </si>
  <si>
    <t>De mogelijkheid voor herverkaveling of herindeling in het gebouw wordt volledig belemmerd door moeilijk of niet te verwijderen obstakels. Units kleiner dan 75m2 zijn onmogelijk.</t>
  </si>
  <si>
    <t>De mogelijkheid voor herverkaveling of herindeling in het gebouw wordt ernstig belemmerd: units tussen de 50-75m2 zijn mogelijk.</t>
  </si>
  <si>
    <t>De mogelijkheid voor herverkaveling of herindeling in het gebouw wordt beperkt belemmerd: units tussen de 25-50m2 zijn mogelijk.</t>
  </si>
  <si>
    <t>De mogelijkheid voor herverkaveling of herindeling in het gebouw wordt niet belemmerd door moeilijk of niet te verwijderen obstakels.  Units van &lt; 25 m2 zijn mogelijk</t>
  </si>
  <si>
    <t>1.	Oppervlakten worden bepaald in GO.
2.	Bij het bepalen van de herkavelbaarheid wordt er vanuit gegaan dat de draagconstructie niet wordt aangepast.</t>
  </si>
  <si>
    <t xml:space="preserve">1. Mogelijkheid tot indeling volgens een bepaalde stramienmaat (diepte) van de kolomplaatsing tussen de buitengevels
7. Heeft het gebouw wel of geen dragende gevel en/of obstakels in de ruimte? Doel flextool komt overeen met dit doel. </t>
  </si>
  <si>
    <t>D10</t>
  </si>
  <si>
    <t xml:space="preserve">Daglichttoetreding
</t>
  </si>
  <si>
    <t>In hoeverre worden de ruimtes in het gebouw voorzien van daglicht?</t>
  </si>
  <si>
    <t xml:space="preserve">Belangrijk. Naarmate er meer daglicht in de ruimtes van het gebouw komt, hoe beter tegemoet gekomen kan worden aan veranderende eisen m.b.t. het wijzigen van de inrichting en kwaliteit van het gebouw. </t>
  </si>
  <si>
    <t>Daglichtequivalent &lt; 1/20</t>
  </si>
  <si>
    <t>Daglichtequivalent 1/20-1/10</t>
  </si>
  <si>
    <t>Daglichtequivalent 1/10-1/5</t>
  </si>
  <si>
    <t>Daglichtequivalent &gt; 1/5</t>
  </si>
  <si>
    <t>1. De daglichtequivalent is bepaald conform NEN 2057.</t>
  </si>
  <si>
    <t xml:space="preserve">11. Vloeroppervlak van de gevelzone met ramen (7 meter diep) als percentage van totaal BVO. </t>
  </si>
  <si>
    <t>D11</t>
  </si>
  <si>
    <t>Aanwezigheid+positie van trappen en/of liften, of uitbredingsmogelijkheden voor trappen/liften</t>
  </si>
  <si>
    <t xml:space="preserve">Zijn er per kern genoeg trappen en liften aanwezig in het gebouw of is het mogelijk nieuwe trappen en/of liften toe te voegen en bestaande te hergebruiken? </t>
  </si>
  <si>
    <t xml:space="preserve">Belangrijk. Naarmate er voor elke kern een trap en/of lift in een gebouw aanwezig is, neemt de herbestemmingskwaliteit naar andere functies toe. </t>
  </si>
  <si>
    <t xml:space="preserve">0. Er is maar een decentraal trappen- en/of lifthuis aanwezig in het gebouw en er zijn geen nieuwe trappen/liften toe te voegen zonder ingrijpende en kostbare maatregelen. </t>
  </si>
  <si>
    <t xml:space="preserve">1. Er is een centraal trappen- en/of lifthuis - en/of het is in potentie mogelijk een nieuwe trap/lift toe te voegen en bestaande te hergebruiken </t>
  </si>
  <si>
    <t>2. Gebouw verdeeld in vleugels met centraal trappen- en/of lifthuis - en/of het is in beperkte mate mogelijk nieuwe trappen/liften toe te voegen en bestaande te hergebruiken</t>
  </si>
  <si>
    <t>3. Elke vleugel heeft een centraal trappen- en/of lifthuis - en/of nieuwe trappen/liften zijn betrekkelijk eenvoudig toe te voegen met hergebruik van bestaande</t>
  </si>
  <si>
    <t xml:space="preserve">1. Trap en of lifthuis is de centrale plek wat toegang geeft tot de verschillende verdiepingen van het gebouw. </t>
  </si>
  <si>
    <t>T</t>
  </si>
  <si>
    <t>6. Positie entree en kern (trap en/of lift) in het gebouw</t>
  </si>
  <si>
    <t>D12</t>
  </si>
  <si>
    <t xml:space="preserve">Multifunctioneel gebruik gebouw of woning/unit in de tijd
</t>
  </si>
  <si>
    <t>Kan het gebouw of de woning/unit in de huidige situatie, zonder aanpassingen, meerdere functie-wijzigingen mogelijk maken?</t>
  </si>
  <si>
    <t>Belangrijk. Naarmate een gebouw of woning/unit meer functie-wijzigingen kan huisvesten, neemt het adaptief vermogen toe.</t>
  </si>
  <si>
    <t>Alleen voor één specifieke functie geschikt (kantoren, of wonen, of zorg, of … ).</t>
  </si>
  <si>
    <t>Geschikt voor twee functies.</t>
  </si>
  <si>
    <t>Geschikt voor drie functies.</t>
  </si>
  <si>
    <t>Geschikt voor meer dan drie functies (zowel geschikt voor wonen, kantoren, zorg en commercie).</t>
  </si>
  <si>
    <t xml:space="preserve">1.	Met minimale ingrepen is het gebouw of de unit geschikt te maken voor verschillende functies. 
2.	Bij een gebouw kunnen de functies ook op verschillende plaatsen in het gebouw plaats hebben
3.	De draagconstructie is geschikt voor de verschillende functies.  </t>
  </si>
  <si>
    <t>F</t>
  </si>
  <si>
    <t>D13</t>
  </si>
  <si>
    <t>Dragende vloeren</t>
  </si>
  <si>
    <t>Op welke wijze zijn de dragende vloeren samengesteld?</t>
  </si>
  <si>
    <t>Belangrijk. Naarmate dragende vloeren zijn samengesteld uit prefab/demontabele delen, neemt de verkavelbaarheid, herindeelbaarheid en transformatiemogelijkheden toe. Breedplaatvloeren staan bijvoorbeeld achteraf de plaatsing van een schacht toe.</t>
  </si>
  <si>
    <t>Volledig monoliet vloeren.</t>
  </si>
  <si>
    <t>Monoliet vloeren met demontabele zones.</t>
  </si>
  <si>
    <t>Gesegmenteerde vloeren met demontabele afwerklaag.</t>
  </si>
  <si>
    <t>(Prefab) demontabele vloeren.</t>
  </si>
  <si>
    <t>1.	Met demontabele zones wordt bedoeld dat er in de vloer rekening is gehouden dat een deel van het vloerveld kan worden verwijderd. 
2.	Een demontabele vloer kan zonder hak en breekwerk worden gedemonteerd.</t>
  </si>
  <si>
    <t>Vloeren van beton:
Een vloer van beton kan ook voldoen aan de antwoordopties, maar daar zitten wel beperkingen aan. Een breedplaatvloeren staat bijvoorbeeld achteraf de plaatsing van een schacht toe.</t>
  </si>
  <si>
    <t>D14</t>
  </si>
  <si>
    <t>Mogelijkheid tot indeling middels een vrij indeelbare plattegrond.</t>
  </si>
  <si>
    <t>Wat is de grootte van het vloerveld, wat niet wordt onderbroken door elementen van de draagconstructie?</t>
  </si>
  <si>
    <t>Belangrijk. Naarmate de draagstructuur uit onafhankelijke modules bestaat ,wordt de herindeelbaarheid van een deel van het gebouw groter.</t>
  </si>
  <si>
    <t>&lt; 29 m2 GO</t>
  </si>
  <si>
    <t>29 m2 GO – 65 m2 GO</t>
  </si>
  <si>
    <t>Er zijn obstakels in het vloerveld, maar de grootte &gt; 65 m2 GO</t>
  </si>
  <si>
    <t xml:space="preserve">Er zijn geen obstakels in het vloerveld </t>
  </si>
  <si>
    <t>1.	Voor de bepaling zijn toiletruimten, liften en trappenhuizen niet van toepassing.
2.	De vloervelden dienen een lengte breedte verhouding te hebben van maximaal 1:3.</t>
  </si>
  <si>
    <t>Een vrij vloerveld maakt de herindeelbaarheid van een object makkelijker. Voor de bepaling van de oppervlakte is uitgegaan van een verhouding van 5,4 x 5,4 (29 m2) en 8,1x8,1 (65m2). De herindeelbaarheid vermindert bij andere vormverhoudingen. Daarom is een maximale verhouding opgenomen.</t>
  </si>
  <si>
    <t>5.2.3</t>
  </si>
  <si>
    <t xml:space="preserve">1. Mogelijkheid tot indeling volgens een bepaalde stramienmaat (diepte) van de kolomplaatsing tussen de buitengevels. Hier wordt nog een stramienmaat toegevoegd. </t>
  </si>
  <si>
    <t>A01</t>
  </si>
  <si>
    <t xml:space="preserve">Utilitaire functie: afstootbaar deel van gebouw, horizontaal of verticaal, of afstootbare gebruikersunit
</t>
  </si>
  <si>
    <t>Aanvullend</t>
  </si>
  <si>
    <t xml:space="preserve">Afstootbaar deel van gebouw horizontaal of verticaal, of afstootbare gebruikersunit
</t>
  </si>
  <si>
    <t xml:space="preserve">Aanvullend. Wanneer een deel van het gebouw kan worden afgestoten (verhuurd/gesloopt) neemt de afstootbaarheid toe. </t>
  </si>
  <si>
    <t>Nee.</t>
  </si>
  <si>
    <t>Afstoting van een deel van een unit is zeer beperkt mogelijk voor enkele units in het gebouw.</t>
  </si>
  <si>
    <t>Afstoting van een deel van een unit is alleen mogelijk bij een algemene herverkaveling van alle/meerdere units</t>
  </si>
  <si>
    <t>Het individueel afstoten van een deel van een unit is eenvoudig te realiseren, zonder dat andere units daar hinder van ondervinden (toepassing zonemargesystemen).</t>
  </si>
  <si>
    <t xml:space="preserve">1. Het eenvoudig afstoten van een unit/woningen is mogelijk als deze zijn aangesloten op een centrale entree of zijn voorzien van een eigen entree. </t>
  </si>
  <si>
    <t>Niet van toepassing voor woningen.</t>
  </si>
  <si>
    <t>5.2.5</t>
  </si>
  <si>
    <t>A02</t>
  </si>
  <si>
    <t>Utilitaire functie: mogelijkheid tot verdeling van de oppervlakte in units van de genoemde grootte.</t>
  </si>
  <si>
    <t>Aanvullend. Hoe fijnmaziger de units verdeeld of verplaatst kunnen worden, des te meer mogelijkheden er zijn het gebouw aan te passen.</t>
  </si>
  <si>
    <t>Aanvullend. Naarmate de gebouwvorm meer gelijkzijdig/regelmatig is, is het makkelijker te herverkavelen en herindelen.</t>
  </si>
  <si>
    <t>Groter dan 600 m2 GO</t>
  </si>
  <si>
    <t>Tussen 400 en 600 m2 GO</t>
  </si>
  <si>
    <t>Tussen 200 en 400 m2 GO</t>
  </si>
  <si>
    <t>Minder dan 200 m2 GO</t>
  </si>
  <si>
    <t>1.	80% van de totale vloeroppervlakte (GO) voldoet aan het gestelde criterium.
2.	Units zijn voorzien van een eigen entree en kunnen als afzonderlijke ruimte worden gebruikt.</t>
  </si>
  <si>
    <t>8. Mogelijkheid tot verdeling van de oppervlakte in units van de gnoemde grootte</t>
  </si>
  <si>
    <t>A03</t>
  </si>
  <si>
    <t>Utilitaire functie: zelfstandigheid voorzieningen gebruiksunit.</t>
  </si>
  <si>
    <t>In hoeverre is de unit zelfstandig m.b.t. het aantal genoemde voorzieningen (pantry, meterkasten, installatie, sanitair, kitchenette)?</t>
  </si>
  <si>
    <t>Hoe meer voorzieningen per unit hoe zelfstandiger de unit kan functioneren tov andere units.</t>
  </si>
  <si>
    <t>Geen voorziening aanwezig</t>
  </si>
  <si>
    <t>Een tot twee voorzieningen aanwezig</t>
  </si>
  <si>
    <t>Drie tot vier voorzieningen aanwezig</t>
  </si>
  <si>
    <t>Vier of meer voorzieningen aanwezig</t>
  </si>
  <si>
    <t>1.	Onder voorzieningen wordt verstaan, pantry, meterkast, installatie, sanitair en kitchenette. 
2.	80% van de totale vloeroppervlakte (GO) voldoet aan het gestelde criterium.</t>
  </si>
  <si>
    <t>9. Aanwezigheid van voorzieningen per unit: pantry, meterkast, sanitair.</t>
  </si>
  <si>
    <t>A04</t>
  </si>
  <si>
    <t>Utilitaire functie: te openen ramen.</t>
  </si>
  <si>
    <t>Zijn er per 3,6 strekkende meter gevel per verdieping te openen ramen?</t>
  </si>
  <si>
    <t>Naarmate meer ramen zijn te openen, zijn ook snelle aanpassingen van inrichting en kwaliteit mogelijk.</t>
  </si>
  <si>
    <t>Geen of &lt; 10%</t>
  </si>
  <si>
    <t>10 - 30%</t>
  </si>
  <si>
    <t>30 - 80%</t>
  </si>
  <si>
    <t>80 - 100%</t>
  </si>
  <si>
    <t>1. Percentage wordt bepaald: a/b x 100%
a.	Het aantal  geveldelen van 3,6 meter met te openen ramen.
b.	Totaal aantal geveldelen van 3,6 meter.</t>
  </si>
  <si>
    <t>A05</t>
  </si>
  <si>
    <t>Demontabele gevel</t>
  </si>
  <si>
    <t>In hoeverre kunnen bij transformatie gevelcomponenten worden gedemonteerd?</t>
  </si>
  <si>
    <t>De herverkavelbaarheid, herindeelbaarheid, transformeerbaarheid of hergebruiksmogelijkheden worden groter als gevelcomponenten demonteerbaar zijn.</t>
  </si>
  <si>
    <t>Gevelcomponenten zijn niet of nauwelijks te demonteren en dienen volledig gesloopt en verwijderd te worden (&lt;20%)</t>
  </si>
  <si>
    <t>Een klein deel van de gevelcomponenten is te demonteren (tussen 20 en 50%)</t>
  </si>
  <si>
    <t>Een groot deel van de gevelcomponenten kan gedemonteerd worden (tussen 50 en 90%)</t>
  </si>
  <si>
    <t>Alle gevelcomponenten zijn nagenoeg volledig demonteerbaar &gt; 90%)</t>
  </si>
  <si>
    <t>1.	Percentage worden bepaald op de strekkende meters gevel per verdieping.</t>
  </si>
  <si>
    <t>A06</t>
  </si>
  <si>
    <t xml:space="preserve">Aanpasbaarheid gevel (-componenten)
</t>
  </si>
  <si>
    <t>In hoeverre kunnen bij transformatie de bestaande componenten in de gevel van het gebouw behouden blijven of aangepast en blijvend worden gebruikt?</t>
  </si>
  <si>
    <t>Als de componenten behouden kunnen blijven en hergebruikt kunnen worden bij transformatie, dan kan beter tegemoet worden gekomen aan eisen m.b.t. wijzigen van de kwaliteit van een gebouw zonder overbodig verlies aan aanwezige  materialen-/ gevelcomponenten.</t>
  </si>
  <si>
    <t>Niet mogelijk zonder zeer ingrijpende aanpassingen aan-/verlies van de overige gevel componentenof vanwege monumentenstatus.</t>
  </si>
  <si>
    <t>Beperkt mogelijk met ingrijpende aanpassingen aan de overige gevel componenten.</t>
  </si>
  <si>
    <t>Beperkt mogelijk met eenvoudige aanpassingen aan de overige gevel.</t>
  </si>
  <si>
    <t>Goed mogelijk zonder ingrijpende aanpassingen aan de overige gevel componenten.</t>
  </si>
  <si>
    <t>1. Onder ingrijpende aanpassingen wordt verstaan dat er hak en breekwerk nodig om de aanpassing te realiseren. Bij een eenvoudige aanpassing is hak en breekwerk niet nodig.</t>
  </si>
  <si>
    <t>A07</t>
  </si>
  <si>
    <t>Mogelijkheid balkons aan gevel</t>
  </si>
  <si>
    <t>In hoeverre kunnen balkons of andere buitenruimten aangebracht worden aan de gevel?</t>
  </si>
  <si>
    <t>Als op eenvoudige wijze balkons kunnen worden aangebracht, kan het gebouw makkelijk kwalitatief worden gewijzigd.</t>
  </si>
  <si>
    <t>Niet mogelijk zonder zeer ingrijpende verbouwingen of vanwege monumentenstatus.</t>
  </si>
  <si>
    <t>Beperkt mogelijk met ingrijpende verbouwingen.</t>
  </si>
  <si>
    <t>Beperkt mogelijk met eenvoudige verbouwingen.</t>
  </si>
  <si>
    <t>Goed mogelijk zonder ingrijpende verbouwingen.</t>
  </si>
  <si>
    <t xml:space="preserve">1.	Bij ingrijpende verbouwingen zijn aanpassingen in de draagstructuur nodig. </t>
  </si>
  <si>
    <t>Andere buitenruimten. Dit kunnen bijvoorbeeld tuinen of een inpandig balkon zijn.</t>
  </si>
  <si>
    <t>A08</t>
  </si>
  <si>
    <t>Verticale uitbreiding: ontsluiting</t>
  </si>
  <si>
    <t>Kunnen verticale gebouwontsluitingen (liften en/of trappen) eenvoudig verlengd worden?</t>
  </si>
  <si>
    <t>Als de bestaande lift/trapschachten  makkelijk verticaal kunnen worden uitgebreid met nieuwe bouwlagen voor functies neemt de herbestemmingsmogelijkheid en verticale uitbreidbaarheid toe.</t>
  </si>
  <si>
    <t>Lift/trapschacht kan niet verticaal doorgevoerd worden zonder ingrijpende en kostbare maatregelen.</t>
  </si>
  <si>
    <t>Lift/trapschacht kan moeilijk verlengd worden.</t>
  </si>
  <si>
    <t>Lift/trapschacht kan eenvoudig verlengd worden zonder ingrijpende en kostbare maatregelen.</t>
  </si>
  <si>
    <t xml:space="preserve">Lift/trapschacht is lang genoeg; een verlenging is niet nodig. </t>
  </si>
  <si>
    <t>1. Bij ingrijpende maatregelen zijn aanpassingen in de draagstructuur nodig.</t>
  </si>
  <si>
    <t>Combineren van GPR-scores van verschillende berekeningen</t>
  </si>
  <si>
    <t>(Ambities van) Thema's</t>
  </si>
  <si>
    <t>Ambitie GPR scores</t>
  </si>
  <si>
    <t xml:space="preserve">Thema's </t>
  </si>
  <si>
    <t>Gezond</t>
  </si>
  <si>
    <t>Toekomst</t>
  </si>
  <si>
    <t>Ambities gecombineerde GPR berekeningen</t>
  </si>
  <si>
    <t>Gegevens te combineren berekeningen GPR Gebouw</t>
  </si>
  <si>
    <t>GPR scores uit berekeningen</t>
  </si>
  <si>
    <t>Berekening GPR Gebouw</t>
  </si>
  <si>
    <t>Naam berekening</t>
  </si>
  <si>
    <t>Gebouwcategorie</t>
  </si>
  <si>
    <t>zonder gemeenschapelijke ruimte</t>
  </si>
  <si>
    <t>met gemeenschappelijke ruimte</t>
  </si>
  <si>
    <t>Gebouwcategorieen</t>
  </si>
  <si>
    <t>Winkelvastgoed</t>
  </si>
  <si>
    <t>Zorgvastgoed</t>
  </si>
  <si>
    <t>Gemeenschappelijke ruimte</t>
  </si>
  <si>
    <t>Combinatiegebouw totaal</t>
  </si>
  <si>
    <t>Combineren van GPR-scores van verschillende berekeningen, gebaseerd op DPG</t>
  </si>
  <si>
    <t>Energie &amp; Milieu</t>
  </si>
  <si>
    <t>CirculariteitsPrestatie Gebouw 1.7</t>
  </si>
  <si>
    <t/>
  </si>
  <si>
    <t>Gebouwtype</t>
  </si>
  <si>
    <t>Circulariteitsprestatie Gebouw</t>
  </si>
  <si>
    <t>zoekterm score</t>
  </si>
  <si>
    <t>zoekterm GPR bron</t>
  </si>
  <si>
    <t>Strategie 1: Benut beschikbare materialen en producten</t>
  </si>
  <si>
    <t>Substrategie</t>
  </si>
  <si>
    <t>Invoer</t>
  </si>
  <si>
    <t>GPR-bron</t>
  </si>
  <si>
    <t>1.1 Behoud aanwezige gebouwelementen</t>
  </si>
  <si>
    <t>1.2 Hergebruik producten van elders</t>
  </si>
  <si>
    <t>1.3 Gebruik producten met secundaire grondstoffen</t>
  </si>
  <si>
    <t>Strategie 2: Gebruik hernieuwbaar grondstoffen</t>
  </si>
  <si>
    <t>2.1 Gebruik biobased materialen</t>
  </si>
  <si>
    <t>2.2 Gebruik hernieuwbare energie</t>
  </si>
  <si>
    <t>2.3 Gebruik grijs of hemelwater</t>
  </si>
  <si>
    <t>Strategie 3: Minimaliseer  de milieuimpact tijdens de cycli</t>
  </si>
  <si>
    <t>3.1 Zorg voor een zo laag mogelijke DPG-score</t>
  </si>
  <si>
    <t>2.1</t>
  </si>
  <si>
    <t>Milieuprestatie</t>
  </si>
  <si>
    <t>Strategie 4: Creëer voorwaarden voor lange cycli</t>
  </si>
  <si>
    <t>4.1 Creëer voorwaarden voor vasthouden van water</t>
  </si>
  <si>
    <t>4.2 Creëer voorwaarden voor lange gebouwlevensduur</t>
  </si>
  <si>
    <t>5.2</t>
  </si>
  <si>
    <t>Flexibiliteit</t>
  </si>
  <si>
    <t>Gebouwkwaliteit = gemiddelde (3, 4, 5.3)</t>
  </si>
  <si>
    <t>Gezondheid</t>
  </si>
  <si>
    <t>Gebruikskwaliteit</t>
  </si>
  <si>
    <t>5.3</t>
  </si>
  <si>
    <t>Belevingswaarde</t>
  </si>
  <si>
    <t>Strategie 5: Creëer voorwaarden voor gebruik in toekomstige cycli</t>
  </si>
  <si>
    <t>5.1 Creëer voorwaarden voor hergebruik</t>
  </si>
  <si>
    <t>5.2 Creëer voorwaarden voor recycling</t>
  </si>
  <si>
    <t>Proces (niet vastgelegd in gebouwkenmerken)</t>
  </si>
  <si>
    <t>1.1 Werk met herbruikbare verpakkingen</t>
  </si>
  <si>
    <t>2.4.1</t>
  </si>
  <si>
    <t>Herbruikbare verpakkingen bouw- en onderhoud</t>
  </si>
  <si>
    <t>4.1 Zorg voor cycliverlengend onderhoudsplan</t>
  </si>
  <si>
    <t>Duurzaam onderhoudsplan</t>
  </si>
  <si>
    <t>5.1 Beheer een Materialenpaspoort</t>
  </si>
  <si>
    <t>Sloopbestek, meegeleverd bij oplevering</t>
  </si>
  <si>
    <t>5.2 Zorg voor vergaande scheiding bouwafval</t>
  </si>
  <si>
    <t>Zorgvuldige en vergaande afvalscheiding uitvoering</t>
  </si>
  <si>
    <t>DISCLAIMER  Aan deze spreadsheet kunnen geen rechten worden ontleend. Hoewel dit instrument met de grootst mogelijke zorg is samengesteld kan W/E adviseurs duurzaam bouwen geen enkele aansprakelijkheid aanvaarden voor schade als gevolg van eventuele onjuistheden en/of uitvoering of gebruik op van het instrument.</t>
  </si>
  <si>
    <t>2.1 Gebruik biobased producten</t>
  </si>
  <si>
    <t>nvt</t>
  </si>
  <si>
    <t>4.1 Creëer voorwaarden voor lange gebouwlevensduur</t>
  </si>
  <si>
    <t>4.2 Creëer voorwaarden voor lange productlevensduur</t>
  </si>
  <si>
    <t>4.3 Creëer voorwaarden voor vasthouden van water</t>
  </si>
  <si>
    <t>5.1 Creëer voorwaarden voor hergebruik en recycling</t>
  </si>
  <si>
    <t>Proces (niet vastgelegd in gebouwkenmerken en telt niet mee in de CPG-score)</t>
  </si>
  <si>
    <t>Rekenblad combineren woningen of gebouwunits</t>
  </si>
  <si>
    <t>Adres</t>
  </si>
  <si>
    <t>Ag</t>
  </si>
  <si>
    <t>EI</t>
  </si>
  <si>
    <t>Label</t>
  </si>
  <si>
    <t>Gemiddeld per woning</t>
  </si>
  <si>
    <t>Gemiddeld per m2 Ag</t>
  </si>
  <si>
    <t>Resultaten gebouw</t>
  </si>
  <si>
    <t>losmaakbaarheidsindex (Llg)</t>
  </si>
  <si>
    <t>hergebruikspotentie (Hpr)</t>
  </si>
  <si>
    <t>2. MPG product</t>
  </si>
  <si>
    <t>3. Kwaliteitsfactor</t>
  </si>
  <si>
    <t>4. Marktwaarde</t>
  </si>
  <si>
    <t>Product</t>
  </si>
  <si>
    <t>Dragende verbinding</t>
  </si>
  <si>
    <t>Laag</t>
  </si>
  <si>
    <t>LIcn</t>
  </si>
  <si>
    <t>ROn</t>
  </si>
  <si>
    <t>LIsn</t>
  </si>
  <si>
    <t>Kprn</t>
  </si>
  <si>
    <t>Mprn</t>
  </si>
  <si>
    <t>Hprn</t>
  </si>
  <si>
    <t>Space plan (LIln)</t>
  </si>
  <si>
    <t>Space plan</t>
  </si>
  <si>
    <t>Services (LIln)</t>
  </si>
  <si>
    <t>Services</t>
  </si>
  <si>
    <t>Skin (LIln)</t>
  </si>
  <si>
    <t>Skin</t>
  </si>
  <si>
    <t>Structure (LIln)</t>
  </si>
  <si>
    <t>Structure</t>
  </si>
  <si>
    <t>TOTAAL (LIg)</t>
  </si>
  <si>
    <t>Lagen van Brand</t>
  </si>
  <si>
    <t>scheiding van ruimten binnen het gebouw</t>
  </si>
  <si>
    <t>installaties</t>
  </si>
  <si>
    <t>gebouwschil</t>
  </si>
  <si>
    <t>hoofddraagconstructie</t>
  </si>
  <si>
    <t>Hergebruikspotentie 2.0</t>
  </si>
  <si>
    <t>Hergebruikspotentie bijgewerkt naar versie 2.0</t>
  </si>
  <si>
    <t>Losmaakbaarheidsindex en hergebruikspotentie zijn nadrukkelijker gescheiden gepresenteerd zodat de tool ook bruikbaar is voor publicatie op de website van DGBC</t>
  </si>
  <si>
    <t>Wouter v W</t>
  </si>
  <si>
    <t>Oude versie</t>
  </si>
  <si>
    <t xml:space="preserve">Zie tabblad </t>
  </si>
  <si>
    <t>"tabellen hergebruikspotentie 2.0"</t>
  </si>
  <si>
    <t>Extra rijen</t>
  </si>
  <si>
    <t>Diverse</t>
  </si>
  <si>
    <t>Berekenen losmaakbaarheid v2.0 en hergebruikspotentie</t>
  </si>
  <si>
    <t>ISSO 75.3</t>
  </si>
  <si>
    <t>GPR 4.3 | ISSO 75.3 | NMD 2.3/3.0 | KIEM</t>
  </si>
  <si>
    <t>apparatuur</t>
  </si>
  <si>
    <t>ventilatoren</t>
  </si>
  <si>
    <t>pompen</t>
  </si>
  <si>
    <t>NB uit GPR 4.1</t>
  </si>
  <si>
    <t>#N/B</t>
  </si>
  <si>
    <t>ISSO 75.3 naar GPR4</t>
  </si>
  <si>
    <t>tabblad voor omzetten resultaten uit EPA-U/ISSO 75.3 naar GPR 4 - alleen utiliteit!!</t>
  </si>
  <si>
    <t>Pieter|Harry</t>
  </si>
  <si>
    <t>tabbelen_EMD</t>
  </si>
  <si>
    <t>Overzicht GPR Hulpmiddelen</t>
  </si>
  <si>
    <t>tegel toegevoegd met verwijzing naar het tabblad 'ISSO 75.3 naar GPR4'</t>
  </si>
  <si>
    <t>kolommen met data toegevoegd voor het tabblad 'ISSO 75.3 naar GPR4'</t>
  </si>
  <si>
    <t>nieuwbouw of bestaande bouw</t>
  </si>
  <si>
    <t>scope GPR Gebouw</t>
  </si>
  <si>
    <t>GPR scope</t>
  </si>
  <si>
    <t>nieuwbouw</t>
  </si>
  <si>
    <t>bestaande bouw</t>
  </si>
  <si>
    <t>totaal</t>
  </si>
  <si>
    <t>elektriciteitsproductie gebouwgebonden</t>
  </si>
  <si>
    <t>afgenomen energie</t>
  </si>
  <si>
    <t>geëxporteerde energie</t>
  </si>
  <si>
    <t>elektriciteitsproductie niet-gebouwgebonden</t>
  </si>
  <si>
    <t>zomercomfort</t>
  </si>
  <si>
    <t>Primaire energie</t>
  </si>
  <si>
    <t>Resultaten energiegebruik</t>
  </si>
  <si>
    <t>Resultaten CO2-emissie</t>
  </si>
  <si>
    <t>verbergen →</t>
  </si>
  <si>
    <t>CO2-emissie per m2</t>
  </si>
  <si>
    <t>Rekenmodellen</t>
  </si>
  <si>
    <t>Methoden</t>
  </si>
  <si>
    <t>Subthema 1.1: DPG en Klimaatmonitor</t>
  </si>
  <si>
    <t>Subthema 1.1: energieprestatie en 1.2: CO2-reductie</t>
  </si>
  <si>
    <t>Duurzaamheidsprestatie DPG</t>
  </si>
  <si>
    <t>kg CO2 eq/jaar.m2 BVO</t>
  </si>
  <si>
    <t>Broeikasgas-emissie tgv materiaalgebruik (MPG)</t>
  </si>
  <si>
    <t>kg CO2 eq/m2 BVO/jaar</t>
  </si>
  <si>
    <t>1. Grenswaarden per functie</t>
  </si>
  <si>
    <t>2. Beoogde GPR-score voor het gebouw</t>
  </si>
  <si>
    <t>Controle</t>
  </si>
  <si>
    <t>4. Totaal primaire fossiele energie per functie</t>
  </si>
  <si>
    <t>5. Beoogde score</t>
  </si>
  <si>
    <t>3. EP2 per functie</t>
  </si>
  <si>
    <t>6. Bijpassende EP2 per functie</t>
  </si>
  <si>
    <t>7. Totaal primaire fossiele energie per functie</t>
  </si>
  <si>
    <t>11. Grenswaarden per functie</t>
  </si>
  <si>
    <t>12. Beoogde GPR-score voor het gebouw</t>
  </si>
  <si>
    <t>13. DPG-index per functie</t>
  </si>
  <si>
    <t>31. Grenswaarde per functie</t>
  </si>
  <si>
    <t>32. Grenswaarde gebouw</t>
  </si>
  <si>
    <t>33. Beoogde reductie</t>
  </si>
  <si>
    <t>34. Grenswaarde per functie</t>
  </si>
  <si>
    <t>Gegevens CPG-berekening (1.8) NIEUWBOUW</t>
  </si>
  <si>
    <t>Gegevens CPG-berekening (1.8) BESTAANDE BOUW</t>
  </si>
  <si>
    <t>nieuw / bestaand</t>
  </si>
  <si>
    <t>Resultaten uit GPR Gebouw 4.3 overnemen:</t>
  </si>
  <si>
    <t>Resultaten uit GPR Gebouw 4.4 overnemen:</t>
  </si>
  <si>
    <t>CirculariteitsPrestatie Gebouw 1.8 voor bestaande bouw</t>
  </si>
  <si>
    <t>CirculariteitsPrestatie Gebouw 1.8 voor nieuwbouw</t>
  </si>
  <si>
    <t>Strategie 2: Gebruik hernieuwbare grondstoffen</t>
  </si>
  <si>
    <t>CPG 1.7</t>
  </si>
  <si>
    <t>Kleine tekstuele wijzigingen</t>
  </si>
  <si>
    <t>CPG 1.8 bestaand</t>
  </si>
  <si>
    <t>Toegevoegd. Nummering voor GPR 4.4 bestaande bouw is anders dan voor GPR 4.4 nieuwbouw</t>
  </si>
  <si>
    <t>CHECK: IS OOK DE DATUM VAN HET GEWIJZIGDE REKENBLAD AANGEPAST?</t>
  </si>
  <si>
    <t>CPG 1.8 nieuw</t>
  </si>
  <si>
    <t>Hernoemd, kleine tekstuele aanpassingen.</t>
  </si>
  <si>
    <t>2.1.11</t>
  </si>
  <si>
    <t>grenswaarde GPR 6 bij bronmethode (NTA 8800)</t>
  </si>
  <si>
    <t>grenswaarde GPR 10 bij bronmethode (NTA 8800)</t>
  </si>
  <si>
    <t>hulpenergie waakvlam</t>
  </si>
  <si>
    <t>MPG-inijking, factor a</t>
  </si>
  <si>
    <t>MPG-inijking, factor b</t>
  </si>
  <si>
    <t>elek: gebouwgebonden installaties</t>
  </si>
  <si>
    <t>elek: niet gebouwgebonden installaties</t>
  </si>
  <si>
    <t>elek: opgewekte elektriciteit</t>
  </si>
  <si>
    <t>biomassa (tbv verwarming / tapwater)</t>
  </si>
  <si>
    <t>gas (tbv verwarming / tapwater)</t>
  </si>
  <si>
    <t>score in GPR Gebouw op 'Energie- en Milieuprestatie'</t>
  </si>
  <si>
    <t xml:space="preserve">Opmaak gewijzigd, meer nadruk voor 1.1. </t>
  </si>
  <si>
    <t>CO2-emissiereductie t.o.v. nieuwbouwniveau 2006 (%)</t>
  </si>
  <si>
    <t>VABI NTA 8800. EP2: Primair fossiel energieverbruik</t>
  </si>
  <si>
    <t>Kies een versie van GPR Gebouw</t>
  </si>
  <si>
    <t>Cosmetisch</t>
  </si>
  <si>
    <t>Doelmethoden</t>
  </si>
  <si>
    <t>Kies een passend pakket</t>
  </si>
  <si>
    <t xml:space="preserve">EP2: Primair fossiel energieverbruik </t>
  </si>
  <si>
    <t>Primaire fossiele energie Ewe;P;tot</t>
  </si>
  <si>
    <t>elek: niet gebouwgebonden installaties (stelpost)</t>
  </si>
  <si>
    <t>opgewekte &amp; verbruikte elektriciteit</t>
  </si>
  <si>
    <t>VABI EPA-U</t>
  </si>
  <si>
    <t>gasverbruik</t>
  </si>
  <si>
    <t>elektriciteitsverbruik</t>
  </si>
  <si>
    <t>warmteverbruik</t>
  </si>
  <si>
    <t>pv-cellen</t>
  </si>
  <si>
    <t>warmtekracht</t>
  </si>
  <si>
    <t>Cosmetisch, schrijffouten gecorrigeerd</t>
  </si>
  <si>
    <t>Default gezet op Woon | Binnenstedelijk</t>
  </si>
  <si>
    <t>BENG1</t>
  </si>
  <si>
    <t>Default gezet op woning | Tussenwoning S</t>
  </si>
  <si>
    <t xml:space="preserve">Toelichting bij 90.20 - 90.70 was niet relevant, daarom verwijderd. </t>
  </si>
  <si>
    <t>Default gezet op woning | NTA 8800</t>
  </si>
  <si>
    <t>CO2 warmtenetten</t>
  </si>
  <si>
    <t>ISSO 75.3 als referentie toegevoegd voor GPR Gebouw 4.3, bestaande utiliteit</t>
  </si>
  <si>
    <t>Naam aangepast, van 'warmte' → 'externe warmte regio'</t>
  </si>
  <si>
    <t>Energielabel utiliteit</t>
  </si>
  <si>
    <t>Energielabel: Primaire energie</t>
  </si>
  <si>
    <t>Eptot</t>
  </si>
  <si>
    <t>bruto vloeroppervlakte (BVO)</t>
  </si>
  <si>
    <t>milieuprestatie gebouw (MPG)</t>
  </si>
  <si>
    <t>milieu-effect 'Klimaatverandering GWP 100 jaar'</t>
  </si>
  <si>
    <t>finale energie</t>
  </si>
  <si>
    <t>primaire energie</t>
  </si>
  <si>
    <t>Totalen per energiedrager</t>
  </si>
  <si>
    <t>PEF finaal → primair</t>
  </si>
  <si>
    <t>eenheden omrekenen</t>
  </si>
  <si>
    <t>Methode</t>
  </si>
  <si>
    <t>Enorm: EPtot</t>
  </si>
  <si>
    <t>Uniec 2: Karakteristiek energiegebruik EPtot</t>
  </si>
  <si>
    <t>Uniec 3: Jaarlijkse karakteristieke energiegebruik Eptot</t>
  </si>
  <si>
    <t>Enorm: Specifieke energieprestatie per m2</t>
  </si>
  <si>
    <t>Uniec 2: Specifieke energieprestatie EP</t>
  </si>
  <si>
    <t>Energielabel: Primaire energie per m2</t>
  </si>
  <si>
    <t>Indicator primaire energie</t>
  </si>
  <si>
    <t>Resultaten per energiefunctie</t>
  </si>
  <si>
    <t>Resultaten | Primair energiegebruik</t>
  </si>
  <si>
    <t>Jaarlijkse hoeveelheid primaire energie voor de energiefunctie</t>
  </si>
  <si>
    <t>Meenemen naar DPG-berekening?</t>
  </si>
  <si>
    <t>Energiegebruik per deelpost in de huidige situatie</t>
  </si>
  <si>
    <t>hulpenergie</t>
  </si>
  <si>
    <t>geëxporteerde elektriciteit</t>
  </si>
  <si>
    <t>op eigen perceel opgewekte &amp; verbruikte elektriciteit</t>
  </si>
  <si>
    <t>in het gebied opgewekte elektriciteit</t>
  </si>
  <si>
    <t>verwarming (excl. hulpenergie)</t>
  </si>
  <si>
    <t>warm tapwater (excl. hulpenergie)</t>
  </si>
  <si>
    <t>koeling (excl. hulpenergie)</t>
  </si>
  <si>
    <t>Uniec 2 per functie</t>
  </si>
  <si>
    <t>Uniec 2 finaal</t>
  </si>
  <si>
    <t>Uniec 3 per functie</t>
  </si>
  <si>
    <t>Uniec 3 finaal</t>
  </si>
  <si>
    <t>Rekenmodel</t>
  </si>
  <si>
    <t>Eenheid primaire energie van EP-methode</t>
  </si>
  <si>
    <t>Let op: de eenheid is in GPR Gebouw 4.3 [kg CO2eq/m2 BVO.jaar] en in GPR Gebouw 4.4 [kg CO2eq/jaar]</t>
  </si>
  <si>
    <t>Rekenmodellen per bepalingsmethode</t>
  </si>
  <si>
    <t>Relevant?</t>
  </si>
  <si>
    <t>Eenheid primaire energie</t>
  </si>
  <si>
    <t>Primaire energie per m2</t>
  </si>
  <si>
    <t>energiedrager per m2 BVO</t>
  </si>
  <si>
    <t>14. Beoogde score</t>
  </si>
  <si>
    <t>15. Bijpassende DPG-index per functie</t>
  </si>
  <si>
    <t>16. En voor het gebouw</t>
  </si>
  <si>
    <t>17. EP2* per functie</t>
  </si>
  <si>
    <t>Informatief: EPC/EI/EP2</t>
  </si>
  <si>
    <t>resultaten invullen als EP-berekening met</t>
  </si>
  <si>
    <t>T  A  B  E  L  L  E  N  Energie- &amp; Materiaalprestatie</t>
  </si>
  <si>
    <t>GPR_versie</t>
  </si>
  <si>
    <t>GPR_scope</t>
  </si>
  <si>
    <t>GPR scope W of U</t>
  </si>
  <si>
    <t>GPR_scope_W_U</t>
  </si>
  <si>
    <t>rekenwaarde</t>
  </si>
  <si>
    <t>invoer</t>
  </si>
  <si>
    <t>waarde</t>
  </si>
  <si>
    <t>default</t>
  </si>
  <si>
    <t>CO2-emissie, totaal</t>
  </si>
  <si>
    <t>eenheden</t>
  </si>
  <si>
    <t>elektriciteit geëxporteerd</t>
  </si>
  <si>
    <t>externe warmte</t>
  </si>
  <si>
    <t>EPA-U: Primaire energie</t>
  </si>
  <si>
    <t>EPA-U. Primaire energie</t>
  </si>
  <si>
    <t>Standaard energiegebruik voor dit gebouw</t>
  </si>
  <si>
    <t>Overhead, algemeen</t>
  </si>
  <si>
    <t>Inijking DPG (primair energiegebruik en MPG)</t>
  </si>
  <si>
    <t>Inijking subthema 1.1 energieprestatie (primair energiegebruik) en subthema 1.2 CO2-emissie</t>
  </si>
  <si>
    <t>A</t>
  </si>
  <si>
    <t>Kenmerken energiedragers, tbv DPG-bepaling</t>
  </si>
  <si>
    <t>Methode + eenheid</t>
  </si>
  <si>
    <t>1000 m3</t>
  </si>
  <si>
    <t>MWh</t>
  </si>
  <si>
    <t>Energiedragers in GPR Gebouw - impactfactoren</t>
  </si>
  <si>
    <t>GPR 4.3 | eenheid</t>
  </si>
  <si>
    <t>GPR 4.4 | eenheid</t>
  </si>
  <si>
    <t>omrekenfactor</t>
  </si>
  <si>
    <t>afronden, aantal decimalen</t>
  </si>
  <si>
    <t>Energieprestatie</t>
  </si>
  <si>
    <t>Energieprestatie, aanvullend</t>
  </si>
  <si>
    <t>Startwaarde</t>
  </si>
  <si>
    <t>2.1.1</t>
  </si>
  <si>
    <t>2.1.2</t>
  </si>
  <si>
    <t>Bouwmethode, gericht op efficiënt materiaalgebruik</t>
  </si>
  <si>
    <t>Extra maatregelen</t>
  </si>
  <si>
    <t>2.2</t>
  </si>
  <si>
    <t>Water</t>
  </si>
  <si>
    <t>2.3</t>
  </si>
  <si>
    <t>Ruimte en natuur</t>
  </si>
  <si>
    <t>1+2</t>
  </si>
  <si>
    <t>Bepalen score conform DPG-methode</t>
  </si>
  <si>
    <t>Duurzaamheidsprestatie</t>
  </si>
  <si>
    <t>Materiaal (exclusief MPG)</t>
  </si>
  <si>
    <t>1.1 + 2.1</t>
  </si>
  <si>
    <t>Bijdrage</t>
  </si>
  <si>
    <t>Milieuprestatie Gebouw (MPG)</t>
  </si>
  <si>
    <t>Punten</t>
  </si>
  <si>
    <t>Weegfactor</t>
  </si>
  <si>
    <t>Thema</t>
  </si>
  <si>
    <t>Subthema</t>
  </si>
  <si>
    <t>Groep</t>
  </si>
  <si>
    <t>Punten subthema</t>
  </si>
  <si>
    <t>Startwaarde subthema</t>
  </si>
  <si>
    <t>Punten groep</t>
  </si>
  <si>
    <t>Let op: alleen gecontroleerd voor GPR Gebouw 4.4  | nieuwbouw | woningbouw</t>
  </si>
  <si>
    <t>Per subthema</t>
  </si>
  <si>
    <t>Per maatregelgroep</t>
  </si>
  <si>
    <t>(Maar volgens Rogier is de onderlinge weging voor alle relevante punten gelijk in heel GPR Gebouw 4.4)</t>
  </si>
  <si>
    <t>Niveau</t>
  </si>
  <si>
    <t>Maatregelgroep</t>
  </si>
  <si>
    <t>punten in GPR</t>
  </si>
  <si>
    <t>Punten voor de MPG in GPR Gebouw</t>
  </si>
  <si>
    <t>Punten bij een 6</t>
  </si>
  <si>
    <t>Punten bij een 10</t>
  </si>
  <si>
    <t>pos/neg</t>
  </si>
  <si>
    <t>Eenheid energie</t>
  </si>
  <si>
    <t>BVO</t>
  </si>
  <si>
    <t>kg CO2 eq/
m2 BVO/jaar</t>
  </si>
  <si>
    <t>afwijkende formule!!</t>
  </si>
  <si>
    <t>combinatiegebouw</t>
  </si>
  <si>
    <t>externe koudelevering</t>
  </si>
  <si>
    <t>externe koude</t>
  </si>
  <si>
    <t>check</t>
  </si>
  <si>
    <r>
      <t xml:space="preserve">Energiedragers - Eenheden finale energie, </t>
    </r>
    <r>
      <rPr>
        <b/>
        <sz val="9"/>
        <color rgb="FFFF0000"/>
        <rFont val="Segoe UI"/>
        <family val="2"/>
      </rPr>
      <t>per rekenmodel</t>
    </r>
  </si>
  <si>
    <r>
      <t xml:space="preserve">Energiedragers - PEF en eenheid primaire energie, </t>
    </r>
    <r>
      <rPr>
        <b/>
        <sz val="10"/>
        <color rgb="FFFF0000"/>
        <rFont val="Segoe UI"/>
        <family val="2"/>
      </rPr>
      <t xml:space="preserve">per </t>
    </r>
    <r>
      <rPr>
        <b/>
        <sz val="9"/>
        <color rgb="FFFF0000"/>
        <rFont val="Segoe UI"/>
        <family val="2"/>
      </rPr>
      <t>bepalingsmethode</t>
    </r>
  </si>
  <si>
    <r>
      <t xml:space="preserve">Energiedragers - Eenheden finale energie omrekenen, </t>
    </r>
    <r>
      <rPr>
        <b/>
        <sz val="9"/>
        <color rgb="FFFF0000"/>
        <rFont val="Segoe UI"/>
        <family val="2"/>
      </rPr>
      <t>per rekenmodel</t>
    </r>
  </si>
  <si>
    <t>Totale deelposten (niet primair)</t>
  </si>
  <si>
    <t>finale energie - eenheden van het rekenmodel</t>
  </si>
  <si>
    <t>finale energie - eenheden GPR Gebouw | DPG</t>
  </si>
  <si>
    <t>Energiedragers in GPR Gebouw - eenheden tbv impactfactoren DPG</t>
  </si>
  <si>
    <t>Energiedragers in GPR Gebouw - omrekenen eenheden tbv invoer DPG</t>
  </si>
  <si>
    <t>Energiedragers in GPR Gebouw - eenheden tbv invoer DPG</t>
  </si>
  <si>
    <t>Energiedragers in GPR Gebouw - eenheden tbv invoer DPG afronden, aantal decimalen</t>
  </si>
  <si>
    <t>Energiedragers in GPR Gebouw - omrekenen eenheden tbv berekening DPG-index</t>
  </si>
  <si>
    <t xml:space="preserve">Zou eigenlijk ook nog onderscheid naar GPR 4.3 en GPR 4.4 moeten (kunnen) zijn, maar dat is gelukkig niet nodig. </t>
  </si>
  <si>
    <t>CO2-emissiekental</t>
  </si>
  <si>
    <t>CO2-emissiekentalkental</t>
  </si>
  <si>
    <t>Belangrijkste scores</t>
  </si>
  <si>
    <t>Subthema 1.1 + 2.1 DPG</t>
  </si>
  <si>
    <t>Uit EP-berkening</t>
  </si>
  <si>
    <t>Thema 2.1 Milieuprestatie</t>
  </si>
  <si>
    <t>Naar GPR</t>
  </si>
  <si>
    <t>Thema 1.1 Energieprestatie</t>
  </si>
  <si>
    <t>← Deze getallen, of iets wat er op lijkt, staan ook in de DPG-tussenresultaten (in blauw) in GPR Gebouw.</t>
  </si>
  <si>
    <t>elektriciteit opwekking PV</t>
  </si>
  <si>
    <t>hout/biomassa</t>
  </si>
  <si>
    <t>warmte</t>
  </si>
  <si>
    <t>elektriciteit: gebruik gebouwgebonden installaties</t>
  </si>
  <si>
    <t>elektriciteit: opgewekt</t>
  </si>
  <si>
    <t>Energiedragers in GPR Gebouw - grootheden tbv invoer DPG</t>
  </si>
  <si>
    <t>PEF overschrijfbaar</t>
  </si>
  <si>
    <t>ook meteen voor CO2-kental</t>
  </si>
  <si>
    <t>Jaarlijkse hoeveelheid energiegebruik voor de energiefunctie</t>
  </si>
  <si>
    <t>invoeren als PEF, niet als EOR</t>
  </si>
  <si>
    <t>Energiedrager rekenmodel</t>
  </si>
  <si>
    <t>Energiedrager GPR Gebouw</t>
  </si>
  <si>
    <t>EP_versie_scope_functie_methode</t>
  </si>
  <si>
    <t>GPR = 6</t>
  </si>
  <si>
    <t>GPR = 10</t>
  </si>
  <si>
    <t>materiaal
(MPG)</t>
  </si>
  <si>
    <t>grootheid</t>
  </si>
  <si>
    <t>rekenstap</t>
  </si>
  <si>
    <t>Subthema 1.1: Energieprestatie en CO2</t>
  </si>
  <si>
    <t>Subthema 1.1 en 1.2: Energieprestatie + Milieuprestatie = Duurzaamheidsprestatie DPG</t>
  </si>
  <si>
    <t>Berekening GPR-score obv MPG</t>
  </si>
  <si>
    <t>Subthema 1.2: CO2-reductie</t>
  </si>
  <si>
    <t>Subthema 2.1: Milieuprestatie</t>
  </si>
  <si>
    <t>score op subthema 1.1 'Energieprestatie'</t>
  </si>
  <si>
    <t>GPR 4.3 | GWP E</t>
  </si>
  <si>
    <t>GPR 4.4 | GWP E</t>
  </si>
  <si>
    <t>GPR 4.3 | GWP eenheid</t>
  </si>
  <si>
    <t>GPR 4.4 | GWP eenheid</t>
  </si>
  <si>
    <t>te verdelen enegiegebruik</t>
  </si>
  <si>
    <t>Getalswaarden (worden hieronder afgerond)</t>
  </si>
  <si>
    <t>milieu-impact EP2* [euro/m2 BVO]</t>
  </si>
  <si>
    <t>GWP [kg/m2 BVO]</t>
  </si>
  <si>
    <t>In GPR 4.4 worden de tussenresultaten getoond met de impactfactoren van GPR 4.3!</t>
  </si>
  <si>
    <t>EP_versie_scope_functie</t>
  </si>
  <si>
    <t>Keuzelijst doelmethode</t>
  </si>
  <si>
    <t>Bepalingsmethoden</t>
  </si>
  <si>
    <t>Past bij rekenmethode?</t>
  </si>
  <si>
    <t>Keuzelijst</t>
  </si>
  <si>
    <t>Keuzemogelijkheden rekenmodellen</t>
  </si>
  <si>
    <t>Keuzelijst rekenmodellen bij gekozen methode</t>
  </si>
  <si>
    <t>Punten voor MPG in GPR 4.4</t>
  </si>
  <si>
    <t>W/E intern</t>
  </si>
  <si>
    <t>EP_methode</t>
  </si>
  <si>
    <t>woningbouw of utiliteitsbouw</t>
  </si>
  <si>
    <t>NTA 8800, NEN 7120 en ISSO 75.3 naar GPR 4</t>
  </si>
  <si>
    <t>Bladen geheel omgegooid</t>
  </si>
  <si>
    <t>Er is nu één 'moederblad' waar alle berekeningen op staan. Voor de externe versie wordt dat blad 3x gekopieerd en aangepast aan de bepalingsmethode.  In het tabellenblad zijn allerlei tabellen toegevoegd voor de afstemming tusssen de methoden, de rekenmodellen en de verschillende versies van GPR Gebouw</t>
  </si>
  <si>
    <t>DPG-score</t>
  </si>
  <si>
    <t>Toegevoegd, alleen voor W/E intern</t>
  </si>
  <si>
    <t>Groep vs subthema</t>
  </si>
  <si>
    <t>Energiedragers en CO2 - Emissiekental per eenheid finale energie</t>
  </si>
  <si>
    <t>Energiedragers en CO2 - Eenheden omrekenen</t>
  </si>
  <si>
    <t>EP_methode_eenheid</t>
  </si>
  <si>
    <t>GPR_Versie_EP_methode</t>
  </si>
  <si>
    <t>GPR_Versies</t>
  </si>
  <si>
    <t>EP_Methode_BRON_per_GPR_Versie</t>
  </si>
  <si>
    <t>EP_Methode_BRON_per_GPR_Versie_Eenheid</t>
  </si>
  <si>
    <t>GPR_Versie_En_EP_Methode</t>
  </si>
  <si>
    <t>EP_Methode_DOEL_per_GPR_Versie</t>
  </si>
  <si>
    <t>EP_Methode_DOEL_per_GPR_Versie_titel</t>
  </si>
  <si>
    <t>Score op subthema 1.1 Energieprestatie</t>
  </si>
  <si>
    <t>x-as</t>
  </si>
  <si>
    <t>y-as</t>
  </si>
  <si>
    <t>Legenda</t>
  </si>
  <si>
    <t>Score op Milieuprestatie</t>
  </si>
  <si>
    <t>Milieukosten [euro/m2 BVO]</t>
  </si>
  <si>
    <t>Score op DPG</t>
  </si>
  <si>
    <t>DPG-index [euro/m2 BVO]</t>
  </si>
  <si>
    <t>DPG analyse</t>
  </si>
  <si>
    <t>finaal energiegebruik</t>
  </si>
  <si>
    <t>Tabeltitel</t>
  </si>
  <si>
    <t>MKI</t>
  </si>
  <si>
    <t>bijdrage EP2</t>
  </si>
  <si>
    <t>MKI materiaal</t>
  </si>
  <si>
    <t>MKI energie</t>
  </si>
  <si>
    <t>bijdrage MKI</t>
  </si>
  <si>
    <t>GPR-score</t>
  </si>
  <si>
    <t>subthema 1.1 energieprestatie</t>
  </si>
  <si>
    <t>subthema 2.1 milieuprestatie</t>
  </si>
  <si>
    <t>DPG (1.1 + 2.1)</t>
  </si>
  <si>
    <t>(even zo gemaakt dat score op M via aanpassen MPG gelijk blijft aan score op E)</t>
  </si>
  <si>
    <t>DPG_EP2.6</t>
  </si>
  <si>
    <t>GPR 4.4 | ISSO 75.3 | NMD2.3/3.0 | DPG2</t>
  </si>
  <si>
    <t>bijdrage MKIe</t>
  </si>
  <si>
    <t>Goed op E, slecht op M: DPG is gunstiger dan gewoon gemiddelde</t>
  </si>
  <si>
    <t>Slecht op E, goed op M: DPG is minder gunstig dan gewoon gemiddelde</t>
  </si>
  <si>
    <t>Informatieve (tussen)resultaten</t>
  </si>
  <si>
    <t xml:space="preserve">Gebruiksfunctie </t>
  </si>
  <si>
    <t>punten voor gebruiksfunctie</t>
  </si>
  <si>
    <t>Milieukosten</t>
  </si>
  <si>
    <r>
      <t>Overnemen uit MPG-berekening</t>
    </r>
    <r>
      <rPr>
        <i/>
        <sz val="8.5"/>
        <color rgb="FF31313F"/>
        <rFont val="Segoe UI"/>
        <family val="2"/>
      </rPr>
      <t xml:space="preserve"> (alleen nodig ter verificatie van de DPG-score)</t>
    </r>
  </si>
  <si>
    <t>Dit rekenblad kan voor diverse doelen gebruikt worden:</t>
  </si>
  <si>
    <t xml:space="preserve">3. EP- en MPG-berekeningen combineren en zo de DPG van een gebouw bepalen. </t>
  </si>
  <si>
    <t>1. EP-berekeningen voor combinatiegebouwen uitsplitsen naar verschillende gebruiksfuncties, voor zowel primair energiegebruik als finaal energiegebruik.</t>
  </si>
  <si>
    <t>Onderaan het blad is een toelichting te vinden.</t>
  </si>
  <si>
    <t xml:space="preserve">Bugfixes. Informatieve resultaten naar aparte kolommen verplaatst. </t>
  </si>
  <si>
    <t>CPG bestaand</t>
  </si>
  <si>
    <t xml:space="preserve">Schrijffouten herstel. Helptekst 2.2 aangepast. </t>
  </si>
  <si>
    <t>Externe warmte</t>
  </si>
  <si>
    <t>Bugfixes. Gevolg van aanpassen EP-bladen</t>
  </si>
  <si>
    <t xml:space="preserve">Kruisjes bij Bijeenkomstfunctie ook rood gemaakt (geen Bouwbesluit-eis voor immers). Enkele lege cellen gevuld. </t>
  </si>
  <si>
    <t>Gebouwspecifieke levensduur</t>
  </si>
  <si>
    <t xml:space="preserve">URL naar onderliggend rapport aangeast. </t>
  </si>
  <si>
    <t>Ruimte voor toelichting / onderbouwing toegevoegd</t>
  </si>
  <si>
    <t>Nodig wegens reorganisatie van de NMD-site in zomer 2023</t>
  </si>
  <si>
    <t>Toelichting / onderbouwing</t>
  </si>
  <si>
    <t>Keuzelijsten</t>
  </si>
  <si>
    <t>indirect, nodig voor drop downs zonder de lege begin- en eindcel.</t>
  </si>
  <si>
    <t xml:space="preserve">Bugfixes. </t>
  </si>
  <si>
    <t>Meterstanden invullen in MPG-berekening</t>
  </si>
  <si>
    <t>Centrale elektrotechnische voorz.; energie, laagspanning, algemeen, Netstroom; NL-mix, 1 kWh (forfaitair)</t>
  </si>
  <si>
    <t>Warmtelevering extern, Regionaal niveau; opwekking + distributie, 1 MJ (forfaitair)</t>
  </si>
  <si>
    <t>Warmtelevering extern, Buurtniveau; opwekking + distributie, 1 MJ (forfaitair)</t>
  </si>
  <si>
    <t>Gaslevering extern, Gaslevering, extern; 1 m3 (forfaitair per jaar)</t>
  </si>
  <si>
    <t>Energiedragers in MPG</t>
  </si>
  <si>
    <t>Bugfix: Finaal energiegebruik warmte uit Vabi NTA8800 werd niet correct meegenomen in meterstanden voor DPG-berekeningen</t>
  </si>
  <si>
    <t>NTA8800 naar GPR4</t>
  </si>
  <si>
    <t>Gecorrigeerd op blad EP naar GPR4 uiteraard. Foute celverwijzing</t>
  </si>
  <si>
    <t xml:space="preserve">Bugfix: MPG-score in GPR 4.4 gaat over de score op de maatregelgroep, niet het subthema. </t>
  </si>
  <si>
    <t>2.3.3</t>
  </si>
  <si>
    <t>2.3.5</t>
  </si>
  <si>
    <t>toilet</t>
  </si>
  <si>
    <t>kraan</t>
  </si>
  <si>
    <t>Winkel 1</t>
  </si>
  <si>
    <t>Winkel 2</t>
  </si>
  <si>
    <t>Winkel 3</t>
  </si>
  <si>
    <t>max</t>
  </si>
  <si>
    <t>nog inbouwen: validatie min</t>
  </si>
  <si>
    <t>milieu</t>
  </si>
  <si>
    <t>Punten referentieberekening GPR Gebouw 4.3</t>
  </si>
  <si>
    <t xml:space="preserve">Gewogen gemiddelde </t>
  </si>
  <si>
    <t>xx</t>
  </si>
  <si>
    <t>Punten toe te kennen bij 'extra maatregelen'</t>
  </si>
  <si>
    <t>b</t>
  </si>
  <si>
    <t>3.1.3</t>
  </si>
  <si>
    <t>3.1.4</t>
  </si>
  <si>
    <t>3.1.5</t>
  </si>
  <si>
    <t>geluidwering wand buren</t>
  </si>
  <si>
    <t xml:space="preserve">expeditie geluidhinder </t>
  </si>
  <si>
    <t>ventilatiegeluid</t>
  </si>
  <si>
    <t>3.1</t>
  </si>
  <si>
    <t>geluid</t>
  </si>
  <si>
    <t>3.2.2</t>
  </si>
  <si>
    <t>3.2.3</t>
  </si>
  <si>
    <t>3.2.5</t>
  </si>
  <si>
    <t>3.1.6</t>
  </si>
  <si>
    <t>nagalmtijd verblijfsruimten</t>
  </si>
  <si>
    <t>nagalmtijd verkeersruimten</t>
  </si>
  <si>
    <t>3.1.7</t>
  </si>
  <si>
    <t>Niet in origineel</t>
  </si>
  <si>
    <t>ventilatiedebiet</t>
  </si>
  <si>
    <t>zelfregelende roosters /goed  inducerende roosters</t>
  </si>
  <si>
    <t>recirculatie</t>
  </si>
  <si>
    <t>ongunstige locatie aanvoer</t>
  </si>
  <si>
    <t>andere maatregelen</t>
  </si>
  <si>
    <t>warmteafgifte</t>
  </si>
  <si>
    <t>3.2</t>
  </si>
  <si>
    <t>luchtkwaliteit</t>
  </si>
  <si>
    <t>* naar GPR4</t>
  </si>
  <si>
    <t xml:space="preserve">Bugfix: Controle van CO2-uitstoot bij overnemen resultaten uit VABI NTA 8800 nam één deelpost niet mee. </t>
  </si>
  <si>
    <t xml:space="preserve">Aangepast: Eigen kentallen voor PEF en CO2 van energiedragers worden alleen meegenomen voor externe warmte en koude. Dat komt nu ook in de vormgeving terug. </t>
  </si>
  <si>
    <t>EP2-eis</t>
  </si>
  <si>
    <t>kWh/m2.jaar</t>
  </si>
  <si>
    <t xml:space="preserve">Toegevoegd: Berekende EP2-eis voor NTA8800-berekeningen, en reductie van het ingevoerde gebouw tov die eis. </t>
  </si>
  <si>
    <t>NTA 8800: Reductie EP2 t.o.v. nieuwbouweis 2021</t>
  </si>
  <si>
    <t>GPR Bouwbesluit</t>
  </si>
  <si>
    <t>GPR Bouwbesluit | eenheid</t>
  </si>
  <si>
    <t>GPR Materiaal</t>
  </si>
  <si>
    <t>GPR Materiaal | eenheid</t>
  </si>
  <si>
    <t>QCI</t>
  </si>
  <si>
    <t>Versie 1.0 - 08 02 2024</t>
  </si>
  <si>
    <t>Kenmerken woning</t>
  </si>
  <si>
    <t>per m2 GO</t>
  </si>
  <si>
    <t>per m2 BVO</t>
  </si>
  <si>
    <t>Jaar van opleveren (2021-2035)</t>
  </si>
  <si>
    <t>Type</t>
  </si>
  <si>
    <t>grondgebonden (eengezins)</t>
  </si>
  <si>
    <t>Oppervlakte</t>
  </si>
  <si>
    <t>Datum berekening MPG</t>
  </si>
  <si>
    <t>kg CO2eq</t>
  </si>
  <si>
    <t>Grenswaarde PP materiaal</t>
  </si>
  <si>
    <t>materiaal</t>
  </si>
  <si>
    <t>energie</t>
  </si>
  <si>
    <t>mat+ene</t>
  </si>
  <si>
    <t>biogeen</t>
  </si>
  <si>
    <t xml:space="preserve">Neem GWPa over uit MPG berekening (as-designed)  </t>
  </si>
  <si>
    <t>kg CO2eq 15 jaar</t>
  </si>
  <si>
    <t>Grenswaarde EP2</t>
  </si>
  <si>
    <t>kWh/jaar</t>
  </si>
  <si>
    <t>Neem EP2 over uit BENG berekening</t>
  </si>
  <si>
    <t>Energiegebruik aan de meter (all electric)</t>
  </si>
  <si>
    <t>Materiaal + energie</t>
  </si>
  <si>
    <t>Biogeen opslag CO2 (informatief)</t>
  </si>
  <si>
    <r>
      <t xml:space="preserve">Korte teeltijd, landbouwgrond </t>
    </r>
    <r>
      <rPr>
        <i/>
        <sz val="11"/>
        <color theme="9" tint="-0.499984740745262"/>
        <rFont val="Calibri"/>
        <family val="2"/>
        <scheme val="minor"/>
      </rPr>
      <t>hennep, vlas, myscanthus</t>
    </r>
  </si>
  <si>
    <t>kg biogeen materiaal</t>
  </si>
  <si>
    <r>
      <t xml:space="preserve">Gewassen met korte groeiperiode </t>
    </r>
    <r>
      <rPr>
        <i/>
        <sz val="11"/>
        <color theme="9" tint="-0.499984740745262"/>
        <rFont val="Calibri"/>
        <family val="2"/>
        <scheme val="minor"/>
      </rPr>
      <t>bamboe</t>
    </r>
  </si>
  <si>
    <r>
      <t xml:space="preserve">Uit duurzame FSC-gecertificeerde bosbouw </t>
    </r>
    <r>
      <rPr>
        <i/>
        <sz val="11"/>
        <color theme="9" tint="-0.499984740745262"/>
        <rFont val="Calibri"/>
        <family val="2"/>
        <scheme val="minor"/>
      </rPr>
      <t>(naald)hout</t>
    </r>
  </si>
  <si>
    <t>Achtergronddocumenten</t>
  </si>
  <si>
    <t>Paris Proof Integraal - versie 0.9_rWE (19dec2023).docx</t>
  </si>
  <si>
    <t>Protocol Paris Proof Integraal.docx</t>
  </si>
  <si>
    <t>WE lunchlezing 18dec2023 Sturen op CO2 (nieuwbouw).pptx</t>
  </si>
  <si>
    <t>Vastleggingsvariabele V1</t>
  </si>
  <si>
    <t>gewassen met korte teeltijd op landbouwgrond [hennep, vlas, myscanthus]</t>
  </si>
  <si>
    <t>bamboe, als gevolg van korte groeiperiode</t>
  </si>
  <si>
    <t>(naald)hout, geproduceerd met duurzame (FSC-gecertificeerde) bosbouw</t>
  </si>
  <si>
    <t>Primaire energiefactor elektriciteit</t>
  </si>
  <si>
    <t>PEF</t>
  </si>
  <si>
    <t>Jaarlijkse reductie PP grenswaarde tov 2021</t>
  </si>
  <si>
    <t>Aandeel biogeen in hout en gewassen</t>
  </si>
  <si>
    <t>biogenic CO2 content</t>
  </si>
  <si>
    <t>Bijlage III: CO2-intensiteit energiemix KEV en verrekening</t>
  </si>
  <si>
    <t>BRON</t>
  </si>
  <si>
    <t>KEV</t>
  </si>
  <si>
    <t>NMD</t>
  </si>
  <si>
    <t>Jaar</t>
  </si>
  <si>
    <t xml:space="preserve"> kg CO2/kWh</t>
  </si>
  <si>
    <t>% tov 2021</t>
  </si>
  <si>
    <t>kg CO2eq/kWh</t>
  </si>
  <si>
    <t>EP2 eis</t>
  </si>
  <si>
    <t>PPm.2021</t>
  </si>
  <si>
    <t>gestapeld (meergezins)</t>
  </si>
  <si>
    <t>startjaar grenswaarden</t>
  </si>
  <si>
    <t>jaarlijkse reductie t.o.v. startjaar</t>
  </si>
  <si>
    <t>Quick Carbon Indicator</t>
  </si>
  <si>
    <r>
      <t xml:space="preserve">Zie </t>
    </r>
    <r>
      <rPr>
        <u/>
        <sz val="10"/>
        <rFont val="Ubuntu"/>
        <family val="2"/>
      </rPr>
      <t>https://www.dgbc.nl/publicaties/quick-carbon-indicator-83</t>
    </r>
    <r>
      <rPr>
        <sz val="10"/>
        <rFont val="Ubuntu"/>
        <family val="2"/>
      </rPr>
      <t xml:space="preserve"> voor meer informatie, achtergrondrapport en rekenprotocol. </t>
    </r>
  </si>
  <si>
    <t>Wijziging onderdeel 61.10 (waaronder zonnestroom)</t>
  </si>
  <si>
    <t>Aanbod rekenhulpmiddelen GPR Gebouw 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</si>
</sst>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9">
    <numFmt numFmtId="164" formatCode="0.000"/>
    <numFmt numFmtId="165" formatCode="0.0"/>
    <numFmt numFmtId="166" formatCode="#,##0.000"/>
    <numFmt numFmtId="167" formatCode="#,##0.0"/>
    <numFmt numFmtId="168" formatCode="0.0000"/>
    <numFmt numFmtId="169" formatCode="d\ mmmm\ yyyy"/>
    <numFmt numFmtId="170" formatCode="#,##0&quot; m2&quot;"/>
    <numFmt numFmtId="171" formatCode="0.0%"/>
    <numFmt numFmtId="172" formatCode="#,##0.0000"/>
    <numFmt numFmtId="173" formatCode="#,##0.000;0;0"/>
    <numFmt numFmtId="174" formatCode="#,##0;0;0"/>
    <numFmt numFmtId="175" formatCode="0.00000"/>
    <numFmt numFmtId="176" formatCode="#,##0.0000;0.0000;0.0000"/>
    <numFmt numFmtId="177" formatCode="#,##0;#,##0;0"/>
    <numFmt numFmtId="178" formatCode="#,##0.000;#,##0.000;0"/>
    <numFmt numFmtId="179" formatCode="#,##0.0000;0.0;0.0"/>
    <numFmt numFmtId="180" formatCode="#,##0.00000;0.00;0.00"/>
    <numFmt numFmtId="181" formatCode="#,##0.0000;#,##0.0000;0.0"/>
    <numFmt numFmtId="182" formatCode="#,##0.000000"/>
    <numFmt numFmtId="183" formatCode="#,##0.0000000"/>
    <numFmt numFmtId="184" formatCode="\+#,##0%;\-#,##0%"/>
    <numFmt numFmtId="185" formatCode="#,##0.00000"/>
    <numFmt numFmtId="186" formatCode="&quot;Versie rekenblad &quot;dd\ mmm\ yyyy"/>
    <numFmt numFmtId="187" formatCode="0.000;\-0.000;;@"/>
    <numFmt numFmtId="188" formatCode="0.0000;\-0.0000;;@"/>
    <numFmt numFmtId="189" formatCode="[$-413]d/mmm/yyyy;@"/>
    <numFmt numFmtId="190" formatCode="&quot;[m2 GO]   &quot;#,##0"/>
    <numFmt numFmtId="191" formatCode="&quot;[m2 BVO]   &quot;#,##0"/>
    <numFmt numFmtId="192" formatCode="dd\ mmm\ yyyy"/>
  </numFmts>
  <fonts count="198">
    <font>
      <sz val="10"/>
      <color theme="1"/>
      <name val="Ubuntu"/>
      <family val="2"/>
    </font>
    <font>
      <sz val="11"/>
      <color theme="1"/>
      <name val="Calibri"/>
      <family val="2"/>
      <scheme val="minor"/>
    </font>
    <font>
      <sz val="11"/>
      <color theme="1"/>
      <name val="Calibri"/>
      <family val="2"/>
      <scheme val="minor"/>
    </font>
    <font>
      <sz val="11"/>
      <color theme="1"/>
      <name val="Calibri"/>
      <family val="2"/>
      <scheme val="minor"/>
    </font>
    <font>
      <sz val="10"/>
      <color theme="1"/>
      <name val="Segoe UI"/>
      <family val="2"/>
    </font>
    <font>
      <sz val="10"/>
      <color theme="1"/>
      <name val="Segoe UI"/>
      <family val="2"/>
    </font>
    <font>
      <sz val="10"/>
      <color theme="1"/>
      <name val="Segoe UI"/>
      <family val="2"/>
    </font>
    <font>
      <sz val="10"/>
      <color theme="1"/>
      <name val="Segoe UI"/>
      <family val="2"/>
    </font>
    <font>
      <sz val="12"/>
      <color theme="1"/>
      <name val="Segoe UI"/>
      <family val="2"/>
    </font>
    <font>
      <i/>
      <sz val="8"/>
      <color theme="1"/>
      <name val="Segoe UI"/>
      <family val="2"/>
    </font>
    <font>
      <sz val="8"/>
      <color theme="1"/>
      <name val="Segoe UI"/>
      <family val="2"/>
    </font>
    <font>
      <sz val="10"/>
      <color theme="1"/>
      <name val="Ubuntu"/>
      <family val="2"/>
    </font>
    <font>
      <sz val="10"/>
      <color theme="0"/>
      <name val="Segoe UI"/>
      <family val="2"/>
    </font>
    <font>
      <sz val="10"/>
      <color rgb="FF4D4D63"/>
      <name val="Segoe UI"/>
      <family val="2"/>
    </font>
    <font>
      <sz val="10"/>
      <color rgb="FF31313F"/>
      <name val="Segoe UI"/>
      <family val="2"/>
    </font>
    <font>
      <i/>
      <sz val="10"/>
      <color theme="1"/>
      <name val="Segoe UI"/>
      <family val="2"/>
    </font>
    <font>
      <i/>
      <sz val="10"/>
      <color rgb="FF4D4D63"/>
      <name val="Segoe UI"/>
      <family val="2"/>
    </font>
    <font>
      <sz val="1"/>
      <color theme="1"/>
      <name val="Segoe UI"/>
      <family val="2"/>
    </font>
    <font>
      <sz val="10"/>
      <color theme="9"/>
      <name val="Segoe UI"/>
      <family val="2"/>
    </font>
    <font>
      <sz val="10"/>
      <color theme="1"/>
      <name val="Calibri"/>
      <family val="2"/>
    </font>
    <font>
      <u/>
      <sz val="10"/>
      <color theme="10"/>
      <name val="Calibri"/>
      <family val="2"/>
    </font>
    <font>
      <sz val="9"/>
      <color theme="1" tint="0.34998626667073579"/>
      <name val="Calibri"/>
      <family val="2"/>
    </font>
    <font>
      <sz val="9"/>
      <name val="Calibri"/>
      <family val="2"/>
    </font>
    <font>
      <sz val="11"/>
      <color theme="1"/>
      <name val="Calibri"/>
      <family val="2"/>
      <scheme val="minor"/>
    </font>
    <font>
      <u/>
      <sz val="11"/>
      <color theme="10"/>
      <name val="Calibri"/>
      <family val="2"/>
      <scheme val="minor"/>
    </font>
    <font>
      <b/>
      <i/>
      <sz val="8"/>
      <color rgb="FF31313F"/>
      <name val="Segoe UI"/>
      <family val="2"/>
    </font>
    <font>
      <b/>
      <sz val="14"/>
      <color theme="9"/>
      <name val="Segoe UI"/>
      <family val="2"/>
    </font>
    <font>
      <b/>
      <sz val="10"/>
      <color rgb="FF31313F"/>
      <name val="Segoe UI"/>
      <family val="2"/>
    </font>
    <font>
      <sz val="14"/>
      <color theme="0"/>
      <name val="Segoe UI"/>
      <family val="2"/>
    </font>
    <font>
      <b/>
      <sz val="10"/>
      <color rgb="FFFF0000"/>
      <name val="Segoe UI"/>
      <family val="2"/>
    </font>
    <font>
      <sz val="18"/>
      <color theme="1"/>
      <name val="Segoe UI"/>
      <family val="2"/>
    </font>
    <font>
      <sz val="12"/>
      <color rgb="FFFF0000"/>
      <name val="Segoe UI"/>
      <family val="2"/>
    </font>
    <font>
      <b/>
      <sz val="20"/>
      <color theme="9"/>
      <name val="Wingdings 2"/>
      <family val="1"/>
      <charset val="2"/>
    </font>
    <font>
      <b/>
      <sz val="18"/>
      <color rgb="FF31313F"/>
      <name val="Segoe UI"/>
      <family val="2"/>
    </font>
    <font>
      <sz val="10"/>
      <color theme="9" tint="-0.249977111117893"/>
      <name val="Webdings"/>
      <family val="1"/>
      <charset val="2"/>
    </font>
    <font>
      <b/>
      <sz val="22"/>
      <color theme="1" tint="0.34998626667073579"/>
      <name val="Calibri"/>
      <family val="2"/>
      <scheme val="minor"/>
    </font>
    <font>
      <sz val="10"/>
      <color theme="1" tint="0.34998626667073579"/>
      <name val="Calibri"/>
      <family val="2"/>
      <scheme val="minor"/>
    </font>
    <font>
      <sz val="10"/>
      <name val="Segoe UI"/>
      <family val="2"/>
    </font>
    <font>
      <sz val="8"/>
      <color theme="1" tint="0.499984740745262"/>
      <name val="Segoe UI"/>
      <family val="2"/>
    </font>
    <font>
      <b/>
      <i/>
      <sz val="10"/>
      <color theme="0" tint="-0.499984740745262"/>
      <name val="Segoe UI"/>
      <family val="2"/>
    </font>
    <font>
      <i/>
      <sz val="10"/>
      <color theme="0" tint="-0.34998626667073579"/>
      <name val="Segoe UI"/>
      <family val="2"/>
    </font>
    <font>
      <sz val="10"/>
      <color rgb="FFFF0000"/>
      <name val="Segoe UI"/>
      <family val="2"/>
    </font>
    <font>
      <sz val="10"/>
      <color theme="1" tint="0.499984740745262"/>
      <name val="Segoe UI"/>
      <family val="2"/>
    </font>
    <font>
      <sz val="10"/>
      <color theme="0" tint="-0.499984740745262"/>
      <name val="Segoe UI"/>
      <family val="2"/>
    </font>
    <font>
      <b/>
      <sz val="10"/>
      <color theme="0" tint="-0.499984740745262"/>
      <name val="Segoe UI"/>
      <family val="2"/>
    </font>
    <font>
      <sz val="10"/>
      <name val="Arial"/>
      <family val="2"/>
    </font>
    <font>
      <b/>
      <sz val="10"/>
      <name val="Arial"/>
      <family val="2"/>
    </font>
    <font>
      <sz val="10"/>
      <color indexed="55"/>
      <name val="Arial"/>
      <family val="2"/>
    </font>
    <font>
      <b/>
      <sz val="10"/>
      <name val="Segoe UI"/>
      <family val="2"/>
    </font>
    <font>
      <sz val="8"/>
      <color rgb="FF4D4D63"/>
      <name val="Segoe UI"/>
      <family val="2"/>
    </font>
    <font>
      <sz val="8"/>
      <color theme="0" tint="-0.499984740745262"/>
      <name val="Segoe UI"/>
      <family val="2"/>
    </font>
    <font>
      <sz val="8"/>
      <color rgb="FF31313F"/>
      <name val="Segoe UI"/>
      <family val="2"/>
    </font>
    <font>
      <b/>
      <sz val="22"/>
      <color theme="9"/>
      <name val="Segoe UI"/>
      <family val="2"/>
    </font>
    <font>
      <i/>
      <sz val="11"/>
      <color theme="0"/>
      <name val="Segoe UI"/>
      <family val="2"/>
    </font>
    <font>
      <b/>
      <sz val="10"/>
      <color theme="9"/>
      <name val="Segoe UI"/>
      <family val="2"/>
    </font>
    <font>
      <sz val="9"/>
      <color theme="1"/>
      <name val="Ubuntu"/>
      <family val="2"/>
    </font>
    <font>
      <sz val="9"/>
      <color theme="8" tint="-0.499984740745262"/>
      <name val="Ubuntu"/>
      <family val="2"/>
    </font>
    <font>
      <b/>
      <sz val="9"/>
      <color theme="1"/>
      <name val="Ubuntu"/>
      <family val="2"/>
    </font>
    <font>
      <b/>
      <i/>
      <sz val="10"/>
      <color rgb="FF4D4D63"/>
      <name val="Segoe UI"/>
      <family val="2"/>
    </font>
    <font>
      <sz val="10"/>
      <color rgb="FFFF0000"/>
      <name val="Segui"/>
    </font>
    <font>
      <sz val="10"/>
      <color theme="0" tint="-0.34998626667073579"/>
      <name val="Segoe UI"/>
      <family val="2"/>
    </font>
    <font>
      <sz val="9"/>
      <color indexed="81"/>
      <name val="Tahoma"/>
      <family val="2"/>
    </font>
    <font>
      <b/>
      <sz val="9"/>
      <color indexed="81"/>
      <name val="Tahoma"/>
      <family val="2"/>
    </font>
    <font>
      <sz val="10"/>
      <color theme="4"/>
      <name val="Segoe UI"/>
      <family val="2"/>
    </font>
    <font>
      <i/>
      <sz val="10"/>
      <color theme="0"/>
      <name val="Segoe UI"/>
      <family val="2"/>
    </font>
    <font>
      <b/>
      <sz val="8.5"/>
      <color rgb="FFFF0000"/>
      <name val="Segoe UI"/>
      <family val="2"/>
    </font>
    <font>
      <sz val="10"/>
      <color theme="0" tint="-0.499984740745262"/>
      <name val="Wingdings 2"/>
      <family val="1"/>
      <charset val="2"/>
    </font>
    <font>
      <sz val="10"/>
      <color indexed="9"/>
      <name val="Calibri"/>
      <family val="2"/>
    </font>
    <font>
      <sz val="11"/>
      <color theme="0" tint="-0.34998626667073579"/>
      <name val="Wingdings 2"/>
      <family val="1"/>
      <charset val="2"/>
    </font>
    <font>
      <sz val="14"/>
      <name val="Calibri"/>
      <family val="2"/>
      <scheme val="minor"/>
    </font>
    <font>
      <sz val="7"/>
      <color theme="0" tint="-0.24994659260841701"/>
      <name val="Calibri Light"/>
      <family val="2"/>
    </font>
    <font>
      <sz val="11"/>
      <color theme="0" tint="-0.499984740745262"/>
      <name val="Wingdings 2"/>
      <family val="1"/>
      <charset val="2"/>
    </font>
    <font>
      <sz val="10"/>
      <color indexed="8"/>
      <name val="Calibri"/>
      <family val="2"/>
    </font>
    <font>
      <sz val="11"/>
      <color indexed="23"/>
      <name val="Wingdings 2"/>
      <family val="1"/>
      <charset val="2"/>
    </font>
    <font>
      <sz val="11"/>
      <color indexed="55"/>
      <name val="Wingdings 2"/>
      <family val="1"/>
      <charset val="2"/>
    </font>
    <font>
      <sz val="10"/>
      <color theme="3"/>
      <name val="Calibri"/>
      <family val="2"/>
    </font>
    <font>
      <sz val="10"/>
      <color theme="9" tint="-0.24994659260841701"/>
      <name val="Calibri"/>
      <family val="2"/>
    </font>
    <font>
      <b/>
      <sz val="10"/>
      <color rgb="FF4D4D63"/>
      <name val="Segoe UI"/>
      <family val="2"/>
    </font>
    <font>
      <sz val="10"/>
      <name val="Calibri"/>
      <family val="2"/>
      <scheme val="minor"/>
    </font>
    <font>
      <b/>
      <sz val="10"/>
      <color theme="3"/>
      <name val="Calibri"/>
      <family val="2"/>
      <scheme val="minor"/>
    </font>
    <font>
      <sz val="10"/>
      <color rgb="FFFF0000"/>
      <name val="Calibri"/>
      <family val="2"/>
      <scheme val="minor"/>
    </font>
    <font>
      <i/>
      <sz val="12"/>
      <color theme="1"/>
      <name val="Segoe UI"/>
      <family val="2"/>
    </font>
    <font>
      <i/>
      <sz val="10"/>
      <color theme="9"/>
      <name val="Segoe UI"/>
      <family val="2"/>
    </font>
    <font>
      <sz val="10"/>
      <color theme="0" tint="-0.499984740745262"/>
      <name val="Ubuntu"/>
      <family val="2"/>
    </font>
    <font>
      <b/>
      <sz val="10"/>
      <color rgb="FF4D4D63"/>
      <name val="Ubuntu"/>
      <family val="2"/>
    </font>
    <font>
      <i/>
      <sz val="10"/>
      <color rgb="FFFF0000"/>
      <name val="Segoe UI"/>
      <family val="2"/>
    </font>
    <font>
      <sz val="8"/>
      <name val="Ubuntu"/>
      <family val="2"/>
    </font>
    <font>
      <i/>
      <sz val="10"/>
      <color rgb="FF31313F"/>
      <name val="Segoe UI"/>
      <family val="2"/>
    </font>
    <font>
      <sz val="10"/>
      <color theme="0" tint="-0.14999847407452621"/>
      <name val="Segoe UI"/>
      <family val="2"/>
    </font>
    <font>
      <b/>
      <sz val="9"/>
      <color rgb="FF31313F"/>
      <name val="Segoe UI"/>
      <family val="2"/>
    </font>
    <font>
      <b/>
      <sz val="12"/>
      <color theme="1"/>
      <name val="Segoe UI"/>
      <family val="2"/>
    </font>
    <font>
      <b/>
      <sz val="8"/>
      <color rgb="FF4D4D63"/>
      <name val="Segoe UI"/>
      <family val="2"/>
    </font>
    <font>
      <u/>
      <sz val="10"/>
      <color theme="10"/>
      <name val="Ubuntu"/>
      <family val="2"/>
    </font>
    <font>
      <u/>
      <sz val="10"/>
      <color theme="9" tint="-0.249977111117893"/>
      <name val="Segoe UI"/>
      <family val="2"/>
    </font>
    <font>
      <sz val="10"/>
      <color rgb="FF9696AE"/>
      <name val="Segoe UI"/>
      <family val="2"/>
    </font>
    <font>
      <b/>
      <sz val="9"/>
      <color theme="0"/>
      <name val="Ubuntu"/>
      <family val="2"/>
    </font>
    <font>
      <sz val="9"/>
      <color theme="0"/>
      <name val="Ubuntu"/>
      <family val="2"/>
    </font>
    <font>
      <sz val="7"/>
      <color theme="0"/>
      <name val="Ubuntu"/>
      <family val="2"/>
    </font>
    <font>
      <sz val="9"/>
      <color theme="9" tint="-0.499984740745262"/>
      <name val="Ubuntu"/>
      <family val="2"/>
    </font>
    <font>
      <b/>
      <sz val="11"/>
      <color theme="0"/>
      <name val="Arial"/>
      <family val="2"/>
    </font>
    <font>
      <b/>
      <sz val="8"/>
      <color theme="0"/>
      <name val="Arial"/>
      <family val="2"/>
    </font>
    <font>
      <sz val="8"/>
      <color theme="0"/>
      <name val="Arial"/>
      <family val="2"/>
    </font>
    <font>
      <sz val="8"/>
      <name val="Arial"/>
      <family val="2"/>
    </font>
    <font>
      <sz val="8"/>
      <color theme="0"/>
      <name val="Segoe UI"/>
      <family val="2"/>
    </font>
    <font>
      <b/>
      <sz val="14"/>
      <color theme="0"/>
      <name val="Segoe UI"/>
      <family val="2"/>
    </font>
    <font>
      <b/>
      <i/>
      <sz val="10"/>
      <color rgb="FF31313F"/>
      <name val="Segoe UI"/>
      <family val="2"/>
    </font>
    <font>
      <sz val="10"/>
      <color rgb="FFBABACA"/>
      <name val="Segoe UI"/>
      <family val="2"/>
    </font>
    <font>
      <i/>
      <sz val="10"/>
      <color theme="1"/>
      <name val="Ubuntu"/>
      <family val="2"/>
    </font>
    <font>
      <b/>
      <sz val="10"/>
      <color rgb="FFE4E9F4"/>
      <name val="Segoe UI"/>
      <family val="2"/>
    </font>
    <font>
      <sz val="10"/>
      <color rgb="FF00B050"/>
      <name val="Segoe UI"/>
      <family val="2"/>
    </font>
    <font>
      <b/>
      <sz val="10"/>
      <color theme="0"/>
      <name val="Segoe UI"/>
      <family val="2"/>
    </font>
    <font>
      <sz val="8"/>
      <color rgb="FFFF0000"/>
      <name val="Segoe UI"/>
      <family val="2"/>
    </font>
    <font>
      <b/>
      <i/>
      <sz val="8"/>
      <color rgb="FF00B050"/>
      <name val="Segoe UI"/>
      <family val="2"/>
    </font>
    <font>
      <sz val="10"/>
      <color rgb="FF0070C0"/>
      <name val="Segoe UI"/>
      <family val="2"/>
    </font>
    <font>
      <sz val="14"/>
      <name val="Segoe UI"/>
      <family val="2"/>
    </font>
    <font>
      <i/>
      <sz val="11"/>
      <name val="Segoe UI"/>
      <family val="2"/>
    </font>
    <font>
      <sz val="12"/>
      <name val="Segoe UI"/>
      <family val="2"/>
    </font>
    <font>
      <b/>
      <sz val="10"/>
      <color theme="0" tint="-0.34998626667073579"/>
      <name val="Segoe UI"/>
      <family val="2"/>
    </font>
    <font>
      <sz val="10"/>
      <color theme="0" tint="-0.34998626667073579"/>
      <name val="Webdings"/>
      <family val="1"/>
      <charset val="2"/>
    </font>
    <font>
      <b/>
      <sz val="10"/>
      <color theme="7" tint="-0.249977111117893"/>
      <name val="Segoe UI"/>
      <family val="2"/>
    </font>
    <font>
      <b/>
      <sz val="10"/>
      <color theme="9" tint="-0.249977111117893"/>
      <name val="Segoe UI"/>
      <family val="2"/>
    </font>
    <font>
      <b/>
      <sz val="12"/>
      <color rgb="FFFF0000"/>
      <name val="Segoe UI"/>
      <family val="2"/>
    </font>
    <font>
      <sz val="12"/>
      <color theme="9" tint="-0.249977111117893"/>
      <name val="Segoe UI"/>
      <family val="2"/>
    </font>
    <font>
      <sz val="10"/>
      <color theme="9" tint="-0.249977111117893"/>
      <name val="Segoe UI"/>
      <family val="2"/>
    </font>
    <font>
      <sz val="12"/>
      <color theme="0" tint="-0.499984740745262"/>
      <name val="Segoe UI"/>
      <family val="2"/>
    </font>
    <font>
      <i/>
      <sz val="10"/>
      <color theme="0" tint="-0.499984740745262"/>
      <name val="Segoe UI"/>
      <family val="2"/>
    </font>
    <font>
      <b/>
      <sz val="10"/>
      <color theme="8" tint="0.79998168889431442"/>
      <name val="Segoe UI"/>
      <family val="2"/>
    </font>
    <font>
      <b/>
      <sz val="9"/>
      <color rgb="FFFF0000"/>
      <name val="Segoe UI"/>
      <family val="2"/>
    </font>
    <font>
      <i/>
      <sz val="10"/>
      <color theme="9" tint="-0.249977111117893"/>
      <name val="Segoe UI"/>
      <family val="2"/>
    </font>
    <font>
      <sz val="14"/>
      <color theme="1"/>
      <name val="Segoe UI"/>
      <family val="2"/>
    </font>
    <font>
      <b/>
      <sz val="14"/>
      <color rgb="FF31313F"/>
      <name val="Segoe UI"/>
      <family val="2"/>
    </font>
    <font>
      <b/>
      <sz val="14"/>
      <color theme="9" tint="-0.249977111117893"/>
      <name val="Segoe UI"/>
      <family val="2"/>
    </font>
    <font>
      <b/>
      <sz val="14"/>
      <color theme="7" tint="-0.249977111117893"/>
      <name val="Segoe UI"/>
      <family val="2"/>
    </font>
    <font>
      <b/>
      <sz val="14"/>
      <color rgb="FF00B0F0"/>
      <name val="Segoe UI"/>
      <family val="2"/>
    </font>
    <font>
      <sz val="10"/>
      <color rgb="FF00B0F0"/>
      <name val="Segoe UI"/>
      <family val="2"/>
    </font>
    <font>
      <b/>
      <sz val="10"/>
      <color rgb="FF00B0F0"/>
      <name val="Segoe UI"/>
      <family val="2"/>
    </font>
    <font>
      <b/>
      <sz val="16"/>
      <color rgb="FFFF0000"/>
      <name val="Segoe UI"/>
      <family val="2"/>
    </font>
    <font>
      <b/>
      <sz val="16"/>
      <name val="Segoe UI"/>
      <family val="2"/>
    </font>
    <font>
      <b/>
      <sz val="16"/>
      <color theme="9" tint="-0.249977111117893"/>
      <name val="Segoe UI"/>
      <family val="2"/>
    </font>
    <font>
      <b/>
      <i/>
      <sz val="16"/>
      <color theme="9" tint="-0.249977111117893"/>
      <name val="Segoe UI"/>
      <family val="2"/>
    </font>
    <font>
      <sz val="16"/>
      <color rgb="FFFF0000"/>
      <name val="Segoe UI"/>
      <family val="2"/>
    </font>
    <font>
      <sz val="16"/>
      <name val="Segoe UI"/>
      <family val="2"/>
    </font>
    <font>
      <b/>
      <sz val="16"/>
      <color rgb="FF00B0F0"/>
      <name val="Segoe UI"/>
      <family val="2"/>
    </font>
    <font>
      <b/>
      <i/>
      <sz val="16"/>
      <color rgb="FF00B0F0"/>
      <name val="Segoe UI"/>
      <family val="2"/>
    </font>
    <font>
      <b/>
      <sz val="16"/>
      <color theme="5" tint="-0.24994659260841701"/>
      <name val="Segoe UI"/>
      <family val="2"/>
    </font>
    <font>
      <b/>
      <i/>
      <sz val="16"/>
      <color theme="5" tint="-0.24994659260841701"/>
      <name val="Segoe UI"/>
      <family val="2"/>
    </font>
    <font>
      <sz val="10"/>
      <color theme="5" tint="-0.24994659260841701"/>
      <name val="Segoe UI"/>
      <family val="2"/>
    </font>
    <font>
      <b/>
      <sz val="10"/>
      <color theme="5" tint="-0.24994659260841701"/>
      <name val="Segoe UI"/>
      <family val="2"/>
    </font>
    <font>
      <sz val="8"/>
      <color theme="5" tint="-0.24994659260841701"/>
      <name val="Segoe UI"/>
      <family val="2"/>
    </font>
    <font>
      <sz val="16"/>
      <color theme="7" tint="-0.249977111117893"/>
      <name val="Segoe UI"/>
      <family val="2"/>
    </font>
    <font>
      <i/>
      <sz val="16"/>
      <color theme="7" tint="-0.249977111117893"/>
      <name val="Segoe UI"/>
      <family val="2"/>
    </font>
    <font>
      <sz val="10"/>
      <color theme="7" tint="-0.249977111117893"/>
      <name val="Segoe UI"/>
      <family val="2"/>
    </font>
    <font>
      <sz val="10"/>
      <color theme="7" tint="-0.249977111117893"/>
      <name val="Webdings"/>
      <family val="1"/>
      <charset val="2"/>
    </font>
    <font>
      <sz val="10"/>
      <color theme="7" tint="-0.249977111117893"/>
      <name val="Ubuntu"/>
      <family val="2"/>
    </font>
    <font>
      <b/>
      <sz val="16"/>
      <color theme="7" tint="-0.249977111117893"/>
      <name val="Segoe UI"/>
      <family val="2"/>
    </font>
    <font>
      <i/>
      <sz val="10"/>
      <color theme="5" tint="-0.24994659260841701"/>
      <name val="Segoe UI"/>
      <family val="2"/>
    </font>
    <font>
      <i/>
      <sz val="10"/>
      <color theme="7" tint="-0.249977111117893"/>
      <name val="Segoe UI"/>
      <family val="2"/>
    </font>
    <font>
      <b/>
      <i/>
      <sz val="10"/>
      <color theme="7" tint="-0.249977111117893"/>
      <name val="Segoe UI"/>
      <family val="2"/>
    </font>
    <font>
      <i/>
      <sz val="10"/>
      <color rgb="FF00B0F0"/>
      <name val="Segoe UI"/>
      <family val="2"/>
    </font>
    <font>
      <sz val="12"/>
      <color theme="5"/>
      <name val="Segoe UI"/>
      <family val="2"/>
    </font>
    <font>
      <sz val="10"/>
      <color theme="5"/>
      <name val="Segoe UI"/>
      <family val="2"/>
    </font>
    <font>
      <sz val="10"/>
      <name val="Ubuntu"/>
      <family val="2"/>
    </font>
    <font>
      <b/>
      <sz val="14"/>
      <name val="Segoe UI"/>
      <family val="2"/>
    </font>
    <font>
      <sz val="10"/>
      <name val="Webdings"/>
      <family val="1"/>
      <charset val="2"/>
    </font>
    <font>
      <i/>
      <sz val="10"/>
      <name val="Segoe UI"/>
      <family val="2"/>
    </font>
    <font>
      <sz val="8"/>
      <name val="Segoe UI"/>
      <family val="2"/>
    </font>
    <font>
      <sz val="14"/>
      <color theme="9" tint="-0.249977111117893"/>
      <name val="Segoe UI"/>
      <family val="2"/>
    </font>
    <font>
      <sz val="16"/>
      <color theme="9" tint="-0.249977111117893"/>
      <name val="Segoe UI"/>
      <family val="2"/>
    </font>
    <font>
      <i/>
      <sz val="8.5"/>
      <color rgb="FF31313F"/>
      <name val="Segoe UI"/>
      <family val="2"/>
    </font>
    <font>
      <sz val="12"/>
      <color theme="0" tint="-0.34998626667073579"/>
      <name val="Segoe UI"/>
      <family val="2"/>
    </font>
    <font>
      <sz val="9"/>
      <color theme="0" tint="-0.34998626667073579"/>
      <name val="Ubuntu"/>
      <family val="2"/>
    </font>
    <font>
      <b/>
      <sz val="11"/>
      <color theme="0"/>
      <name val="Calibri"/>
      <family val="2"/>
      <scheme val="minor"/>
    </font>
    <font>
      <b/>
      <sz val="11"/>
      <color theme="1"/>
      <name val="Calibri"/>
      <family val="2"/>
      <scheme val="minor"/>
    </font>
    <font>
      <sz val="11"/>
      <color theme="0"/>
      <name val="Calibri"/>
      <family val="2"/>
      <scheme val="minor"/>
    </font>
    <font>
      <b/>
      <sz val="11"/>
      <color theme="0" tint="-0.499984740745262"/>
      <name val="Calibri"/>
      <family val="2"/>
      <scheme val="minor"/>
    </font>
    <font>
      <i/>
      <sz val="11"/>
      <color theme="0" tint="-0.499984740745262"/>
      <name val="Calibri"/>
      <family val="2"/>
      <scheme val="minor"/>
    </font>
    <font>
      <sz val="11"/>
      <color theme="0" tint="-0.499984740745262"/>
      <name val="Calibri"/>
      <family val="2"/>
      <scheme val="minor"/>
    </font>
    <font>
      <b/>
      <sz val="12"/>
      <color theme="0"/>
      <name val="Calibri"/>
      <family val="2"/>
      <scheme val="minor"/>
    </font>
    <font>
      <sz val="3"/>
      <color theme="1"/>
      <name val="Calibri"/>
      <family val="2"/>
      <scheme val="minor"/>
    </font>
    <font>
      <sz val="3"/>
      <color theme="0" tint="-0.499984740745262"/>
      <name val="Calibri"/>
      <family val="2"/>
      <scheme val="minor"/>
    </font>
    <font>
      <sz val="7"/>
      <color theme="1"/>
      <name val="Calibri"/>
      <family val="2"/>
      <scheme val="minor"/>
    </font>
    <font>
      <sz val="7"/>
      <color theme="0" tint="-0.499984740745262"/>
      <name val="Calibri"/>
      <family val="2"/>
      <scheme val="minor"/>
    </font>
    <font>
      <sz val="11"/>
      <color theme="4"/>
      <name val="Calibri"/>
      <family val="2"/>
      <scheme val="minor"/>
    </font>
    <font>
      <i/>
      <sz val="11"/>
      <color theme="1"/>
      <name val="Calibri"/>
      <family val="2"/>
      <scheme val="minor"/>
    </font>
    <font>
      <b/>
      <sz val="11"/>
      <color theme="4"/>
      <name val="Calibri"/>
      <family val="2"/>
      <scheme val="minor"/>
    </font>
    <font>
      <b/>
      <sz val="11"/>
      <color theme="5" tint="-0.249977111117893"/>
      <name val="Calibri"/>
      <family val="2"/>
      <scheme val="minor"/>
    </font>
    <font>
      <sz val="11"/>
      <color theme="9" tint="-0.249977111117893"/>
      <name val="Calibri"/>
      <family val="2"/>
      <scheme val="minor"/>
    </font>
    <font>
      <sz val="7"/>
      <color theme="1" tint="0.34998626667073579"/>
      <name val="Calibri"/>
      <family val="2"/>
      <scheme val="minor"/>
    </font>
    <font>
      <sz val="15"/>
      <color theme="1"/>
      <name val="Calibri"/>
      <family val="2"/>
      <scheme val="minor"/>
    </font>
    <font>
      <sz val="11"/>
      <color theme="5" tint="-0.249977111117893"/>
      <name val="Calibri"/>
      <family val="2"/>
      <scheme val="minor"/>
    </font>
    <font>
      <sz val="11"/>
      <color theme="1" tint="0.499984740745262"/>
      <name val="Calibri"/>
      <family val="2"/>
      <scheme val="minor"/>
    </font>
    <font>
      <sz val="11"/>
      <color theme="9" tint="-0.499984740745262"/>
      <name val="Calibri"/>
      <family val="2"/>
      <scheme val="minor"/>
    </font>
    <font>
      <i/>
      <sz val="11"/>
      <color theme="9" tint="-0.499984740745262"/>
      <name val="Calibri"/>
      <family val="2"/>
      <scheme val="minor"/>
    </font>
    <font>
      <sz val="20"/>
      <color theme="1"/>
      <name val="Calibri"/>
      <family val="2"/>
      <scheme val="minor"/>
    </font>
    <font>
      <u/>
      <sz val="11"/>
      <color theme="0" tint="-0.499984740745262"/>
      <name val="Calibri"/>
      <family val="2"/>
      <scheme val="minor"/>
    </font>
    <font>
      <sz val="1"/>
      <color theme="1"/>
      <name val="Calibri"/>
      <family val="2"/>
      <scheme val="minor"/>
    </font>
    <font>
      <sz val="11"/>
      <name val="Calibri"/>
      <family val="2"/>
      <scheme val="minor"/>
    </font>
    <font>
      <u/>
      <sz val="10"/>
      <name val="Ubuntu"/>
      <family val="2"/>
    </font>
  </fonts>
  <fills count="43">
    <fill>
      <patternFill patternType="none"/>
    </fill>
    <fill>
      <patternFill patternType="gray125"/>
    </fill>
    <fill>
      <patternFill patternType="solid">
        <fgColor rgb="FF9696AE"/>
        <bgColor indexed="64"/>
      </patternFill>
    </fill>
    <fill>
      <patternFill patternType="solid">
        <fgColor rgb="FFE4E9F4"/>
        <bgColor indexed="64"/>
      </patternFill>
    </fill>
    <fill>
      <patternFill patternType="solid">
        <fgColor theme="0"/>
        <bgColor indexed="64"/>
      </patternFill>
    </fill>
    <fill>
      <patternFill patternType="solid">
        <fgColor rgb="FFEDF0F7"/>
        <bgColor indexed="64"/>
      </patternFill>
    </fill>
    <fill>
      <patternFill patternType="solid">
        <fgColor theme="7" tint="0.79998168889431442"/>
        <bgColor indexed="64"/>
      </patternFill>
    </fill>
    <fill>
      <patternFill patternType="solid">
        <fgColor rgb="FF90A892"/>
        <bgColor indexed="64"/>
      </patternFill>
    </fill>
    <fill>
      <patternFill patternType="solid">
        <fgColor rgb="FFFDEED9"/>
        <bgColor indexed="64"/>
      </patternFill>
    </fill>
    <fill>
      <patternFill patternType="solid">
        <fgColor rgb="FFF5A968"/>
        <bgColor indexed="64"/>
      </patternFill>
    </fill>
    <fill>
      <patternFill patternType="solid">
        <fgColor rgb="FF00B050"/>
        <bgColor indexed="64"/>
      </patternFill>
    </fill>
    <fill>
      <patternFill patternType="solid">
        <fgColor rgb="FFE6EFF5"/>
        <bgColor indexed="64"/>
      </patternFill>
    </fill>
    <fill>
      <patternFill patternType="solid">
        <fgColor rgb="FFFFFFFF"/>
        <bgColor indexed="64"/>
      </patternFill>
    </fill>
    <fill>
      <patternFill patternType="solid">
        <fgColor rgb="FFF4F6FA"/>
        <bgColor indexed="64"/>
      </patternFill>
    </fill>
    <fill>
      <patternFill patternType="solid">
        <fgColor rgb="FFD0D9EC"/>
        <bgColor indexed="64"/>
      </patternFill>
    </fill>
    <fill>
      <patternFill patternType="solid">
        <fgColor rgb="FFBABACA"/>
        <bgColor indexed="64"/>
      </patternFill>
    </fill>
    <fill>
      <patternFill patternType="solid">
        <fgColor theme="0" tint="-0.499984740745262"/>
        <bgColor indexed="64"/>
      </patternFill>
    </fill>
    <fill>
      <patternFill patternType="solid">
        <fgColor indexed="9"/>
        <bgColor indexed="64"/>
      </patternFill>
    </fill>
    <fill>
      <patternFill patternType="solid">
        <fgColor theme="0" tint="-4.9989318521683403E-2"/>
        <bgColor indexed="64"/>
      </patternFill>
    </fill>
    <fill>
      <patternFill patternType="solid">
        <fgColor rgb="FFF7F7F7"/>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F0000"/>
        <bgColor indexed="64"/>
      </patternFill>
    </fill>
    <fill>
      <patternFill patternType="solid">
        <fgColor theme="9"/>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FFFF00"/>
        <bgColor indexed="64"/>
      </patternFill>
    </fill>
    <fill>
      <patternFill patternType="solid">
        <fgColor theme="7" tint="0.59996337778862885"/>
        <bgColor indexed="64"/>
      </patternFill>
    </fill>
    <fill>
      <patternFill patternType="solid">
        <fgColor theme="9" tint="0.59996337778862885"/>
        <bgColor indexed="64"/>
      </patternFill>
    </fill>
    <fill>
      <patternFill patternType="solid">
        <fgColor theme="5" tint="0.59996337778862885"/>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1"/>
        <bgColor indexed="64"/>
      </patternFill>
    </fill>
    <fill>
      <patternFill patternType="solid">
        <fgColor theme="4"/>
        <bgColor indexed="64"/>
      </patternFill>
    </fill>
    <fill>
      <patternFill patternType="solid">
        <fgColor theme="8" tint="0.79998168889431442"/>
        <bgColor indexed="64"/>
      </patternFill>
    </fill>
    <fill>
      <patternFill patternType="solid">
        <fgColor theme="5"/>
        <bgColor indexed="64"/>
      </patternFill>
    </fill>
    <fill>
      <patternFill patternType="solid">
        <fgColor theme="1" tint="0.34998626667073579"/>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1" tint="0.499984740745262"/>
        <bgColor indexed="64"/>
      </patternFill>
    </fill>
    <fill>
      <patternFill patternType="solid">
        <fgColor theme="2" tint="-9.9978637043366805E-2"/>
        <bgColor indexed="64"/>
      </patternFill>
    </fill>
    <fill>
      <patternFill patternType="solid">
        <fgColor theme="2"/>
        <bgColor indexed="64"/>
      </patternFill>
    </fill>
  </fills>
  <borders count="248">
    <border>
      <left/>
      <right/>
      <top/>
      <bottom/>
      <diagonal/>
    </border>
    <border>
      <left/>
      <right/>
      <top style="thin">
        <color rgb="FFD0D9EC"/>
      </top>
      <bottom style="thin">
        <color rgb="FFD0D9EC"/>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bottom style="thin">
        <color theme="0" tint="-0.14996795556505021"/>
      </bottom>
      <diagonal/>
    </border>
    <border>
      <left/>
      <right/>
      <top style="thin">
        <color rgb="FFD0D9EC"/>
      </top>
      <bottom/>
      <diagonal/>
    </border>
    <border>
      <left/>
      <right/>
      <top/>
      <bottom style="thin">
        <color rgb="FFD0D9EC"/>
      </bottom>
      <diagonal/>
    </border>
    <border>
      <left style="thin">
        <color theme="5"/>
      </left>
      <right style="thin">
        <color theme="5"/>
      </right>
      <top style="thin">
        <color theme="5"/>
      </top>
      <bottom style="thin">
        <color theme="5"/>
      </bottom>
      <diagonal/>
    </border>
    <border>
      <left/>
      <right style="thin">
        <color theme="5"/>
      </right>
      <top/>
      <bottom/>
      <diagonal/>
    </border>
    <border>
      <left/>
      <right/>
      <top style="thin">
        <color rgb="FFD0D9EC"/>
      </top>
      <bottom style="thin">
        <color theme="5"/>
      </bottom>
      <diagonal/>
    </border>
    <border>
      <left/>
      <right style="thin">
        <color theme="5"/>
      </right>
      <top/>
      <bottom style="thin">
        <color theme="5"/>
      </bottom>
      <diagonal/>
    </border>
    <border>
      <left/>
      <right/>
      <top style="thin">
        <color theme="5"/>
      </top>
      <bottom style="thin">
        <color theme="5"/>
      </bottom>
      <diagonal/>
    </border>
    <border>
      <left/>
      <right style="thin">
        <color theme="5"/>
      </right>
      <top style="thin">
        <color theme="5"/>
      </top>
      <bottom style="thin">
        <color theme="5"/>
      </bottom>
      <diagonal/>
    </border>
    <border>
      <left style="thin">
        <color theme="5"/>
      </left>
      <right style="thin">
        <color theme="5"/>
      </right>
      <top/>
      <bottom style="thin">
        <color rgb="FFD0D9EC"/>
      </bottom>
      <diagonal/>
    </border>
    <border>
      <left style="thin">
        <color theme="5"/>
      </left>
      <right style="thin">
        <color theme="5"/>
      </right>
      <top style="thin">
        <color rgb="FFD0D9EC"/>
      </top>
      <bottom style="thin">
        <color rgb="FFD0D9EC"/>
      </bottom>
      <diagonal/>
    </border>
    <border>
      <left style="thin">
        <color theme="5"/>
      </left>
      <right style="thin">
        <color theme="5"/>
      </right>
      <top style="thin">
        <color rgb="FFD0D9EC"/>
      </top>
      <bottom style="thin">
        <color theme="5"/>
      </bottom>
      <diagonal/>
    </border>
    <border>
      <left style="thin">
        <color auto="1"/>
      </left>
      <right/>
      <top style="thin">
        <color auto="1"/>
      </top>
      <bottom/>
      <diagonal/>
    </border>
    <border>
      <left style="thin">
        <color theme="5"/>
      </left>
      <right/>
      <top style="thin">
        <color theme="5"/>
      </top>
      <bottom style="thin">
        <color rgb="FFD0D9EC"/>
      </bottom>
      <diagonal/>
    </border>
    <border>
      <left/>
      <right/>
      <top style="thin">
        <color theme="5"/>
      </top>
      <bottom style="thin">
        <color rgb="FFD0D9EC"/>
      </bottom>
      <diagonal/>
    </border>
    <border>
      <left/>
      <right style="thin">
        <color theme="5"/>
      </right>
      <top style="thin">
        <color theme="5"/>
      </top>
      <bottom style="thin">
        <color rgb="FFD0D9EC"/>
      </bottom>
      <diagonal/>
    </border>
    <border>
      <left style="thin">
        <color theme="5"/>
      </left>
      <right/>
      <top style="thin">
        <color rgb="FFD0D9EC"/>
      </top>
      <bottom style="thin">
        <color rgb="FFD0D9EC"/>
      </bottom>
      <diagonal/>
    </border>
    <border>
      <left/>
      <right style="thin">
        <color theme="5"/>
      </right>
      <top style="thin">
        <color rgb="FFD0D9EC"/>
      </top>
      <bottom style="thin">
        <color rgb="FFD0D9EC"/>
      </bottom>
      <diagonal/>
    </border>
    <border>
      <left style="thin">
        <color theme="5"/>
      </left>
      <right/>
      <top style="thin">
        <color rgb="FFD0D9EC"/>
      </top>
      <bottom style="thin">
        <color theme="5"/>
      </bottom>
      <diagonal/>
    </border>
    <border>
      <left/>
      <right style="thin">
        <color theme="5"/>
      </right>
      <top style="thin">
        <color rgb="FFD0D9EC"/>
      </top>
      <bottom style="thin">
        <color theme="5"/>
      </bottom>
      <diagonal/>
    </border>
    <border>
      <left style="thin">
        <color theme="5"/>
      </left>
      <right/>
      <top style="thin">
        <color theme="5"/>
      </top>
      <bottom style="thin">
        <color theme="5"/>
      </bottom>
      <diagonal/>
    </border>
    <border>
      <left style="thin">
        <color theme="5"/>
      </left>
      <right/>
      <top style="thin">
        <color theme="5"/>
      </top>
      <bottom/>
      <diagonal/>
    </border>
    <border>
      <left/>
      <right/>
      <top style="thin">
        <color theme="5"/>
      </top>
      <bottom/>
      <diagonal/>
    </border>
    <border>
      <left/>
      <right style="thin">
        <color theme="5"/>
      </right>
      <top style="thin">
        <color theme="5"/>
      </top>
      <bottom/>
      <diagonal/>
    </border>
    <border>
      <left style="thin">
        <color theme="5"/>
      </left>
      <right/>
      <top/>
      <bottom/>
      <diagonal/>
    </border>
    <border>
      <left style="thin">
        <color theme="5"/>
      </left>
      <right/>
      <top/>
      <bottom style="thin">
        <color theme="5"/>
      </bottom>
      <diagonal/>
    </border>
    <border>
      <left/>
      <right/>
      <top/>
      <bottom style="thin">
        <color theme="5"/>
      </bottom>
      <diagonal/>
    </border>
    <border>
      <left style="thin">
        <color theme="5"/>
      </left>
      <right style="thin">
        <color theme="5"/>
      </right>
      <top style="thin">
        <color theme="5"/>
      </top>
      <bottom style="thin">
        <color rgb="FFD0D9EC"/>
      </bottom>
      <diagonal/>
    </border>
    <border>
      <left/>
      <right style="thin">
        <color theme="5"/>
      </right>
      <top/>
      <bottom style="thin">
        <color rgb="FFD0D9EC"/>
      </bottom>
      <diagonal/>
    </border>
    <border>
      <left style="thin">
        <color theme="5"/>
      </left>
      <right style="thin">
        <color theme="5"/>
      </right>
      <top style="thin">
        <color rgb="FFD0D9EC"/>
      </top>
      <bottom/>
      <diagonal/>
    </border>
    <border>
      <left/>
      <right style="thin">
        <color theme="5"/>
      </right>
      <top style="thin">
        <color rgb="FFD0D9EC"/>
      </top>
      <bottom/>
      <diagonal/>
    </border>
    <border>
      <left/>
      <right/>
      <top style="thin">
        <color theme="0" tint="-0.14996795556505021"/>
      </top>
      <bottom style="thin">
        <color theme="0" tint="-0.14996795556505021"/>
      </bottom>
      <diagonal/>
    </border>
    <border>
      <left/>
      <right/>
      <top style="thin">
        <color theme="0" tint="-0.14993743705557422"/>
      </top>
      <bottom style="thin">
        <color theme="0" tint="-0.14993743705557422"/>
      </bottom>
      <diagonal/>
    </border>
    <border>
      <left/>
      <right/>
      <top style="thin">
        <color theme="2" tint="-9.9948118533890809E-2"/>
      </top>
      <bottom style="thin">
        <color theme="2" tint="-9.9948118533890809E-2"/>
      </bottom>
      <diagonal/>
    </border>
    <border>
      <left/>
      <right/>
      <top/>
      <bottom style="thin">
        <color theme="0" tint="-0.14993743705557422"/>
      </bottom>
      <diagonal/>
    </border>
    <border>
      <left style="thin">
        <color theme="8" tint="-0.499984740745262"/>
      </left>
      <right/>
      <top style="thin">
        <color theme="8" tint="-0.499984740745262"/>
      </top>
      <bottom/>
      <diagonal/>
    </border>
    <border>
      <left/>
      <right/>
      <top style="thin">
        <color theme="8" tint="-0.499984740745262"/>
      </top>
      <bottom style="thin">
        <color theme="8" tint="-0.499984740745262"/>
      </bottom>
      <diagonal/>
    </border>
    <border>
      <left/>
      <right/>
      <top style="thin">
        <color theme="8" tint="-0.499984740745262"/>
      </top>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thin">
        <color theme="9" tint="0.59996337778862885"/>
      </left>
      <right/>
      <top/>
      <bottom/>
      <diagonal/>
    </border>
    <border>
      <left style="thin">
        <color theme="9" tint="-0.499984740745262"/>
      </left>
      <right style="thin">
        <color theme="9" tint="0.59996337778862885"/>
      </right>
      <top style="thin">
        <color theme="9" tint="-0.499984740745262"/>
      </top>
      <bottom style="thin">
        <color theme="9" tint="-0.499984740745262"/>
      </bottom>
      <diagonal/>
    </border>
    <border>
      <left style="thin">
        <color theme="9" tint="0.59996337778862885"/>
      </left>
      <right style="thin">
        <color theme="9" tint="0.59996337778862885"/>
      </right>
      <top style="thin">
        <color theme="9" tint="-0.499984740745262"/>
      </top>
      <bottom style="thin">
        <color theme="9" tint="-0.499984740745262"/>
      </bottom>
      <diagonal/>
    </border>
    <border>
      <left style="thin">
        <color theme="9" tint="0.59996337778862885"/>
      </left>
      <right style="thin">
        <color theme="9" tint="-0.499984740745262"/>
      </right>
      <top style="thin">
        <color theme="9" tint="-0.499984740745262"/>
      </top>
      <bottom style="thin">
        <color theme="9" tint="-0.499984740745262"/>
      </bottom>
      <diagonal/>
    </border>
    <border>
      <left/>
      <right style="thin">
        <color theme="9" tint="0.59996337778862885"/>
      </right>
      <top/>
      <bottom/>
      <diagonal/>
    </border>
    <border>
      <left style="thin">
        <color theme="9" tint="0.59996337778862885"/>
      </left>
      <right style="thin">
        <color theme="9" tint="0.59996337778862885"/>
      </right>
      <top/>
      <bottom/>
      <diagonal/>
    </border>
    <border>
      <left style="medium">
        <color rgb="FFFF0000"/>
      </left>
      <right style="medium">
        <color rgb="FFFF0000"/>
      </right>
      <top/>
      <bottom style="medium">
        <color rgb="FFFF0000"/>
      </bottom>
      <diagonal/>
    </border>
    <border>
      <left style="thin">
        <color theme="8" tint="-0.499984740745262"/>
      </left>
      <right/>
      <top/>
      <bottom style="thin">
        <color theme="8" tint="-0.499984740745262"/>
      </bottom>
      <diagonal/>
    </border>
    <border>
      <left/>
      <right/>
      <top/>
      <bottom style="thin">
        <color theme="8" tint="-0.499984740745262"/>
      </bottom>
      <diagonal/>
    </border>
    <border>
      <left/>
      <right style="thin">
        <color theme="8" tint="-0.499984740745262"/>
      </right>
      <top/>
      <bottom style="thin">
        <color theme="8" tint="-0.499984740745262"/>
      </bottom>
      <diagonal/>
    </border>
    <border>
      <left/>
      <right/>
      <top style="thin">
        <color indexed="64"/>
      </top>
      <bottom/>
      <diagonal/>
    </border>
    <border>
      <left/>
      <right style="thin">
        <color indexed="64"/>
      </right>
      <top style="thin">
        <color indexed="64"/>
      </top>
      <bottom/>
      <diagonal/>
    </border>
    <border>
      <left style="thin">
        <color indexed="64"/>
      </left>
      <right style="thin">
        <color theme="9" tint="-0.499984740745262"/>
      </right>
      <top/>
      <bottom/>
      <diagonal/>
    </border>
    <border>
      <left style="thin">
        <color theme="9" tint="-0.499984740745262"/>
      </left>
      <right/>
      <top style="thin">
        <color theme="9" tint="-0.499984740745262"/>
      </top>
      <bottom/>
      <diagonal/>
    </border>
    <border>
      <left/>
      <right/>
      <top style="thin">
        <color theme="9" tint="-0.499984740745262"/>
      </top>
      <bottom/>
      <diagonal/>
    </border>
    <border>
      <left/>
      <right style="thin">
        <color theme="9" tint="-0.499984740745262"/>
      </right>
      <top style="thin">
        <color theme="9" tint="-0.499984740745262"/>
      </top>
      <bottom/>
      <diagonal/>
    </border>
    <border>
      <left style="thin">
        <color theme="9" tint="-0.499984740745262"/>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theme="9" tint="-0.499984740745262"/>
      </left>
      <right/>
      <top/>
      <bottom style="thin">
        <color theme="9" tint="-0.499984740745262"/>
      </bottom>
      <diagonal/>
    </border>
    <border>
      <left/>
      <right/>
      <top/>
      <bottom style="thin">
        <color theme="9" tint="-0.499984740745262"/>
      </bottom>
      <diagonal/>
    </border>
    <border>
      <left/>
      <right style="thin">
        <color theme="9" tint="-0.499984740745262"/>
      </right>
      <top/>
      <bottom style="thin">
        <color theme="9" tint="-0.499984740745262"/>
      </bottom>
      <diagonal/>
    </border>
    <border>
      <left style="thin">
        <color theme="9" tint="-0.499984740745262"/>
      </left>
      <right/>
      <top/>
      <bottom style="thin">
        <color indexed="64"/>
      </bottom>
      <diagonal/>
    </border>
    <border>
      <left/>
      <right style="thin">
        <color theme="9" tint="-0.499984740745262"/>
      </right>
      <top/>
      <bottom style="thin">
        <color indexed="64"/>
      </bottom>
      <diagonal/>
    </border>
    <border>
      <left/>
      <right/>
      <top/>
      <bottom style="medium">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theme="9" tint="-0.499984740745262"/>
      </right>
      <top/>
      <bottom style="thin">
        <color indexed="64"/>
      </bottom>
      <diagonal/>
    </border>
    <border>
      <left style="thin">
        <color theme="9" tint="-0.499984740745262"/>
      </left>
      <right style="hair">
        <color theme="9" tint="-0.499984740745262"/>
      </right>
      <top/>
      <bottom style="thin">
        <color indexed="64"/>
      </bottom>
      <diagonal/>
    </border>
    <border>
      <left style="hair">
        <color theme="9" tint="-0.499984740745262"/>
      </left>
      <right style="hair">
        <color theme="9" tint="-0.499984740745262"/>
      </right>
      <top/>
      <bottom style="thin">
        <color indexed="64"/>
      </bottom>
      <diagonal/>
    </border>
    <border>
      <left style="hair">
        <color theme="9" tint="-0.499984740745262"/>
      </left>
      <right style="thin">
        <color theme="9" tint="-0.499984740745262"/>
      </right>
      <top/>
      <bottom style="thin">
        <color indexed="64"/>
      </bottom>
      <diagonal/>
    </border>
    <border>
      <left style="thin">
        <color theme="9" tint="-0.499984740745262"/>
      </left>
      <right style="hair">
        <color theme="9" tint="-0.499984740745262"/>
      </right>
      <top style="thin">
        <color indexed="64"/>
      </top>
      <bottom style="thin">
        <color indexed="64"/>
      </bottom>
      <diagonal/>
    </border>
    <border>
      <left style="hair">
        <color theme="9" tint="-0.499984740745262"/>
      </left>
      <right style="hair">
        <color theme="9" tint="-0.499984740745262"/>
      </right>
      <top style="thin">
        <color indexed="64"/>
      </top>
      <bottom style="thin">
        <color indexed="64"/>
      </bottom>
      <diagonal/>
    </border>
    <border>
      <left style="hair">
        <color theme="9" tint="-0.499984740745262"/>
      </left>
      <right style="thin">
        <color theme="9" tint="-0.499984740745262"/>
      </right>
      <top style="thin">
        <color indexed="64"/>
      </top>
      <bottom style="thin">
        <color indexed="64"/>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theme="9" tint="-0.499984740745262"/>
      </left>
      <right style="hair">
        <color theme="9" tint="-0.499984740745262"/>
      </right>
      <top/>
      <bottom style="hair">
        <color indexed="64"/>
      </bottom>
      <diagonal/>
    </border>
    <border>
      <left style="hair">
        <color theme="9" tint="-0.499984740745262"/>
      </left>
      <right style="hair">
        <color theme="9" tint="-0.499984740745262"/>
      </right>
      <top/>
      <bottom style="hair">
        <color indexed="64"/>
      </bottom>
      <diagonal/>
    </border>
    <border>
      <left style="hair">
        <color theme="9" tint="-0.499984740745262"/>
      </left>
      <right style="thin">
        <color theme="9" tint="-0.499984740745262"/>
      </right>
      <top/>
      <bottom style="hair">
        <color indexed="64"/>
      </bottom>
      <diagonal/>
    </border>
    <border>
      <left style="thin">
        <color theme="9" tint="-0.499984740745262"/>
      </left>
      <right style="hair">
        <color theme="9" tint="-0.499984740745262"/>
      </right>
      <top/>
      <bottom/>
      <diagonal/>
    </border>
    <border>
      <left style="hair">
        <color theme="9" tint="-0.499984740745262"/>
      </left>
      <right style="hair">
        <color theme="9" tint="-0.499984740745262"/>
      </right>
      <top/>
      <bottom/>
      <diagonal/>
    </border>
    <border>
      <left style="hair">
        <color theme="9" tint="-0.499984740745262"/>
      </left>
      <right style="thin">
        <color theme="9" tint="-0.499984740745262"/>
      </right>
      <top/>
      <bottom/>
      <diagonal/>
    </border>
    <border>
      <left style="hair">
        <color theme="9" tint="-0.499984740745262"/>
      </left>
      <right style="hair">
        <color theme="9" tint="-0.499984740745262"/>
      </right>
      <top style="thin">
        <color indexed="64"/>
      </top>
      <bottom style="hair">
        <color indexed="64"/>
      </bottom>
      <diagonal/>
    </border>
    <border>
      <left style="hair">
        <color theme="9" tint="-0.499984740745262"/>
      </left>
      <right style="thin">
        <color theme="9" tint="-0.499984740745262"/>
      </right>
      <top style="thin">
        <color indexed="64"/>
      </top>
      <bottom style="hair">
        <color indexed="64"/>
      </bottom>
      <diagonal/>
    </border>
    <border>
      <left style="thin">
        <color theme="9" tint="-0.499984740745262"/>
      </left>
      <right style="hair">
        <color theme="9" tint="-0.499984740745262"/>
      </right>
      <top style="thin">
        <color indexed="64"/>
      </top>
      <bottom style="hair">
        <color indexed="64"/>
      </bottom>
      <diagonal/>
    </border>
    <border>
      <left style="thin">
        <color theme="9" tint="-0.499984740745262"/>
      </left>
      <right style="hair">
        <color theme="9" tint="-0.499984740745262"/>
      </right>
      <top style="hair">
        <color indexed="64"/>
      </top>
      <bottom style="hair">
        <color indexed="64"/>
      </bottom>
      <diagonal/>
    </border>
    <border>
      <left style="hair">
        <color theme="9" tint="-0.499984740745262"/>
      </left>
      <right style="hair">
        <color theme="9" tint="-0.499984740745262"/>
      </right>
      <top style="hair">
        <color indexed="64"/>
      </top>
      <bottom style="hair">
        <color indexed="64"/>
      </bottom>
      <diagonal/>
    </border>
    <border>
      <left style="hair">
        <color theme="9" tint="-0.499984740745262"/>
      </left>
      <right style="thin">
        <color theme="9" tint="-0.499984740745262"/>
      </right>
      <top style="hair">
        <color indexed="64"/>
      </top>
      <bottom style="hair">
        <color indexed="64"/>
      </bottom>
      <diagonal/>
    </border>
    <border>
      <left style="thin">
        <color theme="9" tint="-0.499984740745262"/>
      </left>
      <right style="hair">
        <color theme="9" tint="-0.499984740745262"/>
      </right>
      <top/>
      <bottom style="thin">
        <color theme="9" tint="-0.499984740745262"/>
      </bottom>
      <diagonal/>
    </border>
    <border>
      <left style="hair">
        <color theme="9" tint="-0.499984740745262"/>
      </left>
      <right style="hair">
        <color theme="9" tint="-0.499984740745262"/>
      </right>
      <top/>
      <bottom style="thin">
        <color theme="9" tint="-0.499984740745262"/>
      </bottom>
      <diagonal/>
    </border>
    <border>
      <left style="hair">
        <color theme="9" tint="-0.499984740745262"/>
      </left>
      <right style="thin">
        <color theme="9" tint="-0.499984740745262"/>
      </right>
      <top/>
      <bottom style="thin">
        <color theme="9" tint="-0.499984740745262"/>
      </bottom>
      <diagonal/>
    </border>
    <border>
      <left style="thin">
        <color rgb="FF9696AE"/>
      </left>
      <right/>
      <top style="thin">
        <color rgb="FF9696AE"/>
      </top>
      <bottom style="thin">
        <color rgb="FF9696AE"/>
      </bottom>
      <diagonal/>
    </border>
    <border>
      <left/>
      <right/>
      <top style="thin">
        <color rgb="FF9696AE"/>
      </top>
      <bottom style="thin">
        <color rgb="FF9696AE"/>
      </bottom>
      <diagonal/>
    </border>
    <border>
      <left/>
      <right style="thin">
        <color rgb="FF9696AE"/>
      </right>
      <top style="thin">
        <color rgb="FF9696AE"/>
      </top>
      <bottom style="thin">
        <color rgb="FF9696AE"/>
      </bottom>
      <diagonal/>
    </border>
    <border>
      <left style="thin">
        <color rgb="FF9696AE"/>
      </left>
      <right/>
      <top style="thin">
        <color rgb="FF9696AE"/>
      </top>
      <bottom/>
      <diagonal/>
    </border>
    <border>
      <left/>
      <right/>
      <top style="thin">
        <color rgb="FF9696AE"/>
      </top>
      <bottom/>
      <diagonal/>
    </border>
    <border>
      <left/>
      <right style="thin">
        <color rgb="FF9696AE"/>
      </right>
      <top style="thin">
        <color rgb="FF9696AE"/>
      </top>
      <bottom/>
      <diagonal/>
    </border>
    <border>
      <left style="thin">
        <color rgb="FF9696AE"/>
      </left>
      <right/>
      <top/>
      <bottom style="thin">
        <color rgb="FFD0D9EC"/>
      </bottom>
      <diagonal/>
    </border>
    <border>
      <left/>
      <right style="thin">
        <color rgb="FF9696AE"/>
      </right>
      <top/>
      <bottom style="thin">
        <color rgb="FFD0D9EC"/>
      </bottom>
      <diagonal/>
    </border>
    <border>
      <left style="thin">
        <color rgb="FF9696AE"/>
      </left>
      <right/>
      <top style="thin">
        <color rgb="FFD0D9EC"/>
      </top>
      <bottom style="thin">
        <color rgb="FF9696AE"/>
      </bottom>
      <diagonal/>
    </border>
    <border>
      <left/>
      <right/>
      <top style="thin">
        <color rgb="FFD0D9EC"/>
      </top>
      <bottom style="thin">
        <color rgb="FF9696AE"/>
      </bottom>
      <diagonal/>
    </border>
    <border>
      <left/>
      <right style="thin">
        <color rgb="FF9696AE"/>
      </right>
      <top style="thin">
        <color rgb="FFD0D9EC"/>
      </top>
      <bottom style="thin">
        <color rgb="FF9696AE"/>
      </bottom>
      <diagonal/>
    </border>
    <border>
      <left style="thin">
        <color rgb="FF9696AE"/>
      </left>
      <right/>
      <top style="thin">
        <color rgb="FFD0D9EC"/>
      </top>
      <bottom style="thin">
        <color rgb="FFD0D9EC"/>
      </bottom>
      <diagonal/>
    </border>
    <border>
      <left/>
      <right style="thin">
        <color rgb="FF9696AE"/>
      </right>
      <top style="thin">
        <color rgb="FFD0D9EC"/>
      </top>
      <bottom style="thin">
        <color rgb="FFD0D9EC"/>
      </bottom>
      <diagonal/>
    </border>
    <border>
      <left style="thin">
        <color rgb="FFD0D9EC"/>
      </left>
      <right/>
      <top style="thin">
        <color rgb="FFD0D9EC"/>
      </top>
      <bottom style="thin">
        <color rgb="FFD0D9EC"/>
      </bottom>
      <diagonal/>
    </border>
    <border>
      <left/>
      <right style="thin">
        <color rgb="FFD0D9EC"/>
      </right>
      <top style="thin">
        <color rgb="FFD0D9EC"/>
      </top>
      <bottom style="thin">
        <color rgb="FFD0D9EC"/>
      </bottom>
      <diagonal/>
    </border>
    <border>
      <left style="thin">
        <color rgb="FF00B050"/>
      </left>
      <right style="thin">
        <color rgb="FF00B050"/>
      </right>
      <top style="thin">
        <color rgb="FF00B050"/>
      </top>
      <bottom style="thin">
        <color rgb="FF00B050"/>
      </bottom>
      <diagonal/>
    </border>
    <border>
      <left style="thin">
        <color theme="5"/>
      </left>
      <right style="thin">
        <color theme="5" tint="-0.249977111117893"/>
      </right>
      <top/>
      <bottom style="thin">
        <color theme="5"/>
      </bottom>
      <diagonal/>
    </border>
    <border>
      <left style="thin">
        <color theme="5" tint="-0.249977111117893"/>
      </left>
      <right/>
      <top/>
      <bottom/>
      <diagonal/>
    </border>
    <border>
      <left/>
      <right/>
      <top/>
      <bottom style="thin">
        <color rgb="FF00B050"/>
      </bottom>
      <diagonal/>
    </border>
    <border>
      <left style="thin">
        <color rgb="FF00B050"/>
      </left>
      <right/>
      <top style="thin">
        <color rgb="FF00B050"/>
      </top>
      <bottom style="thin">
        <color rgb="FFD0D9EC"/>
      </bottom>
      <diagonal/>
    </border>
    <border>
      <left/>
      <right/>
      <top style="thin">
        <color rgb="FF00B050"/>
      </top>
      <bottom style="thin">
        <color rgb="FFD0D9EC"/>
      </bottom>
      <diagonal/>
    </border>
    <border>
      <left/>
      <right style="thin">
        <color rgb="FF00B050"/>
      </right>
      <top style="thin">
        <color rgb="FF00B050"/>
      </top>
      <bottom style="thin">
        <color rgb="FFD0D9EC"/>
      </bottom>
      <diagonal/>
    </border>
    <border>
      <left style="thin">
        <color rgb="FF00B050"/>
      </left>
      <right/>
      <top style="thin">
        <color rgb="FFD0D9EC"/>
      </top>
      <bottom style="thin">
        <color rgb="FFD0D9EC"/>
      </bottom>
      <diagonal/>
    </border>
    <border>
      <left/>
      <right style="thin">
        <color rgb="FF00B050"/>
      </right>
      <top/>
      <bottom/>
      <diagonal/>
    </border>
    <border>
      <left/>
      <right style="thin">
        <color rgb="FF00B050"/>
      </right>
      <top style="thin">
        <color rgb="FFD0D9EC"/>
      </top>
      <bottom style="thin">
        <color rgb="FFD0D9EC"/>
      </bottom>
      <diagonal/>
    </border>
    <border>
      <left style="thin">
        <color theme="8" tint="0.79998168889431442"/>
      </left>
      <right style="thin">
        <color theme="8" tint="0.79998168889431442"/>
      </right>
      <top style="thin">
        <color rgb="FFD0D9EC"/>
      </top>
      <bottom style="thin">
        <color rgb="FFD0D9EC"/>
      </bottom>
      <diagonal/>
    </border>
    <border>
      <left style="thin">
        <color rgb="FF00B050"/>
      </left>
      <right/>
      <top style="thin">
        <color rgb="FFD0D9EC"/>
      </top>
      <bottom style="thin">
        <color rgb="FF00B050"/>
      </bottom>
      <diagonal/>
    </border>
    <border>
      <left style="thin">
        <color theme="8" tint="0.79998168889431442"/>
      </left>
      <right style="thin">
        <color theme="8" tint="0.79998168889431442"/>
      </right>
      <top style="thin">
        <color rgb="FFD0D9EC"/>
      </top>
      <bottom style="thin">
        <color rgb="FF00B050"/>
      </bottom>
      <diagonal/>
    </border>
    <border>
      <left/>
      <right/>
      <top style="thin">
        <color rgb="FFD0D9EC"/>
      </top>
      <bottom style="thin">
        <color rgb="FF00B050"/>
      </bottom>
      <diagonal/>
    </border>
    <border>
      <left/>
      <right style="thin">
        <color rgb="FF00B050"/>
      </right>
      <top style="thin">
        <color rgb="FFD0D9EC"/>
      </top>
      <bottom/>
      <diagonal/>
    </border>
    <border>
      <left style="medium">
        <color rgb="FF00B050"/>
      </left>
      <right style="thin">
        <color theme="4" tint="0.79998168889431442"/>
      </right>
      <top style="medium">
        <color rgb="FF00B050"/>
      </top>
      <bottom style="thin">
        <color rgb="FFD0D9EC"/>
      </bottom>
      <diagonal/>
    </border>
    <border>
      <left/>
      <right/>
      <top style="medium">
        <color rgb="FF00B050"/>
      </top>
      <bottom style="thin">
        <color rgb="FFD0D9EC"/>
      </bottom>
      <diagonal/>
    </border>
    <border>
      <left style="thin">
        <color theme="4" tint="0.79998168889431442"/>
      </left>
      <right style="medium">
        <color rgb="FF00B050"/>
      </right>
      <top style="medium">
        <color rgb="FF00B050"/>
      </top>
      <bottom style="thin">
        <color rgb="FFD0D9EC"/>
      </bottom>
      <diagonal/>
    </border>
    <border>
      <left style="medium">
        <color theme="5"/>
      </left>
      <right style="thin">
        <color theme="4" tint="0.79998168889431442"/>
      </right>
      <top style="medium">
        <color theme="5"/>
      </top>
      <bottom style="thin">
        <color rgb="FFD0D9EC"/>
      </bottom>
      <diagonal/>
    </border>
    <border>
      <left/>
      <right style="medium">
        <color theme="5"/>
      </right>
      <top style="medium">
        <color theme="5"/>
      </top>
      <bottom style="thin">
        <color rgb="FFD0D9EC"/>
      </bottom>
      <diagonal/>
    </border>
    <border>
      <left style="medium">
        <color rgb="FF00B050"/>
      </left>
      <right style="thin">
        <color theme="4" tint="0.79998168889431442"/>
      </right>
      <top style="thin">
        <color rgb="FFD0D9EC"/>
      </top>
      <bottom style="thin">
        <color rgb="FFD0D9EC"/>
      </bottom>
      <diagonal/>
    </border>
    <border>
      <left style="thin">
        <color theme="4" tint="0.79998168889431442"/>
      </left>
      <right style="medium">
        <color rgb="FF00B050"/>
      </right>
      <top style="thin">
        <color rgb="FFD0D9EC"/>
      </top>
      <bottom style="thin">
        <color rgb="FFD0D9EC"/>
      </bottom>
      <diagonal/>
    </border>
    <border>
      <left style="medium">
        <color theme="5"/>
      </left>
      <right style="thin">
        <color theme="4" tint="0.79998168889431442"/>
      </right>
      <top style="thin">
        <color rgb="FFD0D9EC"/>
      </top>
      <bottom style="thin">
        <color rgb="FFD0D9EC"/>
      </bottom>
      <diagonal/>
    </border>
    <border>
      <left/>
      <right style="medium">
        <color theme="5"/>
      </right>
      <top style="thin">
        <color rgb="FFD0D9EC"/>
      </top>
      <bottom style="thin">
        <color rgb="FFD0D9EC"/>
      </bottom>
      <diagonal/>
    </border>
    <border>
      <left style="medium">
        <color rgb="FF00B050"/>
      </left>
      <right style="thin">
        <color theme="4" tint="0.79998168889431442"/>
      </right>
      <top style="thin">
        <color rgb="FFD0D9EC"/>
      </top>
      <bottom/>
      <diagonal/>
    </border>
    <border>
      <left style="thin">
        <color theme="4" tint="0.79998168889431442"/>
      </left>
      <right style="medium">
        <color rgb="FF00B050"/>
      </right>
      <top style="thin">
        <color rgb="FFD0D9EC"/>
      </top>
      <bottom/>
      <diagonal/>
    </border>
    <border>
      <left style="medium">
        <color theme="5"/>
      </left>
      <right style="thin">
        <color theme="4" tint="0.79998168889431442"/>
      </right>
      <top style="thin">
        <color rgb="FFD0D9EC"/>
      </top>
      <bottom style="medium">
        <color theme="5"/>
      </bottom>
      <diagonal/>
    </border>
    <border>
      <left/>
      <right style="medium">
        <color theme="5"/>
      </right>
      <top style="thin">
        <color rgb="FFD0D9EC"/>
      </top>
      <bottom style="medium">
        <color theme="5"/>
      </bottom>
      <diagonal/>
    </border>
    <border>
      <left style="medium">
        <color rgb="FF00B050"/>
      </left>
      <right style="thin">
        <color theme="4" tint="0.79998168889431442"/>
      </right>
      <top style="medium">
        <color rgb="FF00B050"/>
      </top>
      <bottom style="medium">
        <color rgb="FF00B050"/>
      </bottom>
      <diagonal/>
    </border>
    <border>
      <left/>
      <right/>
      <top style="medium">
        <color rgb="FF00B050"/>
      </top>
      <bottom style="medium">
        <color rgb="FF00B050"/>
      </bottom>
      <diagonal/>
    </border>
    <border>
      <left style="thin">
        <color theme="4" tint="0.79998168889431442"/>
      </left>
      <right style="medium">
        <color rgb="FF00B050"/>
      </right>
      <top style="medium">
        <color rgb="FF00B050"/>
      </top>
      <bottom style="medium">
        <color rgb="FF00B050"/>
      </bottom>
      <diagonal/>
    </border>
    <border>
      <left style="medium">
        <color theme="5"/>
      </left>
      <right style="thin">
        <color theme="4" tint="0.79998168889431442"/>
      </right>
      <top style="medium">
        <color theme="5"/>
      </top>
      <bottom style="medium">
        <color theme="5"/>
      </bottom>
      <diagonal/>
    </border>
    <border>
      <left/>
      <right style="medium">
        <color theme="5"/>
      </right>
      <top style="medium">
        <color theme="5"/>
      </top>
      <bottom style="medium">
        <color theme="5"/>
      </bottom>
      <diagonal/>
    </border>
    <border>
      <left/>
      <right/>
      <top style="thin">
        <color theme="4" tint="0.79998168889431442"/>
      </top>
      <bottom style="thin">
        <color rgb="FFD0D9EC"/>
      </bottom>
      <diagonal/>
    </border>
    <border>
      <left style="thin">
        <color theme="7" tint="-0.24994659260841701"/>
      </left>
      <right/>
      <top style="thin">
        <color theme="7" tint="-0.24994659260841701"/>
      </top>
      <bottom style="thin">
        <color theme="7" tint="-0.24994659260841701"/>
      </bottom>
      <diagonal/>
    </border>
    <border>
      <left/>
      <right/>
      <top style="thin">
        <color theme="7" tint="-0.24994659260841701"/>
      </top>
      <bottom style="thin">
        <color theme="7" tint="-0.24994659260841701"/>
      </bottom>
      <diagonal/>
    </border>
    <border>
      <left/>
      <right style="thin">
        <color theme="7" tint="-0.24994659260841701"/>
      </right>
      <top style="thin">
        <color theme="7" tint="-0.24994659260841701"/>
      </top>
      <bottom style="thin">
        <color theme="7" tint="-0.24994659260841701"/>
      </bottom>
      <diagonal/>
    </border>
    <border>
      <left style="thin">
        <color theme="7" tint="-0.24994659260841701"/>
      </left>
      <right/>
      <top style="thin">
        <color theme="7" tint="-0.24994659260841701"/>
      </top>
      <bottom style="thin">
        <color rgb="FFD0D9EC"/>
      </bottom>
      <diagonal/>
    </border>
    <border>
      <left/>
      <right style="thin">
        <color theme="7" tint="-0.24994659260841701"/>
      </right>
      <top style="thin">
        <color theme="7" tint="-0.24994659260841701"/>
      </top>
      <bottom style="thin">
        <color rgb="FFD0D9EC"/>
      </bottom>
      <diagonal/>
    </border>
    <border>
      <left style="thin">
        <color theme="7" tint="-0.24994659260841701"/>
      </left>
      <right/>
      <top style="thin">
        <color rgb="FFD0D9EC"/>
      </top>
      <bottom style="thin">
        <color rgb="FFD0D9EC"/>
      </bottom>
      <diagonal/>
    </border>
    <border>
      <left/>
      <right style="thin">
        <color theme="7" tint="-0.24994659260841701"/>
      </right>
      <top style="thin">
        <color rgb="FFD0D9EC"/>
      </top>
      <bottom style="thin">
        <color rgb="FFD0D9EC"/>
      </bottom>
      <diagonal/>
    </border>
    <border>
      <left style="thin">
        <color theme="7" tint="-0.24994659260841701"/>
      </left>
      <right/>
      <top style="thin">
        <color rgb="FFD0D9EC"/>
      </top>
      <bottom style="thin">
        <color theme="7" tint="-0.24994659260841701"/>
      </bottom>
      <diagonal/>
    </border>
    <border>
      <left/>
      <right style="thin">
        <color theme="7" tint="-0.24994659260841701"/>
      </right>
      <top style="thin">
        <color rgb="FFD0D9EC"/>
      </top>
      <bottom style="thin">
        <color theme="7" tint="-0.24994659260841701"/>
      </bottom>
      <diagonal/>
    </border>
    <border>
      <left style="thin">
        <color theme="7" tint="-0.24994659260841701"/>
      </left>
      <right style="thin">
        <color theme="7" tint="-0.24994659260841701"/>
      </right>
      <top style="thin">
        <color theme="7" tint="-0.24994659260841701"/>
      </top>
      <bottom style="thin">
        <color rgb="FFD0D9EC"/>
      </bottom>
      <diagonal/>
    </border>
    <border>
      <left style="thin">
        <color theme="7" tint="-0.24994659260841701"/>
      </left>
      <right style="thin">
        <color theme="7" tint="-0.24994659260841701"/>
      </right>
      <top style="thin">
        <color rgb="FFD0D9EC"/>
      </top>
      <bottom style="thin">
        <color rgb="FFD0D9EC"/>
      </bottom>
      <diagonal/>
    </border>
    <border>
      <left style="thin">
        <color theme="7" tint="-0.24994659260841701"/>
      </left>
      <right style="thin">
        <color theme="7" tint="-0.24994659260841701"/>
      </right>
      <top style="thin">
        <color rgb="FFD0D9EC"/>
      </top>
      <bottom style="thin">
        <color theme="7" tint="-0.24994659260841701"/>
      </bottom>
      <diagonal/>
    </border>
    <border>
      <left style="thin">
        <color theme="9" tint="-0.24994659260841701"/>
      </left>
      <right/>
      <top style="thin">
        <color theme="9" tint="-0.24994659260841701"/>
      </top>
      <bottom style="thin">
        <color rgb="FFD0D9EC"/>
      </bottom>
      <diagonal/>
    </border>
    <border>
      <left/>
      <right style="thin">
        <color theme="9" tint="-0.24994659260841701"/>
      </right>
      <top style="thin">
        <color theme="9" tint="-0.24994659260841701"/>
      </top>
      <bottom style="thin">
        <color rgb="FFD0D9EC"/>
      </bottom>
      <diagonal/>
    </border>
    <border>
      <left style="thin">
        <color theme="9" tint="-0.24994659260841701"/>
      </left>
      <right/>
      <top style="thin">
        <color rgb="FFD0D9EC"/>
      </top>
      <bottom style="thin">
        <color rgb="FFD0D9EC"/>
      </bottom>
      <diagonal/>
    </border>
    <border>
      <left/>
      <right style="thin">
        <color theme="9" tint="-0.24994659260841701"/>
      </right>
      <top style="thin">
        <color rgb="FFD0D9EC"/>
      </top>
      <bottom style="thin">
        <color rgb="FFD0D9EC"/>
      </bottom>
      <diagonal/>
    </border>
    <border>
      <left style="thin">
        <color theme="9" tint="-0.24994659260841701"/>
      </left>
      <right/>
      <top style="thin">
        <color rgb="FFD0D9EC"/>
      </top>
      <bottom style="thin">
        <color theme="9" tint="-0.24994659260841701"/>
      </bottom>
      <diagonal/>
    </border>
    <border>
      <left/>
      <right style="thin">
        <color theme="9" tint="-0.24994659260841701"/>
      </right>
      <top style="thin">
        <color rgb="FFD0D9EC"/>
      </top>
      <bottom style="thin">
        <color theme="9" tint="-0.24994659260841701"/>
      </bottom>
      <diagonal/>
    </border>
    <border>
      <left style="thin">
        <color theme="9" tint="-0.24994659260841701"/>
      </left>
      <right/>
      <top style="thin">
        <color theme="9" tint="-0.24994659260841701"/>
      </top>
      <bottom style="thin">
        <color theme="9" tint="-0.24994659260841701"/>
      </bottom>
      <diagonal/>
    </border>
    <border>
      <left/>
      <right/>
      <top style="thin">
        <color theme="9" tint="-0.24994659260841701"/>
      </top>
      <bottom style="thin">
        <color theme="9" tint="-0.24994659260841701"/>
      </bottom>
      <diagonal/>
    </border>
    <border>
      <left/>
      <right style="thin">
        <color theme="9" tint="-0.24994659260841701"/>
      </right>
      <top style="thin">
        <color theme="9" tint="-0.24994659260841701"/>
      </top>
      <bottom style="thin">
        <color theme="9" tint="-0.24994659260841701"/>
      </bottom>
      <diagonal/>
    </border>
    <border>
      <left style="thin">
        <color theme="9" tint="-0.24994659260841701"/>
      </left>
      <right style="thin">
        <color theme="9" tint="-0.24994659260841701"/>
      </right>
      <top style="thin">
        <color theme="9" tint="-0.24994659260841701"/>
      </top>
      <bottom style="thin">
        <color rgb="FFD0D9EC"/>
      </bottom>
      <diagonal/>
    </border>
    <border>
      <left style="thin">
        <color theme="9" tint="-0.24994659260841701"/>
      </left>
      <right style="thin">
        <color theme="9" tint="-0.24994659260841701"/>
      </right>
      <top style="thin">
        <color rgb="FFD0D9EC"/>
      </top>
      <bottom style="thin">
        <color rgb="FFD0D9EC"/>
      </bottom>
      <diagonal/>
    </border>
    <border>
      <left style="thin">
        <color theme="9" tint="-0.24994659260841701"/>
      </left>
      <right style="thin">
        <color theme="9" tint="-0.24994659260841701"/>
      </right>
      <top style="thin">
        <color rgb="FFD0D9EC"/>
      </top>
      <bottom style="thin">
        <color theme="9" tint="-0.24994659260841701"/>
      </bottom>
      <diagonal/>
    </border>
    <border>
      <left style="thin">
        <color theme="5" tint="-0.24994659260841701"/>
      </left>
      <right style="thin">
        <color theme="5" tint="-0.24994659260841701"/>
      </right>
      <top style="thin">
        <color theme="5" tint="-0.24994659260841701"/>
      </top>
      <bottom style="thin">
        <color theme="5" tint="-0.24994659260841701"/>
      </bottom>
      <diagonal/>
    </border>
    <border>
      <left style="thin">
        <color theme="5" tint="-0.24994659260841701"/>
      </left>
      <right style="thin">
        <color theme="5" tint="-0.24994659260841701"/>
      </right>
      <top style="thin">
        <color theme="5" tint="-0.24994659260841701"/>
      </top>
      <bottom style="thin">
        <color rgb="FFD0D9EC"/>
      </bottom>
      <diagonal/>
    </border>
    <border>
      <left style="thin">
        <color theme="5" tint="-0.24994659260841701"/>
      </left>
      <right style="thin">
        <color theme="5" tint="-0.24994659260841701"/>
      </right>
      <top style="thin">
        <color rgb="FFD0D9EC"/>
      </top>
      <bottom style="thin">
        <color rgb="FFD0D9EC"/>
      </bottom>
      <diagonal/>
    </border>
    <border>
      <left style="thin">
        <color theme="5" tint="-0.24994659260841701"/>
      </left>
      <right style="thin">
        <color theme="5" tint="-0.24994659260841701"/>
      </right>
      <top style="thin">
        <color rgb="FFD0D9EC"/>
      </top>
      <bottom style="thin">
        <color theme="5" tint="-0.24994659260841701"/>
      </bottom>
      <diagonal/>
    </border>
    <border>
      <left style="thin">
        <color rgb="FFC00000"/>
      </left>
      <right/>
      <top style="thin">
        <color rgb="FFC00000"/>
      </top>
      <bottom/>
      <diagonal/>
    </border>
    <border>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top/>
      <bottom style="thin">
        <color rgb="FFC00000"/>
      </bottom>
      <diagonal/>
    </border>
    <border>
      <left/>
      <right style="thin">
        <color rgb="FFC00000"/>
      </right>
      <top/>
      <bottom style="thin">
        <color rgb="FFC00000"/>
      </bottom>
      <diagonal/>
    </border>
    <border>
      <left style="thin">
        <color theme="9"/>
      </left>
      <right/>
      <top style="thin">
        <color theme="9"/>
      </top>
      <bottom/>
      <diagonal/>
    </border>
    <border>
      <left style="thin">
        <color theme="9"/>
      </left>
      <right/>
      <top/>
      <bottom style="thin">
        <color theme="9"/>
      </bottom>
      <diagonal/>
    </border>
    <border>
      <left/>
      <right/>
      <top style="thin">
        <color rgb="FFD0D9EC"/>
      </top>
      <bottom style="thin">
        <color theme="7" tint="-0.24994659260841701"/>
      </bottom>
      <diagonal/>
    </border>
    <border>
      <left style="thin">
        <color theme="9" tint="-0.24994659260841701"/>
      </left>
      <right style="thin">
        <color theme="9" tint="-0.24994659260841701"/>
      </right>
      <top style="thin">
        <color theme="9" tint="-0.24994659260841701"/>
      </top>
      <bottom style="thin">
        <color theme="9" tint="-0.24994659260841701"/>
      </bottom>
      <diagonal/>
    </border>
    <border>
      <left style="thin">
        <color theme="5"/>
      </left>
      <right/>
      <top/>
      <bottom style="thin">
        <color rgb="FFD0D9EC"/>
      </bottom>
      <diagonal/>
    </border>
    <border>
      <left style="hair">
        <color auto="1"/>
      </left>
      <right style="hair">
        <color auto="1"/>
      </right>
      <top style="hair">
        <color auto="1"/>
      </top>
      <bottom style="hair">
        <color auto="1"/>
      </bottom>
      <diagonal/>
    </border>
    <border>
      <left style="thin">
        <color rgb="FFD0D9EC"/>
      </left>
      <right style="thin">
        <color rgb="FFD0D9EC"/>
      </right>
      <top style="thin">
        <color rgb="FFD0D9EC"/>
      </top>
      <bottom style="thin">
        <color rgb="FFD0D9EC"/>
      </bottom>
      <diagonal/>
    </border>
    <border>
      <left style="thin">
        <color rgb="FFD0D9EC"/>
      </left>
      <right/>
      <top/>
      <bottom/>
      <diagonal/>
    </border>
    <border>
      <left style="thin">
        <color rgb="FFD0D9EC"/>
      </left>
      <right/>
      <top style="thin">
        <color rgb="FFD0D9EC"/>
      </top>
      <bottom/>
      <diagonal/>
    </border>
    <border>
      <left/>
      <right style="thin">
        <color rgb="FFD0D9EC"/>
      </right>
      <top style="thin">
        <color rgb="FFD0D9EC"/>
      </top>
      <bottom/>
      <diagonal/>
    </border>
    <border>
      <left/>
      <right style="thin">
        <color rgb="FFD0D9EC"/>
      </right>
      <top/>
      <bottom/>
      <diagonal/>
    </border>
    <border>
      <left style="thin">
        <color rgb="FFD0D9EC"/>
      </left>
      <right/>
      <top/>
      <bottom style="thin">
        <color rgb="FFD0D9EC"/>
      </bottom>
      <diagonal/>
    </border>
    <border>
      <left/>
      <right style="thin">
        <color rgb="FFD0D9EC"/>
      </right>
      <top/>
      <bottom style="thin">
        <color rgb="FFD0D9EC"/>
      </bottom>
      <diagonal/>
    </border>
    <border>
      <left/>
      <right/>
      <top style="dashed">
        <color theme="5"/>
      </top>
      <bottom style="dashed">
        <color theme="5"/>
      </bottom>
      <diagonal/>
    </border>
    <border>
      <left style="thick">
        <color theme="7"/>
      </left>
      <right/>
      <top style="thick">
        <color theme="7"/>
      </top>
      <bottom/>
      <diagonal/>
    </border>
    <border>
      <left/>
      <right/>
      <top style="thick">
        <color theme="7"/>
      </top>
      <bottom/>
      <diagonal/>
    </border>
    <border>
      <left/>
      <right style="thick">
        <color theme="7"/>
      </right>
      <top style="thick">
        <color theme="7"/>
      </top>
      <bottom/>
      <diagonal/>
    </border>
    <border>
      <left style="thick">
        <color theme="7"/>
      </left>
      <right/>
      <top/>
      <bottom/>
      <diagonal/>
    </border>
    <border>
      <left/>
      <right style="thick">
        <color theme="7"/>
      </right>
      <top/>
      <bottom/>
      <diagonal/>
    </border>
    <border>
      <left style="thick">
        <color theme="7"/>
      </left>
      <right/>
      <top style="thin">
        <color rgb="FFD0D9EC"/>
      </top>
      <bottom style="thin">
        <color rgb="FFD0D9EC"/>
      </bottom>
      <diagonal/>
    </border>
    <border>
      <left/>
      <right style="thick">
        <color theme="7"/>
      </right>
      <top style="thin">
        <color rgb="FFD0D9EC"/>
      </top>
      <bottom style="thin">
        <color rgb="FFD0D9EC"/>
      </bottom>
      <diagonal/>
    </border>
    <border>
      <left style="thick">
        <color theme="7"/>
      </left>
      <right/>
      <top style="thin">
        <color rgb="FFD0D9EC"/>
      </top>
      <bottom style="thick">
        <color theme="7"/>
      </bottom>
      <diagonal/>
    </border>
    <border>
      <left/>
      <right/>
      <top style="thin">
        <color rgb="FFD0D9EC"/>
      </top>
      <bottom style="thick">
        <color theme="7"/>
      </bottom>
      <diagonal/>
    </border>
    <border>
      <left/>
      <right/>
      <top/>
      <bottom style="thick">
        <color theme="7"/>
      </bottom>
      <diagonal/>
    </border>
    <border>
      <left/>
      <right style="thick">
        <color theme="7"/>
      </right>
      <top style="thin">
        <color rgb="FFD0D9EC"/>
      </top>
      <bottom style="thick">
        <color theme="7"/>
      </bottom>
      <diagonal/>
    </border>
    <border>
      <left style="thick">
        <color theme="7"/>
      </left>
      <right/>
      <top style="thick">
        <color theme="7"/>
      </top>
      <bottom style="thick">
        <color theme="7"/>
      </bottom>
      <diagonal/>
    </border>
    <border>
      <left/>
      <right/>
      <top style="thick">
        <color theme="7"/>
      </top>
      <bottom style="thick">
        <color theme="7"/>
      </bottom>
      <diagonal/>
    </border>
    <border>
      <left/>
      <right style="thick">
        <color theme="7"/>
      </right>
      <top style="thick">
        <color theme="7"/>
      </top>
      <bottom style="thick">
        <color theme="7"/>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theme="8" tint="0.39994506668294322"/>
      </left>
      <right/>
      <top style="thin">
        <color theme="8" tint="0.39994506668294322"/>
      </top>
      <bottom/>
      <diagonal/>
    </border>
    <border>
      <left/>
      <right/>
      <top style="thin">
        <color theme="8" tint="0.39994506668294322"/>
      </top>
      <bottom/>
      <diagonal/>
    </border>
    <border>
      <left/>
      <right style="thin">
        <color theme="8" tint="0.39994506668294322"/>
      </right>
      <top style="thin">
        <color theme="8" tint="0.39994506668294322"/>
      </top>
      <bottom/>
      <diagonal/>
    </border>
    <border>
      <left style="thin">
        <color theme="8" tint="0.39994506668294322"/>
      </left>
      <right/>
      <top/>
      <bottom/>
      <diagonal/>
    </border>
    <border>
      <left/>
      <right style="thin">
        <color theme="8" tint="0.39994506668294322"/>
      </right>
      <top/>
      <bottom/>
      <diagonal/>
    </border>
    <border>
      <left style="thin">
        <color theme="4"/>
      </left>
      <right style="thin">
        <color theme="4"/>
      </right>
      <top style="thin">
        <color theme="4"/>
      </top>
      <bottom style="thin">
        <color theme="4"/>
      </bottom>
      <diagonal/>
    </border>
    <border>
      <left style="thin">
        <color theme="8" tint="0.39994506668294322"/>
      </left>
      <right/>
      <top/>
      <bottom style="thin">
        <color theme="8" tint="0.39994506668294322"/>
      </bottom>
      <diagonal/>
    </border>
    <border>
      <left/>
      <right/>
      <top/>
      <bottom style="thin">
        <color theme="8" tint="0.39994506668294322"/>
      </bottom>
      <diagonal/>
    </border>
    <border>
      <left/>
      <right style="thin">
        <color theme="8" tint="0.39994506668294322"/>
      </right>
      <top/>
      <bottom style="thin">
        <color theme="8" tint="0.39994506668294322"/>
      </bottom>
      <diagonal/>
    </border>
    <border>
      <left style="thin">
        <color theme="5" tint="0.39994506668294322"/>
      </left>
      <right/>
      <top style="thin">
        <color theme="5" tint="0.39994506668294322"/>
      </top>
      <bottom/>
      <diagonal/>
    </border>
    <border>
      <left/>
      <right/>
      <top style="thin">
        <color theme="5" tint="0.39994506668294322"/>
      </top>
      <bottom/>
      <diagonal/>
    </border>
    <border>
      <left/>
      <right style="thin">
        <color theme="5" tint="0.39994506668294322"/>
      </right>
      <top style="thin">
        <color theme="5" tint="0.39994506668294322"/>
      </top>
      <bottom/>
      <diagonal/>
    </border>
    <border>
      <left style="thin">
        <color theme="5" tint="0.39994506668294322"/>
      </left>
      <right/>
      <top/>
      <bottom/>
      <diagonal/>
    </border>
    <border>
      <left/>
      <right style="thin">
        <color theme="5" tint="0.39994506668294322"/>
      </right>
      <top/>
      <bottom/>
      <diagonal/>
    </border>
    <border>
      <left style="thin">
        <color theme="5" tint="0.39994506668294322"/>
      </left>
      <right/>
      <top/>
      <bottom style="thin">
        <color theme="5" tint="0.39994506668294322"/>
      </bottom>
      <diagonal/>
    </border>
    <border>
      <left/>
      <right/>
      <top/>
      <bottom style="thin">
        <color theme="5" tint="0.39994506668294322"/>
      </bottom>
      <diagonal/>
    </border>
    <border>
      <left/>
      <right style="thin">
        <color theme="5" tint="0.39994506668294322"/>
      </right>
      <top/>
      <bottom style="thin">
        <color theme="5" tint="0.39994506668294322"/>
      </bottom>
      <diagonal/>
    </border>
    <border>
      <left style="thin">
        <color theme="9" tint="0.39994506668294322"/>
      </left>
      <right/>
      <top style="thin">
        <color theme="9" tint="0.39994506668294322"/>
      </top>
      <bottom/>
      <diagonal/>
    </border>
    <border>
      <left/>
      <right/>
      <top style="thin">
        <color theme="9" tint="0.39994506668294322"/>
      </top>
      <bottom/>
      <diagonal/>
    </border>
    <border>
      <left/>
      <right style="thin">
        <color theme="9" tint="0.39994506668294322"/>
      </right>
      <top style="thin">
        <color theme="9" tint="0.39994506668294322"/>
      </top>
      <bottom/>
      <diagonal/>
    </border>
    <border>
      <left style="thin">
        <color theme="9" tint="0.39994506668294322"/>
      </left>
      <right/>
      <top/>
      <bottom/>
      <diagonal/>
    </border>
    <border>
      <left/>
      <right style="thin">
        <color theme="9" tint="-0.24994659260841701"/>
      </right>
      <top/>
      <bottom/>
      <diagonal/>
    </border>
    <border>
      <left/>
      <right style="thin">
        <color theme="9" tint="0.39994506668294322"/>
      </right>
      <top/>
      <bottom/>
      <diagonal/>
    </border>
    <border>
      <left style="thin">
        <color theme="9" tint="0.39994506668294322"/>
      </left>
      <right/>
      <top/>
      <bottom style="thin">
        <color theme="9" tint="0.39994506668294322"/>
      </bottom>
      <diagonal/>
    </border>
    <border>
      <left/>
      <right/>
      <top/>
      <bottom style="thin">
        <color theme="9" tint="0.39994506668294322"/>
      </bottom>
      <diagonal/>
    </border>
    <border>
      <left/>
      <right style="thin">
        <color theme="9" tint="0.39994506668294322"/>
      </right>
      <top/>
      <bottom style="thin">
        <color theme="9" tint="0.39994506668294322"/>
      </bottom>
      <diagonal/>
    </border>
    <border>
      <left/>
      <right/>
      <top style="thin">
        <color theme="0" tint="-0.24994659260841701"/>
      </top>
      <bottom style="thin">
        <color theme="0" tint="-0.24994659260841701"/>
      </bottom>
      <diagonal/>
    </border>
  </borders>
  <cellStyleXfs count="41">
    <xf numFmtId="0" fontId="0" fillId="0" borderId="0"/>
    <xf numFmtId="0" fontId="19" fillId="0" borderId="0"/>
    <xf numFmtId="0" fontId="20" fillId="0" borderId="0" applyNumberFormat="0" applyFill="0" applyBorder="0" applyAlignment="0" applyProtection="0"/>
    <xf numFmtId="0" fontId="19" fillId="7" borderId="0" applyNumberFormat="0" applyFont="0" applyBorder="0" applyAlignment="0"/>
    <xf numFmtId="0" fontId="21" fillId="8" borderId="0" applyNumberFormat="0" applyFont="0" applyBorder="0" applyAlignment="0"/>
    <xf numFmtId="0" fontId="21" fillId="9" borderId="0" applyNumberFormat="0" applyBorder="0" applyAlignment="0"/>
    <xf numFmtId="0" fontId="22" fillId="4" borderId="2" applyNumberFormat="0" applyAlignment="0">
      <protection locked="0"/>
    </xf>
    <xf numFmtId="165" fontId="12" fillId="10" borderId="1" applyAlignment="0">
      <alignment horizontal="center" vertical="center"/>
    </xf>
    <xf numFmtId="0" fontId="23" fillId="0" borderId="0"/>
    <xf numFmtId="9" fontId="23" fillId="0" borderId="0" applyFont="0" applyFill="0" applyBorder="0" applyAlignment="0" applyProtection="0"/>
    <xf numFmtId="0" fontId="24" fillId="0" borderId="0" applyNumberFormat="0" applyFill="0" applyBorder="0" applyAlignment="0" applyProtection="0"/>
    <xf numFmtId="0" fontId="27" fillId="3" borderId="0" applyNumberFormat="0" applyBorder="0" applyAlignment="0">
      <alignment vertical="center"/>
    </xf>
    <xf numFmtId="0" fontId="38" fillId="3" borderId="0" applyNumberFormat="0" applyBorder="0" applyAlignment="0">
      <alignment vertical="center"/>
    </xf>
    <xf numFmtId="0" fontId="8" fillId="4" borderId="0" applyNumberFormat="0" applyBorder="0" applyAlignment="0"/>
    <xf numFmtId="0" fontId="13" fillId="5" borderId="1" applyNumberFormat="0" applyAlignment="0">
      <alignment horizontal="left" vertical="center"/>
    </xf>
    <xf numFmtId="3" fontId="14" fillId="4" borderId="1" applyNumberFormat="0" applyAlignment="0">
      <alignment horizontal="right" vertical="center"/>
      <protection locked="0"/>
    </xf>
    <xf numFmtId="0" fontId="13" fillId="3" borderId="1" applyNumberFormat="0" applyAlignment="0">
      <alignment horizontal="left" vertical="center"/>
    </xf>
    <xf numFmtId="0" fontId="28" fillId="2" borderId="1" applyNumberFormat="0" applyAlignment="0">
      <alignment horizontal="center" vertical="center"/>
    </xf>
    <xf numFmtId="3" fontId="14" fillId="6" borderId="1" applyNumberFormat="0" applyAlignment="0">
      <alignment horizontal="center" vertical="top" wrapText="1"/>
    </xf>
    <xf numFmtId="0" fontId="26" fillId="4" borderId="0" applyNumberFormat="0" applyAlignment="0">
      <alignment horizontal="center" vertical="center"/>
    </xf>
    <xf numFmtId="9" fontId="11" fillId="0" borderId="0" applyFont="0" applyFill="0" applyBorder="0" applyAlignment="0" applyProtection="0"/>
    <xf numFmtId="0" fontId="5" fillId="0" borderId="0"/>
    <xf numFmtId="0" fontId="34" fillId="3" borderId="0" applyNumberFormat="0" applyAlignment="0"/>
    <xf numFmtId="0" fontId="35" fillId="11" borderId="0" applyNumberFormat="0" applyBorder="0" applyAlignment="0">
      <alignment vertical="top"/>
    </xf>
    <xf numFmtId="0" fontId="36" fillId="11" borderId="0" applyNumberFormat="0" applyBorder="0" applyAlignment="0">
      <alignment vertical="top"/>
    </xf>
    <xf numFmtId="2" fontId="66" fillId="4" borderId="0" applyNumberFormat="0">
      <alignment horizontal="center" vertical="top"/>
      <protection hidden="1"/>
    </xf>
    <xf numFmtId="3" fontId="67" fillId="4" borderId="0" applyNumberFormat="0" applyBorder="0" applyAlignment="0" applyProtection="0">
      <alignment horizontal="right" vertical="top"/>
    </xf>
    <xf numFmtId="3" fontId="69" fillId="0" borderId="3" applyNumberFormat="0" applyFill="0" applyBorder="0" applyAlignment="0">
      <alignment horizontal="left" vertical="top"/>
    </xf>
    <xf numFmtId="0" fontId="70" fillId="17" borderId="0" applyNumberFormat="0" applyFill="0" applyBorder="0" applyAlignment="0">
      <alignment horizontal="right" vertical="top"/>
    </xf>
    <xf numFmtId="3" fontId="72" fillId="18" borderId="36" applyNumberFormat="0" applyBorder="0" applyAlignment="0">
      <alignment vertical="top"/>
    </xf>
    <xf numFmtId="3" fontId="75" fillId="19" borderId="34" applyNumberFormat="0" applyBorder="0" applyAlignment="0">
      <alignment vertical="top"/>
    </xf>
    <xf numFmtId="3" fontId="76" fillId="18" borderId="3" applyNumberFormat="0" applyBorder="0" applyAlignment="0">
      <alignment vertical="top" wrapText="1"/>
    </xf>
    <xf numFmtId="3" fontId="75" fillId="20" borderId="0" applyBorder="0" applyAlignment="0">
      <alignment horizontal="right" vertical="center"/>
    </xf>
    <xf numFmtId="0" fontId="92" fillId="0" borderId="0" applyNumberFormat="0" applyFill="0" applyBorder="0" applyAlignment="0" applyProtection="0"/>
    <xf numFmtId="0" fontId="4" fillId="0" borderId="0"/>
    <xf numFmtId="0" fontId="3" fillId="0" borderId="0"/>
    <xf numFmtId="9" fontId="3" fillId="0" borderId="0" applyFont="0" applyFill="0" applyBorder="0" applyAlignment="0" applyProtection="0"/>
    <xf numFmtId="0" fontId="11" fillId="0" borderId="0"/>
    <xf numFmtId="0" fontId="2" fillId="0" borderId="0"/>
    <xf numFmtId="0" fontId="1" fillId="0" borderId="0"/>
    <xf numFmtId="9" fontId="1" fillId="0" borderId="0" applyFont="0" applyFill="0" applyBorder="0" applyAlignment="0" applyProtection="0"/>
  </cellStyleXfs>
  <cellXfs count="1778">
    <xf numFmtId="0" fontId="0" fillId="0" borderId="0" xfId="0"/>
    <xf numFmtId="0" fontId="10" fillId="3" borderId="0" xfId="0" applyFont="1" applyFill="1" applyAlignment="1">
      <alignment vertical="center"/>
    </xf>
    <xf numFmtId="0" fontId="6" fillId="0" borderId="0" xfId="0" applyFont="1"/>
    <xf numFmtId="0" fontId="13" fillId="5" borderId="0" xfId="0" applyFont="1" applyFill="1" applyAlignment="1">
      <alignment horizontal="left" vertical="center"/>
    </xf>
    <xf numFmtId="0" fontId="15" fillId="5" borderId="0" xfId="0" applyFont="1" applyFill="1" applyAlignment="1">
      <alignment horizontal="right" vertical="center"/>
    </xf>
    <xf numFmtId="0" fontId="6" fillId="0" borderId="0" xfId="0" applyFont="1" applyAlignment="1">
      <alignment vertical="center"/>
    </xf>
    <xf numFmtId="0" fontId="7" fillId="0" borderId="0" xfId="0" applyFont="1" applyAlignment="1">
      <alignment vertical="center"/>
    </xf>
    <xf numFmtId="0" fontId="16" fillId="5" borderId="0" xfId="0" applyFont="1" applyFill="1" applyAlignment="1">
      <alignment horizontal="right" vertical="center"/>
    </xf>
    <xf numFmtId="0" fontId="17" fillId="0" borderId="0" xfId="0" applyFont="1"/>
    <xf numFmtId="0" fontId="18" fillId="0" borderId="0" xfId="0" applyFont="1" applyAlignment="1">
      <alignment horizontal="center"/>
    </xf>
    <xf numFmtId="165" fontId="12" fillId="10" borderId="1" xfId="7" applyAlignment="1">
      <alignment horizontal="center" vertical="center"/>
    </xf>
    <xf numFmtId="0" fontId="17" fillId="3" borderId="0" xfId="0" applyFont="1" applyFill="1" applyAlignment="1">
      <alignment horizontal="center" vertical="center"/>
    </xf>
    <xf numFmtId="0" fontId="27" fillId="3" borderId="0" xfId="11" applyAlignment="1">
      <alignment vertical="center"/>
    </xf>
    <xf numFmtId="0" fontId="27" fillId="3" borderId="0" xfId="11" applyAlignment="1">
      <alignment horizontal="right" vertical="center"/>
    </xf>
    <xf numFmtId="0" fontId="27" fillId="3" borderId="0" xfId="11" applyAlignment="1">
      <alignment horizontal="center" vertical="center"/>
    </xf>
    <xf numFmtId="0" fontId="27" fillId="3" borderId="0" xfId="11" applyBorder="1" applyAlignment="1">
      <alignment vertical="center"/>
    </xf>
    <xf numFmtId="0" fontId="27" fillId="3" borderId="0" xfId="11" applyBorder="1" applyAlignment="1">
      <alignment horizontal="right" vertical="center"/>
    </xf>
    <xf numFmtId="0" fontId="38" fillId="3" borderId="0" xfId="12" applyAlignment="1">
      <alignment horizontal="right" vertical="center"/>
    </xf>
    <xf numFmtId="0" fontId="8" fillId="4" borderId="0" xfId="13"/>
    <xf numFmtId="0" fontId="8" fillId="4" borderId="0" xfId="13" applyAlignment="1">
      <alignment vertical="center"/>
    </xf>
    <xf numFmtId="0" fontId="8" fillId="4" borderId="0" xfId="13" applyAlignment="1">
      <alignment horizontal="right"/>
    </xf>
    <xf numFmtId="0" fontId="8" fillId="4" borderId="0" xfId="13" applyAlignment="1">
      <alignment horizontal="center"/>
    </xf>
    <xf numFmtId="0" fontId="13" fillId="5" borderId="1" xfId="14" applyAlignment="1">
      <alignment horizontal="left" vertical="center"/>
    </xf>
    <xf numFmtId="0" fontId="13" fillId="5" borderId="1" xfId="14" applyAlignment="1">
      <alignment horizontal="right" vertical="center"/>
    </xf>
    <xf numFmtId="3" fontId="13" fillId="5" borderId="1" xfId="14" applyNumberFormat="1" applyAlignment="1">
      <alignment horizontal="right" vertical="center"/>
    </xf>
    <xf numFmtId="3" fontId="14" fillId="4" borderId="1" xfId="15" applyNumberFormat="1" applyAlignment="1">
      <alignment horizontal="right" vertical="center"/>
      <protection locked="0"/>
    </xf>
    <xf numFmtId="0" fontId="13" fillId="3" borderId="1" xfId="16" applyAlignment="1">
      <alignment horizontal="center" vertical="center"/>
    </xf>
    <xf numFmtId="0" fontId="28" fillId="2" borderId="1" xfId="17" applyAlignment="1">
      <alignment horizontal="center" vertical="center"/>
    </xf>
    <xf numFmtId="0" fontId="28" fillId="2" borderId="1" xfId="17" applyAlignment="1">
      <alignment vertical="center"/>
    </xf>
    <xf numFmtId="0" fontId="8" fillId="4" borderId="0" xfId="13" applyAlignment="1">
      <alignment horizontal="right" vertical="center"/>
    </xf>
    <xf numFmtId="0" fontId="8" fillId="4" borderId="0" xfId="13" applyAlignment="1">
      <alignment horizontal="left" vertical="center"/>
    </xf>
    <xf numFmtId="0" fontId="8" fillId="4" borderId="0" xfId="13" applyAlignment="1">
      <alignment horizontal="left" indent="1"/>
    </xf>
    <xf numFmtId="0" fontId="28" fillId="2" borderId="1" xfId="17" applyAlignment="1">
      <alignment horizontal="left" vertical="center" indent="1"/>
    </xf>
    <xf numFmtId="0" fontId="28" fillId="2" borderId="1" xfId="17" applyAlignment="1"/>
    <xf numFmtId="0" fontId="27" fillId="3" borderId="0" xfId="11" applyAlignment="1">
      <alignment horizontal="left" vertical="center" indent="1"/>
    </xf>
    <xf numFmtId="0" fontId="27" fillId="3" borderId="0" xfId="11" applyAlignment="1"/>
    <xf numFmtId="4" fontId="27" fillId="3" borderId="0" xfId="11" applyNumberFormat="1" applyAlignment="1">
      <alignment horizontal="left" vertical="center"/>
    </xf>
    <xf numFmtId="0" fontId="8" fillId="4" borderId="0" xfId="13" applyAlignment="1">
      <alignment horizontal="center" vertical="center"/>
    </xf>
    <xf numFmtId="0" fontId="13" fillId="5" borderId="1" xfId="14" applyAlignment="1">
      <alignment horizontal="center" vertical="center"/>
    </xf>
    <xf numFmtId="0" fontId="27" fillId="3" borderId="0" xfId="11" applyAlignment="1">
      <alignment horizontal="left" vertical="top"/>
    </xf>
    <xf numFmtId="0" fontId="27" fillId="3" borderId="0" xfId="11" applyAlignment="1">
      <alignment horizontal="right" vertical="top"/>
    </xf>
    <xf numFmtId="0" fontId="27" fillId="3" borderId="0" xfId="11" applyAlignment="1">
      <alignment horizontal="left" vertical="center"/>
    </xf>
    <xf numFmtId="0" fontId="14" fillId="4" borderId="1" xfId="15" applyNumberFormat="1" applyAlignment="1">
      <alignment vertical="center"/>
      <protection locked="0"/>
    </xf>
    <xf numFmtId="0" fontId="27" fillId="3" borderId="0" xfId="11" applyBorder="1" applyAlignment="1">
      <alignment horizontal="left" vertical="center"/>
    </xf>
    <xf numFmtId="3" fontId="27" fillId="3" borderId="0" xfId="11" applyNumberFormat="1" applyBorder="1" applyAlignment="1">
      <alignment horizontal="left" vertical="center"/>
    </xf>
    <xf numFmtId="0" fontId="13" fillId="5" borderId="1" xfId="14" applyAlignment="1">
      <alignment horizontal="left" vertical="top"/>
    </xf>
    <xf numFmtId="3" fontId="13" fillId="5" borderId="1" xfId="14" applyNumberFormat="1" applyAlignment="1">
      <alignment horizontal="left" vertical="center"/>
    </xf>
    <xf numFmtId="4" fontId="13" fillId="5" borderId="1" xfId="14" applyNumberFormat="1" applyAlignment="1">
      <alignment horizontal="left" vertical="center"/>
    </xf>
    <xf numFmtId="3" fontId="13" fillId="5" borderId="1" xfId="14" applyNumberFormat="1" applyAlignment="1">
      <alignment horizontal="center" vertical="center"/>
    </xf>
    <xf numFmtId="0" fontId="15" fillId="4" borderId="0" xfId="13" applyFont="1" applyAlignment="1">
      <alignment horizontal="right" vertical="center"/>
    </xf>
    <xf numFmtId="0" fontId="25" fillId="3" borderId="0" xfId="11" applyFont="1" applyAlignment="1">
      <alignment horizontal="center" vertical="center"/>
    </xf>
    <xf numFmtId="0" fontId="9" fillId="3" borderId="0" xfId="0" applyFont="1" applyFill="1" applyAlignment="1">
      <alignment vertical="center"/>
    </xf>
    <xf numFmtId="0" fontId="13" fillId="5" borderId="4" xfId="14" applyBorder="1" applyAlignment="1">
      <alignment horizontal="left" vertical="center"/>
    </xf>
    <xf numFmtId="2" fontId="27" fillId="3" borderId="0" xfId="11" applyNumberFormat="1" applyBorder="1" applyAlignment="1">
      <alignment horizontal="center" vertical="center"/>
    </xf>
    <xf numFmtId="3" fontId="27" fillId="3" borderId="0" xfId="11" applyNumberFormat="1" applyBorder="1" applyAlignment="1">
      <alignment horizontal="right" vertical="center"/>
    </xf>
    <xf numFmtId="166" fontId="27" fillId="3" borderId="0" xfId="11" applyNumberFormat="1" applyBorder="1" applyAlignment="1">
      <alignment horizontal="left" vertical="center"/>
    </xf>
    <xf numFmtId="4" fontId="27" fillId="3" borderId="0" xfId="11" applyNumberFormat="1" applyBorder="1" applyAlignment="1">
      <alignment horizontal="left" vertical="center"/>
    </xf>
    <xf numFmtId="0" fontId="13" fillId="3" borderId="1" xfId="16" applyAlignment="1">
      <alignment horizontal="left" vertical="center"/>
    </xf>
    <xf numFmtId="2" fontId="13" fillId="3" borderId="1" xfId="16" applyNumberFormat="1" applyAlignment="1">
      <alignment horizontal="center" vertical="center"/>
    </xf>
    <xf numFmtId="166" fontId="13" fillId="5" borderId="1" xfId="14" applyNumberFormat="1" applyAlignment="1">
      <alignment horizontal="right" vertical="center"/>
    </xf>
    <xf numFmtId="0" fontId="27" fillId="3" borderId="0" xfId="11" applyAlignment="1">
      <alignment horizontal="left" vertical="center" wrapText="1"/>
    </xf>
    <xf numFmtId="165" fontId="13" fillId="5" borderId="1" xfId="14" applyNumberFormat="1" applyAlignment="1">
      <alignment horizontal="center" vertical="center" wrapText="1"/>
    </xf>
    <xf numFmtId="165" fontId="13" fillId="5" borderId="1" xfId="14" applyNumberFormat="1" applyAlignment="1">
      <alignment horizontal="left" vertical="center" wrapText="1"/>
    </xf>
    <xf numFmtId="165" fontId="13" fillId="5" borderId="1" xfId="14" applyNumberFormat="1" applyAlignment="1">
      <alignment horizontal="left" vertical="top" wrapText="1"/>
    </xf>
    <xf numFmtId="0" fontId="13" fillId="3" borderId="1" xfId="16" applyAlignment="1">
      <alignment horizontal="right" vertical="center"/>
    </xf>
    <xf numFmtId="3" fontId="14" fillId="4" borderId="1" xfId="15" applyNumberFormat="1" applyAlignment="1">
      <alignment horizontal="left" vertical="center" wrapText="1"/>
      <protection locked="0"/>
    </xf>
    <xf numFmtId="0" fontId="14" fillId="4" borderId="1" xfId="15" applyNumberFormat="1" applyAlignment="1">
      <alignment horizontal="left" vertical="center" wrapText="1"/>
      <protection locked="0"/>
    </xf>
    <xf numFmtId="0" fontId="27" fillId="3" borderId="0" xfId="11" applyBorder="1" applyAlignment="1">
      <alignment horizontal="center" vertical="center"/>
    </xf>
    <xf numFmtId="0" fontId="27" fillId="3" borderId="5" xfId="11" applyBorder="1" applyAlignment="1">
      <alignment vertical="center"/>
    </xf>
    <xf numFmtId="167" fontId="13" fillId="5" borderId="1" xfId="14" applyNumberFormat="1" applyAlignment="1">
      <alignment horizontal="center" vertical="center"/>
    </xf>
    <xf numFmtId="167" fontId="13" fillId="3" borderId="1" xfId="16" applyNumberFormat="1" applyAlignment="1">
      <alignment horizontal="center" vertical="center"/>
    </xf>
    <xf numFmtId="170" fontId="13" fillId="5" borderId="1" xfId="14" applyNumberFormat="1" applyAlignment="1">
      <alignment vertical="center"/>
    </xf>
    <xf numFmtId="170" fontId="14" fillId="4" borderId="1" xfId="15" applyNumberFormat="1" applyAlignment="1">
      <alignment horizontal="right" vertical="center"/>
      <protection locked="0"/>
    </xf>
    <xf numFmtId="170" fontId="14" fillId="4" borderId="1" xfId="15" applyNumberFormat="1" applyAlignment="1">
      <alignment vertical="center"/>
      <protection locked="0"/>
    </xf>
    <xf numFmtId="165" fontId="14" fillId="4" borderId="1" xfId="15" applyNumberFormat="1" applyAlignment="1">
      <alignment horizontal="center" vertical="center"/>
      <protection locked="0"/>
    </xf>
    <xf numFmtId="0" fontId="13" fillId="5" borderId="5" xfId="14" applyBorder="1" applyAlignment="1">
      <alignment horizontal="left" vertical="center"/>
    </xf>
    <xf numFmtId="0" fontId="13" fillId="5" borderId="4" xfId="14" applyBorder="1" applyAlignment="1">
      <alignment horizontal="center" vertical="center"/>
    </xf>
    <xf numFmtId="0" fontId="13" fillId="5" borderId="5" xfId="14" applyBorder="1" applyAlignment="1">
      <alignment horizontal="center" vertical="center"/>
    </xf>
    <xf numFmtId="0" fontId="30" fillId="3" borderId="0" xfId="0" applyFont="1" applyFill="1" applyAlignment="1">
      <alignment horizontal="center" vertical="center"/>
    </xf>
    <xf numFmtId="0" fontId="27" fillId="3" borderId="5" xfId="11" applyBorder="1" applyAlignment="1">
      <alignment horizontal="center" vertical="center"/>
    </xf>
    <xf numFmtId="0" fontId="10" fillId="3" borderId="0" xfId="0" applyFont="1" applyFill="1" applyAlignment="1">
      <alignment horizontal="center" vertical="center"/>
    </xf>
    <xf numFmtId="0" fontId="27" fillId="3" borderId="4" xfId="11" applyBorder="1" applyAlignment="1">
      <alignment horizontal="left" vertical="center"/>
    </xf>
    <xf numFmtId="167" fontId="27" fillId="3" borderId="4" xfId="11" applyNumberFormat="1" applyBorder="1" applyAlignment="1">
      <alignment horizontal="center" vertical="center"/>
    </xf>
    <xf numFmtId="167" fontId="14" fillId="6" borderId="1" xfId="18" applyNumberFormat="1" applyAlignment="1">
      <alignment horizontal="center" vertical="center"/>
    </xf>
    <xf numFmtId="0" fontId="8" fillId="4" borderId="0" xfId="13" applyNumberFormat="1" applyBorder="1" applyAlignment="1"/>
    <xf numFmtId="0" fontId="8" fillId="4" borderId="0" xfId="13" applyNumberFormat="1" applyBorder="1" applyAlignment="1">
      <alignment horizontal="center"/>
    </xf>
    <xf numFmtId="0" fontId="31" fillId="4" borderId="0" xfId="13" applyFont="1" applyAlignment="1">
      <alignment horizontal="right" vertical="center"/>
    </xf>
    <xf numFmtId="0" fontId="28" fillId="2" borderId="1" xfId="17" applyAlignment="1">
      <alignment horizontal="center"/>
    </xf>
    <xf numFmtId="0" fontId="27" fillId="3" borderId="1" xfId="11" applyBorder="1" applyAlignment="1">
      <alignment horizontal="center" vertical="center"/>
    </xf>
    <xf numFmtId="0" fontId="27" fillId="3" borderId="1" xfId="11" applyBorder="1" applyAlignment="1">
      <alignment vertical="center"/>
    </xf>
    <xf numFmtId="0" fontId="13" fillId="5" borderId="1" xfId="14" applyAlignment="1">
      <alignment vertical="center"/>
    </xf>
    <xf numFmtId="0" fontId="13" fillId="5" borderId="1" xfId="14" quotePrefix="1" applyAlignment="1">
      <alignment horizontal="left" vertical="center"/>
    </xf>
    <xf numFmtId="0" fontId="13" fillId="5" borderId="1" xfId="14" applyAlignment="1">
      <alignment horizontal="right" vertical="top"/>
    </xf>
    <xf numFmtId="167" fontId="14" fillId="6" borderId="1" xfId="18" applyNumberFormat="1" applyAlignment="1">
      <alignment horizontal="right" vertical="top"/>
    </xf>
    <xf numFmtId="3" fontId="14" fillId="6" borderId="1" xfId="18" applyNumberFormat="1" applyAlignment="1">
      <alignment horizontal="right" vertical="top" wrapText="1"/>
    </xf>
    <xf numFmtId="0" fontId="5" fillId="0" borderId="0" xfId="21"/>
    <xf numFmtId="9" fontId="5" fillId="0" borderId="0" xfId="20" applyFont="1"/>
    <xf numFmtId="167" fontId="5" fillId="0" borderId="0" xfId="21" applyNumberFormat="1" applyAlignment="1">
      <alignment horizontal="center"/>
    </xf>
    <xf numFmtId="3" fontId="14" fillId="4" borderId="1" xfId="15" applyNumberFormat="1" applyAlignment="1">
      <alignment horizontal="center"/>
      <protection locked="0"/>
    </xf>
    <xf numFmtId="167" fontId="14" fillId="4" borderId="1" xfId="15" applyNumberFormat="1" applyAlignment="1">
      <alignment horizontal="center"/>
      <protection locked="0"/>
    </xf>
    <xf numFmtId="4" fontId="14" fillId="4" borderId="1" xfId="15" applyNumberFormat="1" applyAlignment="1">
      <alignment horizontal="center"/>
      <protection locked="0"/>
    </xf>
    <xf numFmtId="167" fontId="13" fillId="5" borderId="1" xfId="14" applyNumberFormat="1" applyAlignment="1">
      <alignment horizontal="center"/>
    </xf>
    <xf numFmtId="9" fontId="27" fillId="3" borderId="0" xfId="11" applyNumberFormat="1" applyAlignment="1"/>
    <xf numFmtId="167" fontId="27" fillId="3" borderId="0" xfId="11" applyNumberFormat="1" applyAlignment="1">
      <alignment horizontal="center"/>
    </xf>
    <xf numFmtId="0" fontId="13" fillId="5" borderId="1" xfId="14" applyAlignment="1"/>
    <xf numFmtId="0" fontId="13" fillId="3" borderId="1" xfId="16" applyAlignment="1"/>
    <xf numFmtId="9" fontId="13" fillId="3" borderId="1" xfId="16" applyNumberFormat="1" applyAlignment="1"/>
    <xf numFmtId="167" fontId="13" fillId="3" borderId="1" xfId="16" applyNumberFormat="1" applyAlignment="1">
      <alignment horizontal="center"/>
    </xf>
    <xf numFmtId="0" fontId="5" fillId="0" borderId="0" xfId="21" applyAlignment="1">
      <alignment horizontal="left" indent="1"/>
    </xf>
    <xf numFmtId="0" fontId="27" fillId="3" borderId="0" xfId="11" applyAlignment="1">
      <alignment horizontal="left" indent="1"/>
    </xf>
    <xf numFmtId="0" fontId="13" fillId="5" borderId="1" xfId="14" applyAlignment="1">
      <alignment horizontal="left" indent="1"/>
    </xf>
    <xf numFmtId="0" fontId="13" fillId="3" borderId="1" xfId="16" applyAlignment="1">
      <alignment horizontal="center"/>
    </xf>
    <xf numFmtId="0" fontId="13" fillId="3" borderId="1" xfId="16" applyAlignment="1">
      <alignment horizontal="left" indent="1"/>
    </xf>
    <xf numFmtId="0" fontId="33" fillId="3" borderId="0" xfId="11" applyFont="1" applyAlignment="1"/>
    <xf numFmtId="0" fontId="34" fillId="3" borderId="0" xfId="11" applyFont="1" applyAlignment="1">
      <alignment horizontal="right"/>
    </xf>
    <xf numFmtId="4" fontId="13" fillId="5" borderId="1" xfId="14" applyNumberFormat="1" applyAlignment="1">
      <alignment horizontal="right" vertical="center"/>
    </xf>
    <xf numFmtId="0" fontId="8" fillId="4" borderId="0" xfId="13" applyAlignment="1">
      <alignment vertical="top"/>
    </xf>
    <xf numFmtId="0" fontId="18" fillId="0" borderId="0" xfId="0" applyFont="1" applyAlignment="1">
      <alignment horizontal="center" vertical="top"/>
    </xf>
    <xf numFmtId="0" fontId="13" fillId="3" borderId="1" xfId="16" applyAlignment="1">
      <alignment horizontal="left" vertical="top"/>
    </xf>
    <xf numFmtId="0" fontId="6" fillId="0" borderId="0" xfId="0" applyFont="1" applyAlignment="1">
      <alignment vertical="top"/>
    </xf>
    <xf numFmtId="0" fontId="18" fillId="0" borderId="0" xfId="0" applyFont="1" applyAlignment="1">
      <alignment horizontal="center" vertical="center"/>
    </xf>
    <xf numFmtId="0" fontId="14" fillId="6" borderId="1" xfId="18" applyNumberFormat="1" applyAlignment="1">
      <alignment horizontal="center" vertical="center"/>
    </xf>
    <xf numFmtId="0" fontId="27" fillId="3" borderId="4" xfId="11" applyBorder="1" applyAlignment="1">
      <alignment vertical="center"/>
    </xf>
    <xf numFmtId="0" fontId="27" fillId="3" borderId="4" xfId="11" applyBorder="1" applyAlignment="1">
      <alignment horizontal="center" vertical="center"/>
    </xf>
    <xf numFmtId="0" fontId="27" fillId="3" borderId="7" xfId="11" applyBorder="1" applyAlignment="1">
      <alignment vertical="center"/>
    </xf>
    <xf numFmtId="0" fontId="14" fillId="6" borderId="8" xfId="18" applyNumberFormat="1" applyBorder="1" applyAlignment="1">
      <alignment horizontal="center" vertical="center"/>
    </xf>
    <xf numFmtId="0" fontId="27" fillId="3" borderId="9" xfId="11" applyBorder="1" applyAlignment="1">
      <alignment vertical="center"/>
    </xf>
    <xf numFmtId="0" fontId="14" fillId="6" borderId="5" xfId="18" applyNumberFormat="1" applyBorder="1" applyAlignment="1">
      <alignment horizontal="center" vertical="center"/>
    </xf>
    <xf numFmtId="0" fontId="13" fillId="3" borderId="10" xfId="16" applyBorder="1" applyAlignment="1">
      <alignment horizontal="center" vertical="top" wrapText="1"/>
    </xf>
    <xf numFmtId="0" fontId="27" fillId="3" borderId="11" xfId="11" applyBorder="1" applyAlignment="1">
      <alignment vertical="top"/>
    </xf>
    <xf numFmtId="0" fontId="13" fillId="3" borderId="6" xfId="16" applyBorder="1" applyAlignment="1">
      <alignment horizontal="left" vertical="top"/>
    </xf>
    <xf numFmtId="0" fontId="13" fillId="5" borderId="12" xfId="14" applyBorder="1" applyAlignment="1">
      <alignment vertical="center" wrapText="1"/>
    </xf>
    <xf numFmtId="0" fontId="13" fillId="5" borderId="13" xfId="14" applyBorder="1" applyAlignment="1">
      <alignment vertical="center" wrapText="1"/>
    </xf>
    <xf numFmtId="0" fontId="13" fillId="5" borderId="14" xfId="14" applyBorder="1" applyAlignment="1">
      <alignment vertical="center" wrapText="1"/>
    </xf>
    <xf numFmtId="9" fontId="27" fillId="3" borderId="0" xfId="11" applyNumberFormat="1" applyAlignment="1">
      <alignment horizontal="center"/>
    </xf>
    <xf numFmtId="0" fontId="27" fillId="3" borderId="0" xfId="11" applyAlignment="1">
      <alignment horizontal="center"/>
    </xf>
    <xf numFmtId="9" fontId="13" fillId="3" borderId="1" xfId="16" applyNumberFormat="1" applyAlignment="1">
      <alignment horizontal="center"/>
    </xf>
    <xf numFmtId="9" fontId="13" fillId="5" borderId="1" xfId="14" applyNumberFormat="1" applyAlignment="1">
      <alignment horizontal="center"/>
    </xf>
    <xf numFmtId="9" fontId="5" fillId="0" borderId="0" xfId="20" applyFont="1" applyAlignment="1">
      <alignment horizontal="center"/>
    </xf>
    <xf numFmtId="0" fontId="34" fillId="4" borderId="0" xfId="11" applyFont="1" applyFill="1" applyAlignment="1">
      <alignment horizontal="center" vertical="center"/>
    </xf>
    <xf numFmtId="0" fontId="39" fillId="3" borderId="0" xfId="11" applyFont="1" applyBorder="1" applyAlignment="1">
      <alignment horizontal="right" vertical="center"/>
    </xf>
    <xf numFmtId="0" fontId="40" fillId="4" borderId="0" xfId="13" applyFont="1" applyAlignment="1">
      <alignment horizontal="left" vertical="center"/>
    </xf>
    <xf numFmtId="167" fontId="13" fillId="5" borderId="1" xfId="14" applyNumberFormat="1" applyAlignment="1">
      <alignment horizontal="right" vertical="center"/>
    </xf>
    <xf numFmtId="165" fontId="13" fillId="5" borderId="1" xfId="14" applyNumberFormat="1" applyAlignment="1">
      <alignment horizontal="right" vertical="center"/>
    </xf>
    <xf numFmtId="171" fontId="13" fillId="5" borderId="6" xfId="20" applyNumberFormat="1" applyFont="1" applyFill="1" applyBorder="1" applyAlignment="1">
      <alignment horizontal="right" vertical="center"/>
    </xf>
    <xf numFmtId="3" fontId="14" fillId="4" borderId="1" xfId="15" applyNumberFormat="1" applyAlignment="1">
      <alignment horizontal="left" vertical="center"/>
      <protection locked="0"/>
    </xf>
    <xf numFmtId="0" fontId="14" fillId="4" borderId="1" xfId="15" applyNumberFormat="1" applyAlignment="1">
      <alignment horizontal="left" vertical="center"/>
      <protection locked="0"/>
    </xf>
    <xf numFmtId="0" fontId="42" fillId="3" borderId="0" xfId="12" applyFont="1" applyAlignment="1">
      <alignment vertical="center"/>
    </xf>
    <xf numFmtId="0" fontId="44" fillId="3" borderId="0" xfId="11" applyFont="1" applyBorder="1" applyAlignment="1">
      <alignment horizontal="right" vertical="center"/>
    </xf>
    <xf numFmtId="0" fontId="45" fillId="0" borderId="0" xfId="0" applyFont="1" applyAlignment="1">
      <alignment horizontal="right" vertical="center"/>
    </xf>
    <xf numFmtId="2" fontId="47" fillId="0" borderId="0" xfId="0" applyNumberFormat="1" applyFont="1" applyAlignment="1">
      <alignment horizontal="right" vertical="center"/>
    </xf>
    <xf numFmtId="4" fontId="45" fillId="0" borderId="0" xfId="0" applyNumberFormat="1" applyFont="1" applyAlignment="1">
      <alignment horizontal="right" vertical="center"/>
    </xf>
    <xf numFmtId="4" fontId="46" fillId="0" borderId="0" xfId="0" applyNumberFormat="1" applyFont="1" applyAlignment="1">
      <alignment horizontal="right" vertical="center"/>
    </xf>
    <xf numFmtId="164" fontId="13" fillId="5" borderId="1" xfId="14" applyNumberFormat="1" applyAlignment="1">
      <alignment horizontal="right" vertical="center"/>
    </xf>
    <xf numFmtId="4" fontId="14" fillId="4" borderId="1" xfId="15" applyNumberFormat="1" applyAlignment="1">
      <alignment horizontal="right" vertical="center"/>
      <protection locked="0"/>
    </xf>
    <xf numFmtId="0" fontId="29" fillId="3" borderId="0" xfId="11" applyFont="1" applyAlignment="1">
      <alignment horizontal="left" vertical="center"/>
    </xf>
    <xf numFmtId="168" fontId="14" fillId="4" borderId="1" xfId="15" applyNumberFormat="1" applyAlignment="1">
      <alignment horizontal="center" vertical="center" wrapText="1"/>
      <protection locked="0"/>
    </xf>
    <xf numFmtId="1" fontId="8" fillId="4" borderId="0" xfId="20" applyNumberFormat="1" applyFont="1" applyFill="1"/>
    <xf numFmtId="168" fontId="13" fillId="5" borderId="1" xfId="20" applyNumberFormat="1" applyFont="1" applyFill="1" applyBorder="1" applyAlignment="1">
      <alignment horizontal="right" vertical="center" wrapText="1" indent="1"/>
    </xf>
    <xf numFmtId="0" fontId="13" fillId="3" borderId="1" xfId="16" applyAlignment="1">
      <alignment horizontal="right" vertical="center" indent="1"/>
    </xf>
    <xf numFmtId="0" fontId="27" fillId="3" borderId="0" xfId="11" applyAlignment="1">
      <alignment horizontal="right" vertical="center" indent="1"/>
    </xf>
    <xf numFmtId="0" fontId="27" fillId="3" borderId="0" xfId="11" applyBorder="1" applyAlignment="1">
      <alignment horizontal="right" vertical="center" indent="1"/>
    </xf>
    <xf numFmtId="172" fontId="14" fillId="4" borderId="1" xfId="15" applyNumberFormat="1" applyAlignment="1">
      <alignment horizontal="center" vertical="center"/>
      <protection locked="0"/>
    </xf>
    <xf numFmtId="0" fontId="50" fillId="3" borderId="1" xfId="16" applyFont="1" applyAlignment="1">
      <alignment horizontal="center" vertical="center"/>
    </xf>
    <xf numFmtId="0" fontId="49" fillId="3" borderId="1" xfId="16" applyFont="1" applyAlignment="1">
      <alignment horizontal="left" vertical="center"/>
    </xf>
    <xf numFmtId="0" fontId="49" fillId="3" borderId="1" xfId="16" applyFont="1" applyAlignment="1">
      <alignment horizontal="right" vertical="center"/>
    </xf>
    <xf numFmtId="0" fontId="14" fillId="3" borderId="0" xfId="11" applyFont="1" applyAlignment="1">
      <alignment vertical="center"/>
    </xf>
    <xf numFmtId="0" fontId="8" fillId="3" borderId="0" xfId="13" applyFill="1"/>
    <xf numFmtId="0" fontId="8" fillId="3" borderId="0" xfId="13" applyFill="1" applyAlignment="1">
      <alignment vertical="center"/>
    </xf>
    <xf numFmtId="172" fontId="13" fillId="5" borderId="1" xfId="14" applyNumberFormat="1" applyAlignment="1">
      <alignment horizontal="center" vertical="center"/>
    </xf>
    <xf numFmtId="168" fontId="12" fillId="16" borderId="1" xfId="14" applyNumberFormat="1" applyFont="1" applyFill="1" applyAlignment="1">
      <alignment horizontal="center" vertical="center" wrapText="1"/>
    </xf>
    <xf numFmtId="0" fontId="43" fillId="3" borderId="0" xfId="11" applyFont="1" applyAlignment="1">
      <alignment horizontal="left" vertical="center" indent="1"/>
    </xf>
    <xf numFmtId="0" fontId="8" fillId="2" borderId="1" xfId="13" applyFill="1" applyBorder="1" applyAlignment="1">
      <alignment vertical="center"/>
    </xf>
    <xf numFmtId="0" fontId="8" fillId="4" borderId="5" xfId="13" applyBorder="1" applyAlignment="1">
      <alignment horizontal="center" vertical="top"/>
    </xf>
    <xf numFmtId="0" fontId="8" fillId="4" borderId="5" xfId="13" applyBorder="1" applyAlignment="1"/>
    <xf numFmtId="0" fontId="52" fillId="4" borderId="5" xfId="19" applyFont="1" applyBorder="1" applyAlignment="1">
      <alignment horizontal="left" vertical="center" indent="7"/>
    </xf>
    <xf numFmtId="0" fontId="32" fillId="4" borderId="5" xfId="19" applyFont="1" applyBorder="1" applyAlignment="1">
      <alignment horizontal="center" vertical="top"/>
    </xf>
    <xf numFmtId="0" fontId="26" fillId="4" borderId="5" xfId="19" applyBorder="1" applyAlignment="1"/>
    <xf numFmtId="0" fontId="8" fillId="2" borderId="0" xfId="13" applyFill="1"/>
    <xf numFmtId="0" fontId="31" fillId="4" borderId="0" xfId="13" applyFont="1"/>
    <xf numFmtId="0" fontId="53" fillId="2" borderId="1" xfId="17" applyFont="1" applyAlignment="1">
      <alignment horizontal="left" vertical="center" indent="1"/>
    </xf>
    <xf numFmtId="3" fontId="53" fillId="2" borderId="1" xfId="17" applyNumberFormat="1" applyFont="1" applyAlignment="1">
      <alignment horizontal="left" vertical="center" indent="1"/>
    </xf>
    <xf numFmtId="0" fontId="53" fillId="2" borderId="1" xfId="17" applyFont="1" applyAlignment="1">
      <alignment horizontal="center" vertical="center"/>
    </xf>
    <xf numFmtId="0" fontId="29" fillId="3" borderId="5" xfId="11" applyFont="1" applyBorder="1" applyAlignment="1">
      <alignment vertical="center"/>
    </xf>
    <xf numFmtId="0" fontId="34" fillId="3" borderId="0" xfId="11" applyFont="1" applyAlignment="1">
      <alignment horizontal="center" vertical="center"/>
    </xf>
    <xf numFmtId="0" fontId="48" fillId="3" borderId="5" xfId="11" applyFont="1" applyBorder="1" applyAlignment="1">
      <alignment vertical="center"/>
    </xf>
    <xf numFmtId="172" fontId="13" fillId="5" borderId="1" xfId="14" applyNumberFormat="1" applyAlignment="1">
      <alignment horizontal="right" vertical="center" wrapText="1"/>
    </xf>
    <xf numFmtId="0" fontId="55" fillId="0" borderId="0" xfId="0" applyFont="1" applyAlignment="1">
      <alignment horizontal="left" vertical="center"/>
    </xf>
    <xf numFmtId="0" fontId="55" fillId="0" borderId="0" xfId="0" applyFont="1" applyAlignment="1">
      <alignment horizontal="center" vertical="center"/>
    </xf>
    <xf numFmtId="9" fontId="55" fillId="0" borderId="0" xfId="20" applyFont="1" applyAlignment="1" applyProtection="1">
      <alignment horizontal="center" vertical="center"/>
    </xf>
    <xf numFmtId="0" fontId="56" fillId="0" borderId="0" xfId="0" applyFont="1" applyAlignment="1">
      <alignment horizontal="left" vertical="center"/>
    </xf>
    <xf numFmtId="0" fontId="57" fillId="0" borderId="0" xfId="0" applyFont="1" applyAlignment="1">
      <alignment horizontal="left" vertical="center"/>
    </xf>
    <xf numFmtId="0" fontId="32" fillId="4" borderId="0" xfId="19" applyFont="1" applyAlignment="1">
      <alignment horizontal="center" vertical="top"/>
    </xf>
    <xf numFmtId="0" fontId="8" fillId="4" borderId="0" xfId="13" applyBorder="1" applyAlignment="1"/>
    <xf numFmtId="0" fontId="52" fillId="4" borderId="0" xfId="19" applyFont="1" applyAlignment="1">
      <alignment horizontal="left" vertical="center" indent="7"/>
    </xf>
    <xf numFmtId="0" fontId="8" fillId="2" borderId="1" xfId="13" applyFill="1" applyBorder="1"/>
    <xf numFmtId="1" fontId="8" fillId="2" borderId="1" xfId="20" applyNumberFormat="1" applyFont="1" applyFill="1" applyBorder="1"/>
    <xf numFmtId="9" fontId="13" fillId="5" borderId="1" xfId="14" applyNumberFormat="1" applyAlignment="1">
      <alignment horizontal="center" vertical="center"/>
    </xf>
    <xf numFmtId="1" fontId="13" fillId="5" borderId="1" xfId="14" applyNumberFormat="1" applyAlignment="1">
      <alignment horizontal="center" vertical="center"/>
    </xf>
    <xf numFmtId="9" fontId="13" fillId="3" borderId="1" xfId="16" applyNumberFormat="1" applyAlignment="1">
      <alignment horizontal="center" vertical="center"/>
    </xf>
    <xf numFmtId="171" fontId="13" fillId="3" borderId="1" xfId="16" applyNumberFormat="1" applyAlignment="1">
      <alignment horizontal="center" vertical="center"/>
    </xf>
    <xf numFmtId="3" fontId="14" fillId="4" borderId="1" xfId="15" applyNumberFormat="1" applyAlignment="1">
      <alignment horizontal="center" vertical="center"/>
      <protection locked="0"/>
    </xf>
    <xf numFmtId="0" fontId="58" fillId="3" borderId="1" xfId="16" applyFont="1" applyAlignment="1">
      <alignment horizontal="left" vertical="center"/>
    </xf>
    <xf numFmtId="171" fontId="13" fillId="5" borderId="1" xfId="14" applyNumberFormat="1" applyAlignment="1">
      <alignment horizontal="center" vertical="center"/>
    </xf>
    <xf numFmtId="0" fontId="16" fillId="3" borderId="1" xfId="16" applyFont="1" applyAlignment="1">
      <alignment horizontal="left" vertical="center"/>
    </xf>
    <xf numFmtId="0" fontId="27" fillId="3" borderId="0" xfId="11" applyBorder="1" applyAlignment="1"/>
    <xf numFmtId="171" fontId="13" fillId="5" borderId="4" xfId="14" applyNumberFormat="1" applyBorder="1" applyAlignment="1">
      <alignment horizontal="center" vertical="center"/>
    </xf>
    <xf numFmtId="1" fontId="13" fillId="5" borderId="6" xfId="14" applyNumberFormat="1" applyBorder="1" applyAlignment="1">
      <alignment horizontal="center" vertical="center"/>
    </xf>
    <xf numFmtId="0" fontId="34" fillId="3" borderId="0" xfId="11" applyFont="1" applyAlignment="1">
      <alignment horizontal="right" vertical="center"/>
    </xf>
    <xf numFmtId="0" fontId="13" fillId="5" borderId="1" xfId="14" applyAlignment="1">
      <alignment horizontal="left" vertical="center" indent="1"/>
    </xf>
    <xf numFmtId="0" fontId="27" fillId="3" borderId="0" xfId="11" applyAlignment="1">
      <alignment horizontal="center" vertical="top"/>
    </xf>
    <xf numFmtId="0" fontId="8" fillId="4" borderId="0" xfId="13" applyAlignment="1">
      <alignment horizontal="right" vertical="top"/>
    </xf>
    <xf numFmtId="0" fontId="59" fillId="4" borderId="0" xfId="11" applyFont="1" applyFill="1" applyAlignment="1">
      <alignment horizontal="center" vertical="center"/>
    </xf>
    <xf numFmtId="0" fontId="34" fillId="3" borderId="0" xfId="11" applyFont="1" applyBorder="1" applyAlignment="1">
      <alignment horizontal="right" vertical="center"/>
    </xf>
    <xf numFmtId="0" fontId="13" fillId="5" borderId="1" xfId="14" applyNumberFormat="1" applyAlignment="1">
      <alignment horizontal="right" vertical="center"/>
    </xf>
    <xf numFmtId="3" fontId="60" fillId="4" borderId="0" xfId="13" applyNumberFormat="1" applyFont="1" applyAlignment="1">
      <alignment horizontal="right"/>
    </xf>
    <xf numFmtId="3" fontId="64" fillId="2" borderId="1" xfId="17" applyNumberFormat="1" applyFont="1" applyAlignment="1">
      <alignment horizontal="right"/>
    </xf>
    <xf numFmtId="0" fontId="64" fillId="2" borderId="1" xfId="17" applyFont="1" applyAlignment="1">
      <alignment horizontal="right"/>
    </xf>
    <xf numFmtId="172" fontId="13" fillId="5" borderId="1" xfId="14" applyNumberFormat="1" applyAlignment="1">
      <alignment horizontal="right" vertical="center"/>
    </xf>
    <xf numFmtId="0" fontId="8" fillId="2" borderId="1" xfId="13" applyFill="1" applyBorder="1" applyAlignment="1">
      <alignment horizontal="center"/>
    </xf>
    <xf numFmtId="3" fontId="14" fillId="6" borderId="1" xfId="18" applyNumberFormat="1" applyAlignment="1">
      <alignment horizontal="center" vertical="center"/>
    </xf>
    <xf numFmtId="9" fontId="14" fillId="6" borderId="1" xfId="20" applyFont="1" applyFill="1" applyBorder="1" applyAlignment="1">
      <alignment horizontal="center" vertical="center"/>
    </xf>
    <xf numFmtId="0" fontId="5" fillId="4" borderId="0" xfId="13" applyFont="1"/>
    <xf numFmtId="3" fontId="13" fillId="3" borderId="1" xfId="16" applyNumberFormat="1" applyAlignment="1">
      <alignment horizontal="left" vertical="center"/>
    </xf>
    <xf numFmtId="3" fontId="13" fillId="3" borderId="1" xfId="16" applyNumberFormat="1" applyAlignment="1">
      <alignment horizontal="right" vertical="center"/>
    </xf>
    <xf numFmtId="0" fontId="8" fillId="4" borderId="1" xfId="13" applyBorder="1" applyAlignment="1">
      <alignment horizontal="left" vertical="center"/>
    </xf>
    <xf numFmtId="4" fontId="8" fillId="4" borderId="0" xfId="13" applyNumberFormat="1" applyBorder="1" applyAlignment="1">
      <alignment horizontal="right" vertical="center"/>
    </xf>
    <xf numFmtId="0" fontId="8" fillId="4" borderId="0" xfId="13" applyBorder="1" applyAlignment="1">
      <alignment vertical="center"/>
    </xf>
    <xf numFmtId="0" fontId="8" fillId="4" borderId="0" xfId="13" applyBorder="1" applyAlignment="1">
      <alignment horizontal="center"/>
    </xf>
    <xf numFmtId="0" fontId="8" fillId="4" borderId="0" xfId="13" applyBorder="1"/>
    <xf numFmtId="0" fontId="8" fillId="4" borderId="0" xfId="13" applyBorder="1" applyAlignment="1">
      <alignment horizontal="right" vertical="center"/>
    </xf>
    <xf numFmtId="0" fontId="8" fillId="4" borderId="0" xfId="13" applyBorder="1" applyAlignment="1">
      <alignment horizontal="left" vertical="center"/>
    </xf>
    <xf numFmtId="3" fontId="13" fillId="3" borderId="1" xfId="16" applyNumberFormat="1" applyAlignment="1">
      <alignment horizontal="right"/>
    </xf>
    <xf numFmtId="0" fontId="13" fillId="3" borderId="1" xfId="16" applyAlignment="1">
      <alignment vertical="center"/>
    </xf>
    <xf numFmtId="0" fontId="13" fillId="3" borderId="4" xfId="16" applyBorder="1" applyAlignment="1">
      <alignment horizontal="right" vertical="center"/>
    </xf>
    <xf numFmtId="3" fontId="14" fillId="6" borderId="17" xfId="18" applyNumberFormat="1" applyBorder="1" applyAlignment="1">
      <alignment horizontal="right" vertical="center"/>
    </xf>
    <xf numFmtId="0" fontId="13" fillId="3" borderId="18" xfId="16" applyBorder="1" applyAlignment="1">
      <alignment horizontal="right" vertical="center"/>
    </xf>
    <xf numFmtId="3" fontId="14" fillId="6" borderId="1" xfId="18" applyNumberFormat="1" applyAlignment="1">
      <alignment horizontal="right" vertical="center"/>
    </xf>
    <xf numFmtId="0" fontId="13" fillId="3" borderId="20" xfId="16" applyBorder="1" applyAlignment="1">
      <alignment horizontal="right" vertical="center"/>
    </xf>
    <xf numFmtId="3" fontId="14" fillId="6" borderId="8" xfId="18" applyNumberFormat="1" applyBorder="1" applyAlignment="1">
      <alignment horizontal="right" vertical="center"/>
    </xf>
    <xf numFmtId="0" fontId="13" fillId="3" borderId="22" xfId="16" applyBorder="1" applyAlignment="1">
      <alignment horizontal="right" vertical="center"/>
    </xf>
    <xf numFmtId="0" fontId="13" fillId="3" borderId="16" xfId="16" applyBorder="1" applyAlignment="1">
      <alignment horizontal="right" vertical="center"/>
    </xf>
    <xf numFmtId="0" fontId="13" fillId="3" borderId="19" xfId="16" applyBorder="1" applyAlignment="1">
      <alignment horizontal="right" vertical="center"/>
    </xf>
    <xf numFmtId="0" fontId="13" fillId="3" borderId="21" xfId="16" applyBorder="1" applyAlignment="1">
      <alignment horizontal="right" vertical="center"/>
    </xf>
    <xf numFmtId="0" fontId="13" fillId="3" borderId="5" xfId="16" applyBorder="1" applyAlignment="1">
      <alignment horizontal="right" vertical="center"/>
    </xf>
    <xf numFmtId="4" fontId="14" fillId="6" borderId="5" xfId="18" applyNumberFormat="1" applyBorder="1" applyAlignment="1">
      <alignment horizontal="right" vertical="center"/>
    </xf>
    <xf numFmtId="0" fontId="13" fillId="3" borderId="23" xfId="16" applyBorder="1" applyAlignment="1">
      <alignment horizontal="right" vertical="center"/>
    </xf>
    <xf numFmtId="3" fontId="14" fillId="6" borderId="10" xfId="18" applyNumberFormat="1" applyBorder="1" applyAlignment="1">
      <alignment horizontal="right" vertical="center"/>
    </xf>
    <xf numFmtId="0" fontId="13" fillId="3" borderId="11" xfId="16" applyBorder="1" applyAlignment="1">
      <alignment horizontal="right" vertical="center"/>
    </xf>
    <xf numFmtId="3" fontId="13" fillId="5" borderId="10" xfId="14" applyNumberFormat="1" applyBorder="1" applyAlignment="1">
      <alignment horizontal="right" vertical="center"/>
    </xf>
    <xf numFmtId="0" fontId="13" fillId="3" borderId="24" xfId="16" applyBorder="1" applyAlignment="1">
      <alignment horizontal="right" vertical="center"/>
    </xf>
    <xf numFmtId="3" fontId="14" fillId="6" borderId="25" xfId="18" applyNumberFormat="1" applyBorder="1" applyAlignment="1">
      <alignment horizontal="right" vertical="center"/>
    </xf>
    <xf numFmtId="0" fontId="13" fillId="3" borderId="26" xfId="16" applyBorder="1" applyAlignment="1">
      <alignment horizontal="right" vertical="center"/>
    </xf>
    <xf numFmtId="0" fontId="13" fillId="3" borderId="27" xfId="16" applyBorder="1" applyAlignment="1">
      <alignment horizontal="right" vertical="center"/>
    </xf>
    <xf numFmtId="3" fontId="14" fillId="6" borderId="0" xfId="18" applyNumberFormat="1" applyBorder="1" applyAlignment="1">
      <alignment horizontal="right" vertical="center"/>
    </xf>
    <xf numFmtId="0" fontId="13" fillId="3" borderId="7" xfId="16" applyBorder="1" applyAlignment="1">
      <alignment horizontal="right" vertical="center"/>
    </xf>
    <xf numFmtId="0" fontId="13" fillId="3" borderId="28" xfId="16" applyBorder="1" applyAlignment="1">
      <alignment horizontal="right" vertical="center"/>
    </xf>
    <xf numFmtId="0" fontId="13" fillId="3" borderId="9" xfId="16" applyBorder="1" applyAlignment="1">
      <alignment horizontal="right" vertical="center"/>
    </xf>
    <xf numFmtId="0" fontId="13" fillId="3" borderId="26" xfId="16" applyBorder="1" applyAlignment="1">
      <alignment horizontal="left" vertical="center"/>
    </xf>
    <xf numFmtId="0" fontId="13" fillId="3" borderId="7" xfId="16" applyBorder="1" applyAlignment="1">
      <alignment horizontal="left" vertical="center"/>
    </xf>
    <xf numFmtId="0" fontId="13" fillId="3" borderId="9" xfId="16" applyBorder="1" applyAlignment="1">
      <alignment horizontal="left" vertical="center"/>
    </xf>
    <xf numFmtId="167" fontId="14" fillId="6" borderId="17" xfId="18" applyNumberFormat="1" applyBorder="1" applyAlignment="1">
      <alignment horizontal="right" vertical="center"/>
    </xf>
    <xf numFmtId="167" fontId="14" fillId="6" borderId="1" xfId="18" applyNumberFormat="1" applyAlignment="1">
      <alignment horizontal="right" vertical="center"/>
    </xf>
    <xf numFmtId="167" fontId="14" fillId="6" borderId="8" xfId="18" applyNumberFormat="1" applyBorder="1" applyAlignment="1">
      <alignment horizontal="right" vertical="center"/>
    </xf>
    <xf numFmtId="166" fontId="37" fillId="6" borderId="17" xfId="18" applyNumberFormat="1" applyFont="1" applyBorder="1" applyAlignment="1">
      <alignment horizontal="right" vertical="center"/>
    </xf>
    <xf numFmtId="166" fontId="37" fillId="6" borderId="1" xfId="18" applyNumberFormat="1" applyFont="1" applyAlignment="1">
      <alignment horizontal="right" vertical="center"/>
    </xf>
    <xf numFmtId="166" fontId="14" fillId="6" borderId="1" xfId="18" applyNumberFormat="1" applyAlignment="1">
      <alignment horizontal="right" vertical="center"/>
    </xf>
    <xf numFmtId="166" fontId="14" fillId="6" borderId="8" xfId="18" applyNumberFormat="1" applyBorder="1" applyAlignment="1">
      <alignment horizontal="right" vertical="center"/>
    </xf>
    <xf numFmtId="166" fontId="37" fillId="6" borderId="8" xfId="18" applyNumberFormat="1" applyFont="1" applyBorder="1" applyAlignment="1">
      <alignment horizontal="right" vertical="center"/>
    </xf>
    <xf numFmtId="0" fontId="13" fillId="3" borderId="4" xfId="16" applyBorder="1" applyAlignment="1">
      <alignment horizontal="left" vertical="center"/>
    </xf>
    <xf numFmtId="0" fontId="13" fillId="3" borderId="16" xfId="16" applyBorder="1" applyAlignment="1">
      <alignment horizontal="left" vertical="center"/>
    </xf>
    <xf numFmtId="166" fontId="14" fillId="6" borderId="17" xfId="18" applyNumberFormat="1" applyBorder="1" applyAlignment="1">
      <alignment horizontal="right" vertical="center"/>
    </xf>
    <xf numFmtId="166" fontId="63" fillId="6" borderId="17" xfId="18" applyNumberFormat="1" applyFont="1" applyBorder="1" applyAlignment="1">
      <alignment horizontal="right" vertical="center"/>
    </xf>
    <xf numFmtId="0" fontId="13" fillId="3" borderId="18" xfId="16" applyBorder="1" applyAlignment="1">
      <alignment horizontal="left" vertical="center"/>
    </xf>
    <xf numFmtId="0" fontId="13" fillId="3" borderId="19" xfId="16" applyBorder="1" applyAlignment="1">
      <alignment horizontal="left" vertical="center"/>
    </xf>
    <xf numFmtId="166" fontId="63" fillId="6" borderId="1" xfId="18" applyNumberFormat="1" applyFont="1" applyAlignment="1">
      <alignment horizontal="right" vertical="center"/>
    </xf>
    <xf numFmtId="0" fontId="13" fillId="3" borderId="20" xfId="16" applyBorder="1" applyAlignment="1">
      <alignment horizontal="left" vertical="center"/>
    </xf>
    <xf numFmtId="0" fontId="13" fillId="3" borderId="21" xfId="16" applyBorder="1" applyAlignment="1">
      <alignment horizontal="left" vertical="center"/>
    </xf>
    <xf numFmtId="166" fontId="63" fillId="6" borderId="8" xfId="18" applyNumberFormat="1" applyFont="1" applyBorder="1" applyAlignment="1">
      <alignment horizontal="right" vertical="center"/>
    </xf>
    <xf numFmtId="0" fontId="13" fillId="3" borderId="22" xfId="16" applyBorder="1" applyAlignment="1">
      <alignment horizontal="left" vertical="center"/>
    </xf>
    <xf numFmtId="3" fontId="63" fillId="6" borderId="1" xfId="18" applyNumberFormat="1" applyFont="1" applyAlignment="1">
      <alignment horizontal="right" vertical="center"/>
    </xf>
    <xf numFmtId="3" fontId="63" fillId="6" borderId="8" xfId="18" applyNumberFormat="1" applyFont="1" applyBorder="1" applyAlignment="1">
      <alignment horizontal="right" vertical="center"/>
    </xf>
    <xf numFmtId="0" fontId="8" fillId="4" borderId="5" xfId="13" applyBorder="1" applyAlignment="1">
      <alignment horizontal="right" vertical="center"/>
    </xf>
    <xf numFmtId="166" fontId="8" fillId="4" borderId="5" xfId="13" applyNumberFormat="1" applyBorder="1" applyAlignment="1">
      <alignment horizontal="right" vertical="center"/>
    </xf>
    <xf numFmtId="0" fontId="8" fillId="4" borderId="5" xfId="13" applyBorder="1" applyAlignment="1">
      <alignment horizontal="left" vertical="center"/>
    </xf>
    <xf numFmtId="166" fontId="41" fillId="6" borderId="1" xfId="18" applyNumberFormat="1" applyFont="1" applyAlignment="1">
      <alignment horizontal="right" vertical="center"/>
    </xf>
    <xf numFmtId="166" fontId="41" fillId="6" borderId="8" xfId="18" applyNumberFormat="1" applyFont="1" applyBorder="1" applyAlignment="1">
      <alignment horizontal="right" vertical="center"/>
    </xf>
    <xf numFmtId="3" fontId="14" fillId="6" borderId="1" xfId="18" applyNumberFormat="1" applyAlignment="1">
      <alignment horizontal="center" vertical="top" wrapText="1"/>
    </xf>
    <xf numFmtId="172" fontId="14" fillId="6" borderId="1" xfId="18" applyNumberFormat="1" applyAlignment="1">
      <alignment horizontal="center" vertical="top" wrapText="1"/>
    </xf>
    <xf numFmtId="3" fontId="14" fillId="6" borderId="8" xfId="18" applyNumberFormat="1" applyBorder="1" applyAlignment="1">
      <alignment horizontal="center" vertical="top" wrapText="1"/>
    </xf>
    <xf numFmtId="172" fontId="14" fillId="6" borderId="8" xfId="18" applyNumberFormat="1" applyBorder="1" applyAlignment="1">
      <alignment horizontal="center" vertical="top" wrapText="1"/>
    </xf>
    <xf numFmtId="172" fontId="14" fillId="6" borderId="20" xfId="18" applyNumberFormat="1" applyBorder="1" applyAlignment="1">
      <alignment horizontal="center" vertical="top" wrapText="1"/>
    </xf>
    <xf numFmtId="4" fontId="14" fillId="6" borderId="13" xfId="18" applyNumberFormat="1" applyBorder="1" applyAlignment="1">
      <alignment horizontal="left" vertical="top"/>
    </xf>
    <xf numFmtId="4" fontId="14" fillId="6" borderId="14" xfId="18" applyNumberFormat="1" applyBorder="1" applyAlignment="1">
      <alignment horizontal="left" vertical="top"/>
    </xf>
    <xf numFmtId="172" fontId="14" fillId="6" borderId="5" xfId="18" applyNumberFormat="1" applyBorder="1" applyAlignment="1">
      <alignment horizontal="center" vertical="top" wrapText="1"/>
    </xf>
    <xf numFmtId="172" fontId="14" fillId="6" borderId="31" xfId="18" applyNumberFormat="1" applyBorder="1" applyAlignment="1">
      <alignment horizontal="center" vertical="top" wrapText="1"/>
    </xf>
    <xf numFmtId="2" fontId="13" fillId="3" borderId="23" xfId="16" applyNumberFormat="1" applyBorder="1" applyAlignment="1">
      <alignment horizontal="left" vertical="center"/>
    </xf>
    <xf numFmtId="0" fontId="27" fillId="3" borderId="10" xfId="11" applyBorder="1" applyAlignment="1">
      <alignment horizontal="center" vertical="center"/>
    </xf>
    <xf numFmtId="2" fontId="13" fillId="3" borderId="10" xfId="16" applyNumberFormat="1" applyBorder="1" applyAlignment="1">
      <alignment horizontal="center" vertical="center"/>
    </xf>
    <xf numFmtId="2" fontId="13" fillId="3" borderId="11" xfId="16" applyNumberFormat="1" applyBorder="1" applyAlignment="1">
      <alignment horizontal="center" vertical="center"/>
    </xf>
    <xf numFmtId="0" fontId="13" fillId="3" borderId="25" xfId="16" applyBorder="1" applyAlignment="1">
      <alignment horizontal="right" vertical="center"/>
    </xf>
    <xf numFmtId="0" fontId="13" fillId="3" borderId="0" xfId="16" applyBorder="1" applyAlignment="1">
      <alignment horizontal="right" vertical="center"/>
    </xf>
    <xf numFmtId="0" fontId="13" fillId="3" borderId="29" xfId="16" applyBorder="1" applyAlignment="1">
      <alignment horizontal="right" vertical="center"/>
    </xf>
    <xf numFmtId="0" fontId="13" fillId="3" borderId="4" xfId="16" applyBorder="1" applyAlignment="1"/>
    <xf numFmtId="0" fontId="13" fillId="5" borderId="13" xfId="14" applyBorder="1" applyAlignment="1">
      <alignment horizontal="left" vertical="center"/>
    </xf>
    <xf numFmtId="0" fontId="13" fillId="5" borderId="30" xfId="14" applyBorder="1" applyAlignment="1">
      <alignment horizontal="left" vertical="center"/>
    </xf>
    <xf numFmtId="0" fontId="13" fillId="5" borderId="14" xfId="14" applyBorder="1" applyAlignment="1">
      <alignment horizontal="left" vertical="center"/>
    </xf>
    <xf numFmtId="0" fontId="27" fillId="3" borderId="23" xfId="11" applyBorder="1" applyAlignment="1">
      <alignment vertical="center"/>
    </xf>
    <xf numFmtId="0" fontId="27" fillId="3" borderId="10" xfId="11" applyBorder="1" applyAlignment="1">
      <alignment vertical="center"/>
    </xf>
    <xf numFmtId="0" fontId="27" fillId="3" borderId="11" xfId="11" applyBorder="1" applyAlignment="1">
      <alignment vertical="center"/>
    </xf>
    <xf numFmtId="172" fontId="14" fillId="6" borderId="1" xfId="18" applyNumberFormat="1" applyAlignment="1">
      <alignment horizontal="right" vertical="center"/>
    </xf>
    <xf numFmtId="182" fontId="14" fillId="6" borderId="1" xfId="18" applyNumberFormat="1" applyAlignment="1">
      <alignment horizontal="right" vertical="center"/>
    </xf>
    <xf numFmtId="0" fontId="27" fillId="3" borderId="1" xfId="11" applyBorder="1" applyAlignment="1">
      <alignment horizontal="left" vertical="center"/>
    </xf>
    <xf numFmtId="3" fontId="8" fillId="4" borderId="0" xfId="13" applyNumberFormat="1" applyAlignment="1">
      <alignment horizontal="right"/>
    </xf>
    <xf numFmtId="172" fontId="37" fillId="6" borderId="1" xfId="18" applyNumberFormat="1" applyFont="1" applyAlignment="1">
      <alignment horizontal="left" vertical="center"/>
    </xf>
    <xf numFmtId="166" fontId="14" fillId="6" borderId="1" xfId="18" applyNumberFormat="1" applyAlignment="1">
      <alignment horizontal="left" vertical="center"/>
    </xf>
    <xf numFmtId="0" fontId="8" fillId="4" borderId="0" xfId="13" applyAlignment="1">
      <alignment wrapText="1"/>
    </xf>
    <xf numFmtId="0" fontId="8" fillId="4" borderId="0" xfId="13" applyAlignment="1">
      <alignment horizontal="center" wrapText="1"/>
    </xf>
    <xf numFmtId="0" fontId="13" fillId="3" borderId="1" xfId="16" applyAlignment="1">
      <alignment horizontal="right" vertical="center" wrapText="1"/>
    </xf>
    <xf numFmtId="0" fontId="13" fillId="3" borderId="1" xfId="16" applyAlignment="1">
      <alignment horizontal="left" vertical="center" wrapText="1"/>
    </xf>
    <xf numFmtId="0" fontId="49" fillId="3" borderId="1" xfId="16" applyFont="1" applyAlignment="1">
      <alignment horizontal="left" vertical="center" wrapText="1"/>
    </xf>
    <xf numFmtId="0" fontId="10" fillId="4" borderId="0" xfId="13" applyFont="1" applyBorder="1" applyAlignment="1">
      <alignment horizontal="right" vertical="center" wrapText="1"/>
    </xf>
    <xf numFmtId="4" fontId="45" fillId="0" borderId="0" xfId="0" applyNumberFormat="1" applyFont="1" applyAlignment="1">
      <alignment horizontal="right" vertical="center" wrapText="1"/>
    </xf>
    <xf numFmtId="3" fontId="13" fillId="3" borderId="1" xfId="16" applyNumberFormat="1" applyAlignment="1">
      <alignment horizontal="left" vertical="center" wrapText="1"/>
    </xf>
    <xf numFmtId="0" fontId="6" fillId="0" borderId="0" xfId="0" applyFont="1" applyAlignment="1">
      <alignment wrapText="1"/>
    </xf>
    <xf numFmtId="3" fontId="13" fillId="3" borderId="1" xfId="16" applyNumberFormat="1" applyAlignment="1">
      <alignment horizontal="right" vertical="center" wrapText="1"/>
    </xf>
    <xf numFmtId="0" fontId="14" fillId="4" borderId="1" xfId="15" applyNumberFormat="1" applyAlignment="1">
      <protection locked="0"/>
    </xf>
    <xf numFmtId="4" fontId="14" fillId="6" borderId="32" xfId="18" applyNumberFormat="1" applyBorder="1" applyAlignment="1">
      <alignment horizontal="left" vertical="top"/>
    </xf>
    <xf numFmtId="3" fontId="14" fillId="6" borderId="4" xfId="18" applyNumberFormat="1" applyBorder="1" applyAlignment="1">
      <alignment horizontal="center" vertical="top" wrapText="1"/>
    </xf>
    <xf numFmtId="172" fontId="14" fillId="6" borderId="4" xfId="18" applyNumberFormat="1" applyBorder="1" applyAlignment="1">
      <alignment horizontal="center" vertical="top" wrapText="1"/>
    </xf>
    <xf numFmtId="0" fontId="77" fillId="5" borderId="1" xfId="14" applyFont="1" applyAlignment="1">
      <alignment horizontal="left" vertical="center"/>
    </xf>
    <xf numFmtId="4" fontId="13" fillId="5" borderId="1" xfId="14" applyNumberFormat="1" applyAlignment="1">
      <alignment vertical="center"/>
    </xf>
    <xf numFmtId="4" fontId="14" fillId="6" borderId="1" xfId="18" applyNumberFormat="1" applyAlignment="1">
      <alignment horizontal="right" vertical="center" wrapText="1"/>
    </xf>
    <xf numFmtId="0" fontId="68" fillId="4" borderId="0" xfId="25" applyNumberFormat="1" applyFont="1" applyAlignment="1">
      <alignment horizontal="right" vertical="center"/>
      <protection hidden="1"/>
    </xf>
    <xf numFmtId="0" fontId="0" fillId="0" borderId="0" xfId="0" applyAlignment="1">
      <alignment vertical="center"/>
    </xf>
    <xf numFmtId="2" fontId="71" fillId="4" borderId="0" xfId="25" applyNumberFormat="1" applyFont="1" applyAlignment="1">
      <alignment horizontal="right" vertical="center"/>
      <protection hidden="1"/>
    </xf>
    <xf numFmtId="2" fontId="73" fillId="12" borderId="0" xfId="0" applyNumberFormat="1" applyFont="1" applyFill="1" applyAlignment="1" applyProtection="1">
      <alignment horizontal="right" vertical="center"/>
      <protection hidden="1"/>
    </xf>
    <xf numFmtId="167" fontId="72" fillId="18" borderId="35" xfId="29" applyNumberFormat="1" applyBorder="1" applyAlignment="1">
      <alignment horizontal="right" vertical="center"/>
    </xf>
    <xf numFmtId="0" fontId="74" fillId="12" borderId="0" xfId="0" applyFont="1" applyFill="1" applyAlignment="1" applyProtection="1">
      <alignment horizontal="right" vertical="center"/>
      <protection hidden="1"/>
    </xf>
    <xf numFmtId="2" fontId="68" fillId="4" borderId="0" xfId="25" applyFont="1" applyAlignment="1">
      <alignment horizontal="right" vertical="center"/>
      <protection hidden="1"/>
    </xf>
    <xf numFmtId="167" fontId="76" fillId="18" borderId="35" xfId="31" applyNumberFormat="1" applyBorder="1" applyAlignment="1">
      <alignment horizontal="right" vertical="center" wrapText="1"/>
    </xf>
    <xf numFmtId="0" fontId="78" fillId="0" borderId="0" xfId="0" applyFont="1" applyAlignment="1">
      <alignment vertical="top"/>
    </xf>
    <xf numFmtId="0" fontId="78" fillId="0" borderId="0" xfId="0" applyFont="1" applyAlignment="1">
      <alignment horizontal="right" vertical="top"/>
    </xf>
    <xf numFmtId="0" fontId="5" fillId="0" borderId="0" xfId="0" applyFont="1"/>
    <xf numFmtId="0" fontId="29" fillId="0" borderId="0" xfId="0" applyFont="1"/>
    <xf numFmtId="0" fontId="80" fillId="0" borderId="0" xfId="0" applyFont="1" applyAlignment="1">
      <alignment vertical="top"/>
    </xf>
    <xf numFmtId="0" fontId="81" fillId="4" borderId="0" xfId="13" applyFont="1"/>
    <xf numFmtId="0" fontId="82" fillId="0" borderId="0" xfId="0" applyFont="1" applyAlignment="1">
      <alignment horizontal="center"/>
    </xf>
    <xf numFmtId="0" fontId="16" fillId="5" borderId="1" xfId="14" applyFont="1" applyAlignment="1">
      <alignment vertical="center"/>
    </xf>
    <xf numFmtId="0" fontId="15" fillId="0" borderId="0" xfId="0" applyFont="1"/>
    <xf numFmtId="9" fontId="14" fillId="6" borderId="1" xfId="20" applyFont="1" applyFill="1" applyBorder="1" applyAlignment="1">
      <alignment horizontal="right" vertical="center"/>
    </xf>
    <xf numFmtId="0" fontId="13" fillId="5" borderId="4" xfId="14" applyBorder="1" applyAlignment="1">
      <alignment horizontal="right" vertical="center"/>
    </xf>
    <xf numFmtId="0" fontId="13" fillId="5" borderId="5" xfId="14" applyBorder="1" applyAlignment="1">
      <alignment vertical="center"/>
    </xf>
    <xf numFmtId="0" fontId="13" fillId="5" borderId="23" xfId="14" applyBorder="1" applyAlignment="1">
      <alignment vertical="center"/>
    </xf>
    <xf numFmtId="167" fontId="14" fillId="6" borderId="10" xfId="18" applyNumberFormat="1" applyBorder="1" applyAlignment="1">
      <alignment horizontal="right" vertical="center"/>
    </xf>
    <xf numFmtId="2" fontId="72" fillId="18" borderId="11" xfId="29" applyNumberFormat="1" applyBorder="1" applyAlignment="1">
      <alignment horizontal="right" vertical="center"/>
    </xf>
    <xf numFmtId="167" fontId="72" fillId="18" borderId="37" xfId="29" applyNumberFormat="1" applyBorder="1" applyAlignment="1">
      <alignment horizontal="right" vertical="center"/>
    </xf>
    <xf numFmtId="4" fontId="13" fillId="5" borderId="5" xfId="14" applyNumberFormat="1" applyBorder="1" applyAlignment="1">
      <alignment vertical="center"/>
    </xf>
    <xf numFmtId="4" fontId="14" fillId="6" borderId="10" xfId="18" applyNumberFormat="1" applyBorder="1" applyAlignment="1">
      <alignment horizontal="right" vertical="center"/>
    </xf>
    <xf numFmtId="167" fontId="72" fillId="18" borderId="11" xfId="29" applyNumberFormat="1" applyBorder="1" applyAlignment="1">
      <alignment horizontal="right" vertical="center"/>
    </xf>
    <xf numFmtId="0" fontId="77" fillId="5" borderId="4" xfId="14" applyFont="1" applyBorder="1" applyAlignment="1">
      <alignment horizontal="left" vertical="center"/>
    </xf>
    <xf numFmtId="0" fontId="77" fillId="5" borderId="0" xfId="14" applyFont="1" applyBorder="1" applyAlignment="1">
      <alignment horizontal="left" vertical="center"/>
    </xf>
    <xf numFmtId="4" fontId="13" fillId="5" borderId="16" xfId="14" applyNumberFormat="1" applyBorder="1" applyAlignment="1">
      <alignment vertical="center"/>
    </xf>
    <xf numFmtId="0" fontId="13" fillId="5" borderId="17" xfId="14" applyBorder="1" applyAlignment="1">
      <alignment vertical="center"/>
    </xf>
    <xf numFmtId="4" fontId="14" fillId="6" borderId="17" xfId="18" applyNumberFormat="1" applyBorder="1" applyAlignment="1">
      <alignment horizontal="right" vertical="center"/>
    </xf>
    <xf numFmtId="0" fontId="13" fillId="5" borderId="18" xfId="14" applyBorder="1" applyAlignment="1">
      <alignment horizontal="right" vertical="center"/>
    </xf>
    <xf numFmtId="4" fontId="13" fillId="5" borderId="19" xfId="14" applyNumberFormat="1" applyBorder="1" applyAlignment="1">
      <alignment vertical="center"/>
    </xf>
    <xf numFmtId="4" fontId="14" fillId="6" borderId="1" xfId="18" applyNumberFormat="1" applyAlignment="1">
      <alignment horizontal="right" vertical="center"/>
    </xf>
    <xf numFmtId="0" fontId="13" fillId="5" borderId="20" xfId="14" applyBorder="1" applyAlignment="1">
      <alignment horizontal="right" vertical="center"/>
    </xf>
    <xf numFmtId="4" fontId="13" fillId="5" borderId="21" xfId="14" applyNumberFormat="1" applyBorder="1" applyAlignment="1">
      <alignment vertical="center"/>
    </xf>
    <xf numFmtId="0" fontId="13" fillId="5" borderId="8" xfId="14" applyBorder="1" applyAlignment="1">
      <alignment vertical="center"/>
    </xf>
    <xf numFmtId="4" fontId="14" fillId="6" borderId="8" xfId="18" applyNumberFormat="1" applyBorder="1" applyAlignment="1">
      <alignment horizontal="right" vertical="center"/>
    </xf>
    <xf numFmtId="0" fontId="13" fillId="5" borderId="22" xfId="14" applyBorder="1" applyAlignment="1">
      <alignment horizontal="right" vertical="center"/>
    </xf>
    <xf numFmtId="0" fontId="13" fillId="5" borderId="0" xfId="14" applyBorder="1" applyAlignment="1">
      <alignment horizontal="right" vertical="center"/>
    </xf>
    <xf numFmtId="4" fontId="14" fillId="6" borderId="16" xfId="18" applyNumberFormat="1" applyBorder="1" applyAlignment="1">
      <alignment horizontal="left" vertical="center"/>
    </xf>
    <xf numFmtId="4" fontId="14" fillId="6" borderId="19" xfId="18" applyNumberFormat="1" applyBorder="1" applyAlignment="1">
      <alignment horizontal="left" vertical="center"/>
    </xf>
    <xf numFmtId="4" fontId="14" fillId="6" borderId="21" xfId="18" applyNumberFormat="1" applyBorder="1" applyAlignment="1">
      <alignment horizontal="left" vertical="center"/>
    </xf>
    <xf numFmtId="0" fontId="16" fillId="5" borderId="5" xfId="14" applyFont="1" applyBorder="1" applyAlignment="1">
      <alignment vertical="center"/>
    </xf>
    <xf numFmtId="0" fontId="13" fillId="5" borderId="17" xfId="14" applyBorder="1" applyAlignment="1">
      <alignment horizontal="right" vertical="center"/>
    </xf>
    <xf numFmtId="0" fontId="13" fillId="5" borderId="8" xfId="14" applyBorder="1" applyAlignment="1">
      <alignment horizontal="right" vertical="center"/>
    </xf>
    <xf numFmtId="3" fontId="14" fillId="6" borderId="1" xfId="18" applyNumberFormat="1" applyAlignment="1">
      <alignment horizontal="left" vertical="center"/>
    </xf>
    <xf numFmtId="4" fontId="13" fillId="5" borderId="23" xfId="14" applyNumberFormat="1" applyBorder="1" applyAlignment="1">
      <alignment vertical="center"/>
    </xf>
    <xf numFmtId="0" fontId="13" fillId="5" borderId="10" xfId="14" applyBorder="1" applyAlignment="1">
      <alignment vertical="center"/>
    </xf>
    <xf numFmtId="0" fontId="13" fillId="5" borderId="11" xfId="14" applyBorder="1" applyAlignment="1">
      <alignment horizontal="right" vertical="center"/>
    </xf>
    <xf numFmtId="4" fontId="13" fillId="5" borderId="28" xfId="14" applyNumberFormat="1" applyBorder="1" applyAlignment="1">
      <alignment vertical="center"/>
    </xf>
    <xf numFmtId="0" fontId="13" fillId="5" borderId="29" xfId="14" applyBorder="1" applyAlignment="1">
      <alignment vertical="center"/>
    </xf>
    <xf numFmtId="4" fontId="14" fillId="6" borderId="29" xfId="18" applyNumberFormat="1" applyBorder="1" applyAlignment="1">
      <alignment horizontal="right" vertical="center"/>
    </xf>
    <xf numFmtId="0" fontId="13" fillId="5" borderId="9" xfId="14" applyBorder="1" applyAlignment="1">
      <alignment horizontal="right" vertical="center"/>
    </xf>
    <xf numFmtId="4" fontId="13" fillId="5" borderId="10" xfId="14" applyNumberFormat="1" applyBorder="1" applyAlignment="1">
      <alignment horizontal="right" vertical="center"/>
    </xf>
    <xf numFmtId="0" fontId="77" fillId="5" borderId="5" xfId="14" applyFont="1" applyBorder="1" applyAlignment="1">
      <alignment horizontal="left" vertical="center"/>
    </xf>
    <xf numFmtId="0" fontId="13" fillId="5" borderId="5" xfId="14" applyBorder="1" applyAlignment="1">
      <alignment horizontal="right" vertical="center"/>
    </xf>
    <xf numFmtId="2" fontId="13" fillId="5" borderId="1" xfId="14" applyNumberFormat="1" applyAlignment="1">
      <alignment horizontal="center" vertical="center"/>
    </xf>
    <xf numFmtId="4" fontId="13" fillId="5" borderId="1" xfId="14" applyNumberFormat="1" applyAlignment="1">
      <alignment horizontal="center" vertical="center"/>
    </xf>
    <xf numFmtId="184" fontId="13" fillId="5" borderId="6" xfId="14" applyNumberFormat="1" applyBorder="1" applyAlignment="1">
      <alignment horizontal="center" vertical="center"/>
    </xf>
    <xf numFmtId="4" fontId="14" fillId="4" borderId="1" xfId="15" applyNumberFormat="1" applyAlignment="1">
      <alignment horizontal="center" vertical="center"/>
      <protection locked="0"/>
    </xf>
    <xf numFmtId="2" fontId="14" fillId="4" borderId="1" xfId="15" applyNumberFormat="1" applyAlignment="1">
      <alignment horizontal="center" vertical="center"/>
      <protection locked="0"/>
    </xf>
    <xf numFmtId="164" fontId="13" fillId="5" borderId="1" xfId="14" applyNumberFormat="1" applyAlignment="1">
      <alignment horizontal="center" vertical="center"/>
    </xf>
    <xf numFmtId="0" fontId="13" fillId="3" borderId="1" xfId="16" applyAlignment="1">
      <alignment horizontal="center" vertical="top" wrapText="1"/>
    </xf>
    <xf numFmtId="0" fontId="27" fillId="3" borderId="0" xfId="11" applyAlignment="1">
      <alignment vertical="top"/>
    </xf>
    <xf numFmtId="0" fontId="43" fillId="4" borderId="0" xfId="13" applyFont="1" applyAlignment="1">
      <alignment vertical="center"/>
    </xf>
    <xf numFmtId="0" fontId="11" fillId="0" borderId="0" xfId="0" applyFont="1"/>
    <xf numFmtId="0" fontId="83" fillId="0" borderId="0" xfId="0" applyFont="1"/>
    <xf numFmtId="0" fontId="13" fillId="3" borderId="1" xfId="16" quotePrefix="1" applyAlignment="1">
      <alignment horizontal="center" vertical="center"/>
    </xf>
    <xf numFmtId="0" fontId="77" fillId="5" borderId="1" xfId="14" quotePrefix="1" applyFont="1" applyAlignment="1">
      <alignment horizontal="left" vertical="center"/>
    </xf>
    <xf numFmtId="0" fontId="85" fillId="5" borderId="1" xfId="14" applyFont="1" applyAlignment="1">
      <alignment vertical="center"/>
    </xf>
    <xf numFmtId="4" fontId="13" fillId="5" borderId="1" xfId="14" quotePrefix="1" applyNumberFormat="1" applyAlignment="1">
      <alignment vertical="center"/>
    </xf>
    <xf numFmtId="0" fontId="13" fillId="5" borderId="4" xfId="14" applyBorder="1" applyAlignment="1">
      <alignment vertical="center"/>
    </xf>
    <xf numFmtId="4" fontId="13" fillId="5" borderId="4" xfId="14" applyNumberFormat="1" applyBorder="1" applyAlignment="1">
      <alignment horizontal="right" vertical="center"/>
    </xf>
    <xf numFmtId="4" fontId="13" fillId="5" borderId="4" xfId="14" applyNumberFormat="1" applyBorder="1" applyAlignment="1">
      <alignment horizontal="center" vertical="center"/>
    </xf>
    <xf numFmtId="184" fontId="12" fillId="10" borderId="1" xfId="14" applyNumberFormat="1" applyFont="1" applyFill="1" applyAlignment="1">
      <alignment horizontal="center" vertical="center"/>
    </xf>
    <xf numFmtId="4" fontId="41" fillId="6" borderId="10" xfId="18" applyNumberFormat="1" applyFont="1" applyBorder="1" applyAlignment="1">
      <alignment horizontal="right" vertical="center"/>
    </xf>
    <xf numFmtId="0" fontId="8" fillId="4" borderId="10" xfId="13" applyBorder="1"/>
    <xf numFmtId="0" fontId="8" fillId="4" borderId="29" xfId="13" applyBorder="1"/>
    <xf numFmtId="182" fontId="14" fillId="6" borderId="4" xfId="18" applyNumberFormat="1" applyBorder="1" applyAlignment="1">
      <alignment horizontal="center" vertical="top" wrapText="1"/>
    </xf>
    <xf numFmtId="182" fontId="14" fillId="6" borderId="33" xfId="18" applyNumberFormat="1" applyBorder="1" applyAlignment="1">
      <alignment horizontal="center" vertical="top" wrapText="1"/>
    </xf>
    <xf numFmtId="182" fontId="14" fillId="6" borderId="8" xfId="18" applyNumberFormat="1" applyBorder="1" applyAlignment="1">
      <alignment horizontal="center" vertical="top" wrapText="1"/>
    </xf>
    <xf numFmtId="182" fontId="14" fillId="6" borderId="22" xfId="18" applyNumberFormat="1" applyBorder="1" applyAlignment="1">
      <alignment horizontal="center" vertical="top" wrapText="1"/>
    </xf>
    <xf numFmtId="182" fontId="14" fillId="6" borderId="1" xfId="18" applyNumberFormat="1" applyAlignment="1">
      <alignment horizontal="center" vertical="top" wrapText="1"/>
    </xf>
    <xf numFmtId="9" fontId="11" fillId="0" borderId="0" xfId="20" applyFont="1"/>
    <xf numFmtId="0" fontId="41" fillId="3" borderId="0" xfId="11" applyFont="1" applyAlignment="1">
      <alignment horizontal="left" vertical="center"/>
    </xf>
    <xf numFmtId="172" fontId="14" fillId="4" borderId="1" xfId="15" applyNumberFormat="1" applyAlignment="1">
      <alignment horizontal="right" vertical="center"/>
      <protection locked="0"/>
    </xf>
    <xf numFmtId="0" fontId="58" fillId="3" borderId="1" xfId="16" applyFont="1" applyAlignment="1">
      <alignment horizontal="right" vertical="center"/>
    </xf>
    <xf numFmtId="0" fontId="8" fillId="4" borderId="0" xfId="13" applyAlignment="1">
      <alignment horizontal="right" vertical="top" wrapText="1"/>
    </xf>
    <xf numFmtId="0" fontId="27" fillId="3" borderId="0" xfId="11" applyAlignment="1">
      <alignment horizontal="center" vertical="top" wrapText="1"/>
    </xf>
    <xf numFmtId="0" fontId="13" fillId="3" borderId="1" xfId="16" applyAlignment="1">
      <alignment horizontal="left" vertical="top" wrapText="1"/>
    </xf>
    <xf numFmtId="0" fontId="8" fillId="4" borderId="0" xfId="13" applyAlignment="1">
      <alignment vertical="top" wrapText="1"/>
    </xf>
    <xf numFmtId="0" fontId="56" fillId="0" borderId="0" xfId="0" applyFont="1" applyAlignment="1">
      <alignment horizontal="left" vertical="top" wrapText="1"/>
    </xf>
    <xf numFmtId="0" fontId="13" fillId="3" borderId="1" xfId="16" applyAlignment="1">
      <alignment horizontal="right" vertical="top" wrapText="1"/>
    </xf>
    <xf numFmtId="3" fontId="77" fillId="3" borderId="1" xfId="16" applyNumberFormat="1" applyFont="1" applyAlignment="1">
      <alignment horizontal="right" vertical="top" wrapText="1"/>
    </xf>
    <xf numFmtId="2" fontId="13" fillId="3" borderId="1" xfId="16" applyNumberFormat="1" applyAlignment="1">
      <alignment horizontal="right" vertical="top" wrapText="1"/>
    </xf>
    <xf numFmtId="2" fontId="77" fillId="3" borderId="1" xfId="16" applyNumberFormat="1" applyFont="1" applyAlignment="1">
      <alignment horizontal="right" vertical="top" wrapText="1"/>
    </xf>
    <xf numFmtId="167" fontId="77" fillId="3" borderId="1" xfId="16" applyNumberFormat="1" applyFont="1" applyAlignment="1">
      <alignment horizontal="right" vertical="top" wrapText="1"/>
    </xf>
    <xf numFmtId="167" fontId="13" fillId="3" borderId="1" xfId="16" applyNumberFormat="1" applyAlignment="1">
      <alignment horizontal="right" vertical="top" wrapText="1"/>
    </xf>
    <xf numFmtId="167" fontId="14" fillId="4" borderId="1" xfId="15" applyNumberFormat="1" applyAlignment="1">
      <alignment horizontal="right" vertical="center"/>
      <protection locked="0"/>
    </xf>
    <xf numFmtId="3" fontId="77" fillId="3" borderId="0" xfId="16" applyNumberFormat="1" applyFont="1" applyBorder="1" applyAlignment="1">
      <alignment horizontal="right" vertical="top" wrapText="1"/>
    </xf>
    <xf numFmtId="2" fontId="13" fillId="3" borderId="0" xfId="16" applyNumberFormat="1" applyBorder="1" applyAlignment="1">
      <alignment horizontal="right" vertical="top" wrapText="1"/>
    </xf>
    <xf numFmtId="0" fontId="13" fillId="3" borderId="0" xfId="16" applyBorder="1" applyAlignment="1">
      <alignment horizontal="right" vertical="top" wrapText="1"/>
    </xf>
    <xf numFmtId="0" fontId="27" fillId="3" borderId="20" xfId="11" applyBorder="1" applyAlignment="1">
      <alignment horizontal="center" vertical="center"/>
    </xf>
    <xf numFmtId="4" fontId="14" fillId="6" borderId="5" xfId="18" applyNumberFormat="1" applyBorder="1" applyAlignment="1">
      <alignment horizontal="left" vertical="top"/>
    </xf>
    <xf numFmtId="4" fontId="14" fillId="6" borderId="1" xfId="18" applyNumberFormat="1" applyAlignment="1">
      <alignment horizontal="left" vertical="top"/>
    </xf>
    <xf numFmtId="4" fontId="14" fillId="6" borderId="4" xfId="18" applyNumberFormat="1" applyBorder="1" applyAlignment="1">
      <alignment horizontal="left" vertical="top"/>
    </xf>
    <xf numFmtId="2" fontId="13" fillId="3" borderId="0" xfId="16" applyNumberFormat="1" applyBorder="1" applyAlignment="1">
      <alignment horizontal="center" vertical="center"/>
    </xf>
    <xf numFmtId="0" fontId="27" fillId="3" borderId="24" xfId="11" applyBorder="1" applyAlignment="1">
      <alignment horizontal="center" vertical="center"/>
    </xf>
    <xf numFmtId="3" fontId="14" fillId="6" borderId="17" xfId="18" applyNumberFormat="1" applyBorder="1" applyAlignment="1">
      <alignment horizontal="center" vertical="top" wrapText="1"/>
    </xf>
    <xf numFmtId="0" fontId="27" fillId="3" borderId="27" xfId="11" applyBorder="1" applyAlignment="1">
      <alignment horizontal="center" vertical="center"/>
    </xf>
    <xf numFmtId="0" fontId="8" fillId="4" borderId="7" xfId="13" applyBorder="1"/>
    <xf numFmtId="0" fontId="27" fillId="3" borderId="28" xfId="11" applyBorder="1" applyAlignment="1">
      <alignment horizontal="center" vertical="center"/>
    </xf>
    <xf numFmtId="0" fontId="8" fillId="4" borderId="9" xfId="13" applyBorder="1"/>
    <xf numFmtId="0" fontId="81" fillId="4" borderId="0" xfId="13" applyFont="1" applyAlignment="1">
      <alignment horizontal="right" vertical="center"/>
    </xf>
    <xf numFmtId="0" fontId="81" fillId="4" borderId="0" xfId="13" applyFont="1" applyAlignment="1">
      <alignment vertical="center"/>
    </xf>
    <xf numFmtId="0" fontId="87" fillId="3" borderId="0" xfId="11" applyFont="1" applyAlignment="1">
      <alignment horizontal="center" vertical="center"/>
    </xf>
    <xf numFmtId="0" fontId="87" fillId="3" borderId="5" xfId="11" applyFont="1" applyBorder="1" applyAlignment="1">
      <alignment vertical="center"/>
    </xf>
    <xf numFmtId="0" fontId="87" fillId="3" borderId="0" xfId="11" applyFont="1" applyBorder="1" applyAlignment="1">
      <alignment vertical="center"/>
    </xf>
    <xf numFmtId="0" fontId="87" fillId="3" borderId="0" xfId="11" applyFont="1" applyAlignment="1">
      <alignment horizontal="left" vertical="center"/>
    </xf>
    <xf numFmtId="3" fontId="13" fillId="5" borderId="1" xfId="14" applyNumberFormat="1" applyAlignment="1">
      <alignment horizontal="left" vertical="top" wrapText="1"/>
    </xf>
    <xf numFmtId="0" fontId="13" fillId="5" borderId="1" xfId="14" applyAlignment="1">
      <alignment horizontal="left" vertical="top" wrapText="1"/>
    </xf>
    <xf numFmtId="0" fontId="41" fillId="6" borderId="5" xfId="18" applyNumberFormat="1" applyFont="1" applyBorder="1" applyAlignment="1">
      <alignment horizontal="center" vertical="center"/>
    </xf>
    <xf numFmtId="0" fontId="41" fillId="6" borderId="1" xfId="18" applyNumberFormat="1" applyFont="1" applyAlignment="1">
      <alignment horizontal="center" vertical="center"/>
    </xf>
    <xf numFmtId="0" fontId="41" fillId="6" borderId="8" xfId="18" applyNumberFormat="1" applyFont="1" applyBorder="1" applyAlignment="1">
      <alignment horizontal="center" vertical="center"/>
    </xf>
    <xf numFmtId="171" fontId="14" fillId="6" borderId="1" xfId="20" applyNumberFormat="1" applyFont="1" applyFill="1" applyBorder="1" applyAlignment="1">
      <alignment horizontal="center" vertical="center"/>
    </xf>
    <xf numFmtId="0" fontId="14" fillId="5" borderId="1" xfId="14" applyFont="1" applyAlignment="1">
      <alignment vertical="center"/>
    </xf>
    <xf numFmtId="1" fontId="14" fillId="6" borderId="1" xfId="20" applyNumberFormat="1" applyFont="1" applyFill="1" applyBorder="1" applyAlignment="1">
      <alignment horizontal="center" vertical="center"/>
    </xf>
    <xf numFmtId="0" fontId="88" fillId="5" borderId="1" xfId="14" applyFont="1" applyAlignment="1">
      <alignment vertical="center"/>
    </xf>
    <xf numFmtId="0" fontId="28" fillId="2" borderId="1" xfId="17" applyAlignment="1">
      <alignment horizontal="left" vertical="center"/>
    </xf>
    <xf numFmtId="171" fontId="41" fillId="6" borderId="1" xfId="20" applyNumberFormat="1" applyFont="1" applyFill="1" applyBorder="1" applyAlignment="1">
      <alignment horizontal="center" vertical="center"/>
    </xf>
    <xf numFmtId="1" fontId="41" fillId="6" borderId="1" xfId="20" applyNumberFormat="1" applyFont="1" applyFill="1" applyBorder="1" applyAlignment="1">
      <alignment horizontal="center" vertical="center"/>
    </xf>
    <xf numFmtId="9" fontId="41" fillId="6" borderId="1" xfId="20" applyFont="1" applyFill="1" applyBorder="1" applyAlignment="1">
      <alignment horizontal="center" vertical="center"/>
    </xf>
    <xf numFmtId="0" fontId="14" fillId="3" borderId="0" xfId="11" applyFont="1" applyAlignment="1"/>
    <xf numFmtId="0" fontId="49" fillId="3" borderId="0" xfId="16" applyFont="1" applyBorder="1" applyAlignment="1">
      <alignment horizontal="right" vertical="center"/>
    </xf>
    <xf numFmtId="0" fontId="89" fillId="3" borderId="0" xfId="11" applyFont="1" applyAlignment="1">
      <alignment horizontal="left" vertical="center"/>
    </xf>
    <xf numFmtId="0" fontId="89" fillId="3" borderId="0" xfId="11" applyFont="1" applyAlignment="1">
      <alignment horizontal="left"/>
    </xf>
    <xf numFmtId="0" fontId="89" fillId="3" borderId="0" xfId="11" applyFont="1" applyAlignment="1">
      <alignment horizontal="left" vertical="top" wrapText="1"/>
    </xf>
    <xf numFmtId="0" fontId="90" fillId="4" borderId="0" xfId="13" applyFont="1" applyAlignment="1">
      <alignment horizontal="left"/>
    </xf>
    <xf numFmtId="0" fontId="90" fillId="2" borderId="1" xfId="13" applyFont="1" applyFill="1" applyBorder="1" applyAlignment="1">
      <alignment horizontal="left"/>
    </xf>
    <xf numFmtId="0" fontId="90" fillId="4" borderId="0" xfId="13" applyFont="1" applyAlignment="1">
      <alignment horizontal="left" vertical="center"/>
    </xf>
    <xf numFmtId="0" fontId="27" fillId="3" borderId="0" xfId="11" applyAlignment="1">
      <alignment horizontal="left"/>
    </xf>
    <xf numFmtId="0" fontId="91" fillId="3" borderId="0" xfId="16" applyFont="1" applyBorder="1" applyAlignment="1">
      <alignment horizontal="left" vertical="center"/>
    </xf>
    <xf numFmtId="0" fontId="37" fillId="6" borderId="1" xfId="18" applyNumberFormat="1" applyFont="1" applyAlignment="1">
      <alignment horizontal="center" vertical="center"/>
    </xf>
    <xf numFmtId="171" fontId="37" fillId="6" borderId="1" xfId="20" applyNumberFormat="1" applyFont="1" applyFill="1" applyBorder="1" applyAlignment="1">
      <alignment horizontal="center" vertical="center"/>
    </xf>
    <xf numFmtId="1" fontId="37" fillId="6" borderId="1" xfId="20" applyNumberFormat="1" applyFont="1" applyFill="1" applyBorder="1" applyAlignment="1">
      <alignment horizontal="center" vertical="center"/>
    </xf>
    <xf numFmtId="0" fontId="37" fillId="6" borderId="8" xfId="18" applyNumberFormat="1" applyFont="1" applyBorder="1" applyAlignment="1">
      <alignment horizontal="center" vertical="center"/>
    </xf>
    <xf numFmtId="0" fontId="37" fillId="6" borderId="5" xfId="18" applyNumberFormat="1" applyFont="1" applyBorder="1" applyAlignment="1">
      <alignment horizontal="center" vertical="center"/>
    </xf>
    <xf numFmtId="9" fontId="37" fillId="6" borderId="1" xfId="20" applyFont="1" applyFill="1" applyBorder="1" applyAlignment="1">
      <alignment horizontal="center" vertical="center"/>
    </xf>
    <xf numFmtId="3" fontId="13" fillId="5" borderId="1" xfId="14" quotePrefix="1" applyNumberFormat="1" applyAlignment="1">
      <alignment horizontal="left" vertical="top" wrapText="1"/>
    </xf>
    <xf numFmtId="0" fontId="13" fillId="3" borderId="23" xfId="16" applyBorder="1" applyAlignment="1">
      <alignment horizontal="left" vertical="center"/>
    </xf>
    <xf numFmtId="3" fontId="13" fillId="3" borderId="10" xfId="16" applyNumberFormat="1" applyBorder="1" applyAlignment="1">
      <alignment horizontal="right" vertical="center"/>
    </xf>
    <xf numFmtId="0" fontId="93" fillId="3" borderId="4" xfId="33" applyFont="1" applyFill="1" applyBorder="1" applyAlignment="1">
      <alignment horizontal="center" vertical="center"/>
    </xf>
    <xf numFmtId="167" fontId="13" fillId="3" borderId="1" xfId="16" applyNumberFormat="1" applyAlignment="1">
      <alignment horizontal="right" vertical="center"/>
    </xf>
    <xf numFmtId="0" fontId="63" fillId="4" borderId="1" xfId="15" applyNumberFormat="1" applyFont="1" applyAlignment="1">
      <alignment horizontal="center"/>
      <protection locked="0"/>
    </xf>
    <xf numFmtId="3" fontId="16" fillId="3" borderId="1" xfId="16" applyNumberFormat="1" applyFont="1" applyAlignment="1">
      <alignment horizontal="right" vertical="center"/>
    </xf>
    <xf numFmtId="3" fontId="87" fillId="6" borderId="1" xfId="18" applyNumberFormat="1" applyFont="1" applyAlignment="1">
      <alignment horizontal="right" vertical="center"/>
    </xf>
    <xf numFmtId="182" fontId="87" fillId="6" borderId="1" xfId="18" applyNumberFormat="1" applyFont="1" applyAlignment="1">
      <alignment horizontal="right" vertical="center"/>
    </xf>
    <xf numFmtId="172" fontId="87" fillId="6" borderId="1" xfId="18" applyNumberFormat="1" applyFont="1" applyAlignment="1">
      <alignment horizontal="right" vertical="center"/>
    </xf>
    <xf numFmtId="3" fontId="16" fillId="3" borderId="1" xfId="16" applyNumberFormat="1" applyFont="1" applyAlignment="1">
      <alignment horizontal="right" vertical="center" wrapText="1"/>
    </xf>
    <xf numFmtId="166" fontId="87" fillId="6" borderId="1" xfId="18" applyNumberFormat="1" applyFont="1" applyAlignment="1">
      <alignment horizontal="right" vertical="center"/>
    </xf>
    <xf numFmtId="0" fontId="5" fillId="0" borderId="0" xfId="0" applyFont="1" applyAlignment="1">
      <alignment vertical="top"/>
    </xf>
    <xf numFmtId="0" fontId="5" fillId="0" borderId="0" xfId="0" applyFont="1" applyAlignment="1">
      <alignment vertical="center"/>
    </xf>
    <xf numFmtId="0" fontId="8" fillId="0" borderId="0" xfId="13" applyFill="1" applyAlignment="1">
      <alignment vertical="center"/>
    </xf>
    <xf numFmtId="0" fontId="88" fillId="0" borderId="1" xfId="14" applyFont="1" applyFill="1" applyAlignment="1">
      <alignment vertical="center"/>
    </xf>
    <xf numFmtId="0" fontId="13" fillId="0" borderId="1" xfId="14" applyFill="1" applyAlignment="1">
      <alignment vertical="center"/>
    </xf>
    <xf numFmtId="0" fontId="13" fillId="0" borderId="0" xfId="14" applyFill="1" applyBorder="1" applyAlignment="1">
      <alignment vertical="center" wrapText="1"/>
    </xf>
    <xf numFmtId="0" fontId="14" fillId="0" borderId="0" xfId="18" applyNumberFormat="1" applyFill="1" applyBorder="1" applyAlignment="1">
      <alignment horizontal="center" vertical="center"/>
    </xf>
    <xf numFmtId="0" fontId="37" fillId="0" borderId="0" xfId="18" applyNumberFormat="1" applyFont="1" applyFill="1" applyBorder="1" applyAlignment="1">
      <alignment horizontal="center" vertical="center"/>
    </xf>
    <xf numFmtId="0" fontId="27" fillId="0" borderId="0" xfId="11" applyFill="1" applyBorder="1" applyAlignment="1">
      <alignment vertical="center"/>
    </xf>
    <xf numFmtId="0" fontId="41" fillId="0" borderId="0" xfId="18" applyNumberFormat="1" applyFont="1" applyFill="1" applyBorder="1" applyAlignment="1">
      <alignment horizontal="center" vertical="center"/>
    </xf>
    <xf numFmtId="0" fontId="13" fillId="5" borderId="1" xfId="14" applyAlignment="1">
      <alignment horizontal="center"/>
    </xf>
    <xf numFmtId="9" fontId="14" fillId="4" borderId="1" xfId="20" applyFont="1" applyFill="1" applyBorder="1" applyAlignment="1" applyProtection="1">
      <alignment horizontal="center"/>
      <protection locked="0"/>
    </xf>
    <xf numFmtId="0" fontId="31" fillId="4" borderId="0" xfId="13" applyFont="1" applyAlignment="1">
      <alignment horizontal="center"/>
    </xf>
    <xf numFmtId="0" fontId="34" fillId="3" borderId="0" xfId="11" applyFont="1" applyAlignment="1">
      <alignment horizontal="center"/>
    </xf>
    <xf numFmtId="0" fontId="14" fillId="3" borderId="1" xfId="11" applyFont="1" applyBorder="1" applyAlignment="1">
      <alignment horizontal="center" vertical="center"/>
    </xf>
    <xf numFmtId="0" fontId="34" fillId="3" borderId="0" xfId="11" applyFont="1" applyAlignment="1">
      <alignment horizontal="left" vertical="center"/>
    </xf>
    <xf numFmtId="0" fontId="43" fillId="3" borderId="27" xfId="11" applyFont="1" applyBorder="1" applyAlignment="1">
      <alignment horizontal="left" vertical="center" indent="1"/>
    </xf>
    <xf numFmtId="0" fontId="32" fillId="4" borderId="5" xfId="19" applyFont="1" applyBorder="1" applyAlignment="1">
      <alignment horizontal="center" vertical="center"/>
    </xf>
    <xf numFmtId="0" fontId="8" fillId="4" borderId="5" xfId="13" applyBorder="1" applyAlignment="1">
      <alignment vertical="center"/>
    </xf>
    <xf numFmtId="0" fontId="52" fillId="4" borderId="5" xfId="19" applyFont="1" applyBorder="1" applyAlignment="1">
      <alignment horizontal="left" vertical="center"/>
    </xf>
    <xf numFmtId="9" fontId="27" fillId="3" borderId="0" xfId="11" applyNumberFormat="1" applyAlignment="1">
      <alignment vertical="center"/>
    </xf>
    <xf numFmtId="0" fontId="5" fillId="0" borderId="0" xfId="21" applyAlignment="1">
      <alignment vertical="center"/>
    </xf>
    <xf numFmtId="9" fontId="27" fillId="3" borderId="0" xfId="11" applyNumberFormat="1" applyAlignment="1">
      <alignment horizontal="center" vertical="center"/>
    </xf>
    <xf numFmtId="167" fontId="27" fillId="3" borderId="0" xfId="11" applyNumberFormat="1" applyAlignment="1">
      <alignment horizontal="center" vertical="center"/>
    </xf>
    <xf numFmtId="9" fontId="13" fillId="3" borderId="1" xfId="16" applyNumberFormat="1" applyAlignment="1">
      <alignment vertical="center"/>
    </xf>
    <xf numFmtId="171" fontId="14" fillId="4" borderId="1" xfId="20" applyNumberFormat="1" applyFont="1" applyFill="1" applyBorder="1" applyAlignment="1" applyProtection="1">
      <alignment horizontal="center" vertical="center"/>
      <protection locked="0"/>
    </xf>
    <xf numFmtId="167" fontId="14" fillId="4" borderId="1" xfId="15" applyNumberFormat="1" applyAlignment="1">
      <alignment horizontal="center" vertical="center"/>
      <protection locked="0"/>
    </xf>
    <xf numFmtId="0" fontId="33" fillId="3" borderId="0" xfId="11" applyFont="1" applyAlignment="1">
      <alignment vertical="center"/>
    </xf>
    <xf numFmtId="9" fontId="5" fillId="0" borderId="0" xfId="20" applyFont="1" applyAlignment="1">
      <alignment horizontal="center" vertical="center"/>
    </xf>
    <xf numFmtId="9" fontId="5" fillId="0" borderId="0" xfId="20" applyFont="1" applyAlignment="1">
      <alignment vertical="center"/>
    </xf>
    <xf numFmtId="167" fontId="5" fillId="0" borderId="0" xfId="21" applyNumberFormat="1" applyAlignment="1">
      <alignment horizontal="center" vertical="center"/>
    </xf>
    <xf numFmtId="0" fontId="5" fillId="0" borderId="0" xfId="21" applyAlignment="1">
      <alignment horizontal="left" vertical="center"/>
    </xf>
    <xf numFmtId="0" fontId="94" fillId="5" borderId="1" xfId="14" applyFont="1" applyAlignment="1">
      <alignment vertical="center"/>
    </xf>
    <xf numFmtId="0" fontId="8" fillId="4" borderId="0" xfId="13" applyAlignment="1">
      <alignment horizontal="left" wrapText="1"/>
    </xf>
    <xf numFmtId="0" fontId="28" fillId="2" borderId="1" xfId="17" applyAlignment="1">
      <alignment vertical="center" wrapText="1"/>
    </xf>
    <xf numFmtId="0" fontId="8" fillId="4" borderId="0" xfId="13" applyAlignment="1">
      <alignment horizontal="right" vertical="center" wrapText="1"/>
    </xf>
    <xf numFmtId="0" fontId="27" fillId="3" borderId="0" xfId="11" applyBorder="1" applyAlignment="1">
      <alignment horizontal="center" vertical="center" wrapText="1"/>
    </xf>
    <xf numFmtId="0" fontId="27" fillId="3" borderId="0" xfId="11" applyBorder="1" applyAlignment="1">
      <alignment vertical="center" wrapText="1"/>
    </xf>
    <xf numFmtId="0" fontId="27" fillId="3" borderId="0" xfId="11" applyAlignment="1">
      <alignment wrapText="1"/>
    </xf>
    <xf numFmtId="3" fontId="13" fillId="5" borderId="1" xfId="14" applyNumberFormat="1" applyAlignment="1">
      <alignment horizontal="center" textRotation="90"/>
    </xf>
    <xf numFmtId="4" fontId="13" fillId="5" borderId="1" xfId="14" applyNumberFormat="1" applyAlignment="1">
      <alignment horizontal="center" textRotation="90"/>
    </xf>
    <xf numFmtId="3" fontId="13" fillId="3" borderId="1" xfId="16" applyNumberFormat="1" applyAlignment="1">
      <alignment horizontal="center" vertical="center"/>
    </xf>
    <xf numFmtId="4" fontId="13" fillId="3" borderId="1" xfId="16" applyNumberFormat="1" applyAlignment="1">
      <alignment horizontal="center" vertical="center"/>
    </xf>
    <xf numFmtId="3" fontId="41" fillId="5" borderId="1" xfId="14" applyNumberFormat="1" applyFont="1" applyAlignment="1">
      <alignment horizontal="center" vertical="center"/>
    </xf>
    <xf numFmtId="0" fontId="41" fillId="5" borderId="1" xfId="14" applyNumberFormat="1" applyFont="1" applyAlignment="1">
      <alignment horizontal="center"/>
    </xf>
    <xf numFmtId="171" fontId="13" fillId="5" borderId="11" xfId="20" applyNumberFormat="1" applyFont="1" applyFill="1" applyBorder="1" applyAlignment="1">
      <alignment horizontal="center" vertical="center"/>
    </xf>
    <xf numFmtId="171" fontId="13" fillId="5" borderId="6" xfId="20" applyNumberFormat="1" applyFont="1" applyFill="1" applyBorder="1" applyAlignment="1">
      <alignment horizontal="center" vertical="center"/>
    </xf>
    <xf numFmtId="0" fontId="4" fillId="0" borderId="0" xfId="34"/>
    <xf numFmtId="3" fontId="13" fillId="5" borderId="1" xfId="14" applyNumberFormat="1" applyAlignment="1">
      <alignment vertical="center"/>
    </xf>
    <xf numFmtId="169" fontId="13" fillId="5" borderId="1" xfId="14" applyNumberFormat="1" applyAlignment="1">
      <alignment vertical="center"/>
    </xf>
    <xf numFmtId="3" fontId="14" fillId="4" borderId="1" xfId="15" applyNumberFormat="1" applyAlignment="1">
      <alignment vertical="center"/>
      <protection locked="0"/>
    </xf>
    <xf numFmtId="0" fontId="13" fillId="5" borderId="1" xfId="14" applyNumberFormat="1" applyAlignment="1">
      <alignment vertical="center"/>
    </xf>
    <xf numFmtId="0" fontId="27" fillId="3" borderId="5" xfId="11" applyBorder="1" applyAlignment="1"/>
    <xf numFmtId="0" fontId="13" fillId="3" borderId="5" xfId="16" applyBorder="1" applyAlignment="1">
      <alignment horizontal="center"/>
    </xf>
    <xf numFmtId="0" fontId="95" fillId="21" borderId="38" xfId="0" applyFont="1" applyFill="1" applyBorder="1" applyAlignment="1">
      <alignment horizontal="left" vertical="center"/>
    </xf>
    <xf numFmtId="9" fontId="96" fillId="21" borderId="39" xfId="20" applyFont="1" applyFill="1" applyBorder="1" applyAlignment="1" applyProtection="1">
      <alignment vertical="center"/>
    </xf>
    <xf numFmtId="9" fontId="96" fillId="21" borderId="40" xfId="20" applyFont="1" applyFill="1" applyBorder="1" applyAlignment="1" applyProtection="1">
      <alignment horizontal="center" vertical="center"/>
    </xf>
    <xf numFmtId="9" fontId="95" fillId="22" borderId="41" xfId="20" applyFont="1" applyFill="1" applyBorder="1" applyAlignment="1" applyProtection="1">
      <alignment horizontal="center" vertical="center"/>
    </xf>
    <xf numFmtId="0" fontId="96" fillId="21" borderId="38" xfId="0" applyFont="1" applyFill="1" applyBorder="1" applyAlignment="1">
      <alignment horizontal="left" vertical="center"/>
    </xf>
    <xf numFmtId="9" fontId="97" fillId="21" borderId="40" xfId="20" applyFont="1" applyFill="1" applyBorder="1" applyAlignment="1" applyProtection="1">
      <alignment horizontal="center" vertical="center"/>
    </xf>
    <xf numFmtId="9" fontId="95" fillId="22" borderId="42" xfId="20" applyFont="1" applyFill="1" applyBorder="1" applyAlignment="1" applyProtection="1">
      <alignment horizontal="center" vertical="center"/>
    </xf>
    <xf numFmtId="0" fontId="98" fillId="23" borderId="43" xfId="0" applyFont="1" applyFill="1" applyBorder="1" applyAlignment="1">
      <alignment horizontal="left" vertical="center"/>
    </xf>
    <xf numFmtId="9" fontId="98" fillId="4" borderId="44" xfId="20" applyFont="1" applyFill="1" applyBorder="1" applyAlignment="1" applyProtection="1">
      <alignment horizontal="center" vertical="center"/>
      <protection locked="0"/>
    </xf>
    <xf numFmtId="9" fontId="98" fillId="4" borderId="45" xfId="20" applyFont="1" applyFill="1" applyBorder="1" applyAlignment="1" applyProtection="1">
      <alignment horizontal="center" vertical="center"/>
      <protection locked="0"/>
    </xf>
    <xf numFmtId="9" fontId="98" fillId="4" borderId="46" xfId="20" applyFont="1" applyFill="1" applyBorder="1" applyAlignment="1" applyProtection="1">
      <alignment horizontal="center" vertical="center"/>
      <protection locked="0"/>
    </xf>
    <xf numFmtId="9" fontId="98" fillId="23" borderId="47" xfId="20" applyFont="1" applyFill="1" applyBorder="1" applyAlignment="1" applyProtection="1">
      <alignment horizontal="center" vertical="center"/>
    </xf>
    <xf numFmtId="9" fontId="98" fillId="23" borderId="48" xfId="20" applyFont="1" applyFill="1" applyBorder="1" applyAlignment="1" applyProtection="1">
      <alignment horizontal="center" vertical="center"/>
    </xf>
    <xf numFmtId="9" fontId="98" fillId="23" borderId="0" xfId="20" applyFont="1" applyFill="1" applyBorder="1" applyAlignment="1" applyProtection="1">
      <alignment horizontal="center" vertical="center"/>
    </xf>
    <xf numFmtId="9" fontId="98" fillId="23" borderId="42" xfId="20" applyFont="1" applyFill="1" applyBorder="1" applyAlignment="1" applyProtection="1">
      <alignment horizontal="center" vertical="center"/>
    </xf>
    <xf numFmtId="0" fontId="98" fillId="24" borderId="48" xfId="0" applyFont="1" applyFill="1" applyBorder="1" applyAlignment="1">
      <alignment horizontal="left" vertical="center"/>
    </xf>
    <xf numFmtId="9" fontId="98" fillId="24" borderId="48" xfId="20" applyFont="1" applyFill="1" applyBorder="1" applyAlignment="1" applyProtection="1">
      <alignment horizontal="center" vertical="center"/>
    </xf>
    <xf numFmtId="9" fontId="98" fillId="24" borderId="43" xfId="20" applyFont="1" applyFill="1" applyBorder="1" applyAlignment="1" applyProtection="1">
      <alignment horizontal="center" vertical="center"/>
    </xf>
    <xf numFmtId="9" fontId="98" fillId="24" borderId="47" xfId="20" applyFont="1" applyFill="1" applyBorder="1" applyAlignment="1" applyProtection="1">
      <alignment horizontal="center" vertical="center"/>
    </xf>
    <xf numFmtId="9" fontId="98" fillId="24" borderId="0" xfId="20" applyFont="1" applyFill="1" applyBorder="1" applyAlignment="1" applyProtection="1">
      <alignment horizontal="center" vertical="center"/>
    </xf>
    <xf numFmtId="9" fontId="98" fillId="24" borderId="42" xfId="20" applyFont="1" applyFill="1" applyBorder="1" applyAlignment="1" applyProtection="1">
      <alignment horizontal="center" vertical="center"/>
    </xf>
    <xf numFmtId="0" fontId="98" fillId="25" borderId="48" xfId="0" applyFont="1" applyFill="1" applyBorder="1" applyAlignment="1">
      <alignment horizontal="left" vertical="center"/>
    </xf>
    <xf numFmtId="9" fontId="98" fillId="25" borderId="48" xfId="20" applyFont="1" applyFill="1" applyBorder="1" applyAlignment="1" applyProtection="1">
      <alignment horizontal="center" vertical="center"/>
    </xf>
    <xf numFmtId="9" fontId="98" fillId="25" borderId="43" xfId="20" applyFont="1" applyFill="1" applyBorder="1" applyAlignment="1" applyProtection="1">
      <alignment horizontal="center" vertical="center"/>
    </xf>
    <xf numFmtId="9" fontId="98" fillId="25" borderId="0" xfId="20" applyFont="1" applyFill="1" applyBorder="1" applyAlignment="1" applyProtection="1">
      <alignment horizontal="center" vertical="center"/>
    </xf>
    <xf numFmtId="9" fontId="98" fillId="25" borderId="42" xfId="20" applyFont="1" applyFill="1" applyBorder="1" applyAlignment="1" applyProtection="1">
      <alignment horizontal="center" vertical="center"/>
    </xf>
    <xf numFmtId="9" fontId="98" fillId="25" borderId="44" xfId="20" applyFont="1" applyFill="1" applyBorder="1" applyAlignment="1" applyProtection="1">
      <alignment horizontal="center" vertical="center"/>
    </xf>
    <xf numFmtId="9" fontId="98" fillId="25" borderId="45" xfId="20" applyFont="1" applyFill="1" applyBorder="1" applyAlignment="1" applyProtection="1">
      <alignment horizontal="center" vertical="center"/>
    </xf>
    <xf numFmtId="9" fontId="98" fillId="25" borderId="46" xfId="20" applyFont="1" applyFill="1" applyBorder="1" applyAlignment="1" applyProtection="1">
      <alignment horizontal="center" vertical="center"/>
    </xf>
    <xf numFmtId="9" fontId="98" fillId="24" borderId="44" xfId="20" applyFont="1" applyFill="1" applyBorder="1" applyAlignment="1" applyProtection="1">
      <alignment horizontal="center" vertical="center"/>
    </xf>
    <xf numFmtId="9" fontId="98" fillId="24" borderId="45" xfId="20" applyFont="1" applyFill="1" applyBorder="1" applyAlignment="1" applyProtection="1">
      <alignment horizontal="center" vertical="center"/>
    </xf>
    <xf numFmtId="9" fontId="98" fillId="24" borderId="46" xfId="20" applyFont="1" applyFill="1" applyBorder="1" applyAlignment="1" applyProtection="1">
      <alignment horizontal="center" vertical="center"/>
    </xf>
    <xf numFmtId="0" fontId="96" fillId="23" borderId="43" xfId="0" applyFont="1" applyFill="1" applyBorder="1" applyAlignment="1">
      <alignment horizontal="left" vertical="center"/>
    </xf>
    <xf numFmtId="9" fontId="96" fillId="23" borderId="44" xfId="20" applyFont="1" applyFill="1" applyBorder="1" applyAlignment="1" applyProtection="1">
      <alignment horizontal="center" vertical="center"/>
    </xf>
    <xf numFmtId="9" fontId="96" fillId="23" borderId="45" xfId="20" applyFont="1" applyFill="1" applyBorder="1" applyAlignment="1" applyProtection="1">
      <alignment horizontal="center" vertical="center"/>
    </xf>
    <xf numFmtId="9" fontId="96" fillId="23" borderId="46" xfId="20" applyFont="1" applyFill="1" applyBorder="1" applyAlignment="1" applyProtection="1">
      <alignment horizontal="center" vertical="center"/>
    </xf>
    <xf numFmtId="9" fontId="96" fillId="23" borderId="47" xfId="20" applyFont="1" applyFill="1" applyBorder="1" applyAlignment="1" applyProtection="1">
      <alignment horizontal="center" vertical="center"/>
    </xf>
    <xf numFmtId="9" fontId="96" fillId="23" borderId="48" xfId="20" applyFont="1" applyFill="1" applyBorder="1" applyAlignment="1" applyProtection="1">
      <alignment horizontal="center" vertical="center"/>
    </xf>
    <xf numFmtId="9" fontId="96" fillId="23" borderId="0" xfId="20" applyFont="1" applyFill="1" applyBorder="1" applyAlignment="1" applyProtection="1">
      <alignment horizontal="center" vertical="center"/>
    </xf>
    <xf numFmtId="9" fontId="96" fillId="23" borderId="42" xfId="20" applyFont="1" applyFill="1" applyBorder="1" applyAlignment="1" applyProtection="1">
      <alignment horizontal="center" vertical="center"/>
    </xf>
    <xf numFmtId="9" fontId="98" fillId="25" borderId="49" xfId="20" applyFont="1" applyFill="1" applyBorder="1" applyAlignment="1" applyProtection="1">
      <alignment horizontal="center" vertical="center"/>
    </xf>
    <xf numFmtId="0" fontId="96" fillId="21" borderId="50" xfId="0" applyFont="1" applyFill="1" applyBorder="1" applyAlignment="1">
      <alignment horizontal="left" vertical="center"/>
    </xf>
    <xf numFmtId="9" fontId="96" fillId="21" borderId="51" xfId="20" applyFont="1" applyFill="1" applyBorder="1" applyAlignment="1" applyProtection="1">
      <alignment horizontal="center" vertical="center"/>
    </xf>
    <xf numFmtId="9" fontId="96" fillId="21" borderId="52" xfId="20" applyFont="1" applyFill="1" applyBorder="1" applyAlignment="1" applyProtection="1">
      <alignment horizontal="right" vertical="center"/>
    </xf>
    <xf numFmtId="0" fontId="100" fillId="26" borderId="53" xfId="0" applyFont="1" applyFill="1" applyBorder="1" applyAlignment="1">
      <alignment vertical="top" wrapText="1"/>
    </xf>
    <xf numFmtId="0" fontId="100" fillId="26" borderId="54" xfId="0" applyFont="1" applyFill="1" applyBorder="1" applyAlignment="1">
      <alignment vertical="top" wrapText="1"/>
    </xf>
    <xf numFmtId="0" fontId="100" fillId="26" borderId="0" xfId="0" applyFont="1" applyFill="1" applyAlignment="1">
      <alignment horizontal="center" vertical="top" wrapText="1"/>
    </xf>
    <xf numFmtId="0" fontId="101" fillId="26" borderId="61" xfId="0" applyFont="1" applyFill="1" applyBorder="1" applyAlignment="1">
      <alignment vertical="top"/>
    </xf>
    <xf numFmtId="0" fontId="101" fillId="26" borderId="61" xfId="0" applyFont="1" applyFill="1" applyBorder="1" applyAlignment="1">
      <alignment horizontal="right" vertical="top"/>
    </xf>
    <xf numFmtId="0" fontId="101" fillId="26" borderId="68" xfId="0" applyFont="1" applyFill="1" applyBorder="1" applyAlignment="1">
      <alignment horizontal="center" vertical="top" wrapText="1"/>
    </xf>
    <xf numFmtId="0" fontId="102" fillId="0" borderId="81" xfId="0" applyFont="1" applyBorder="1" applyAlignment="1">
      <alignment horizontal="center" vertical="top" wrapText="1"/>
    </xf>
    <xf numFmtId="0" fontId="102" fillId="0" borderId="83" xfId="0" applyFont="1" applyBorder="1" applyAlignment="1">
      <alignment horizontal="left" vertical="top" wrapText="1"/>
    </xf>
    <xf numFmtId="0" fontId="102" fillId="0" borderId="84" xfId="0" applyFont="1" applyBorder="1" applyAlignment="1">
      <alignment horizontal="left" vertical="top" wrapText="1"/>
    </xf>
    <xf numFmtId="0" fontId="102" fillId="0" borderId="69" xfId="0" applyFont="1" applyBorder="1" applyAlignment="1">
      <alignment horizontal="center" vertical="center" wrapText="1"/>
    </xf>
    <xf numFmtId="0" fontId="102" fillId="0" borderId="70" xfId="0" applyFont="1" applyBorder="1" applyAlignment="1">
      <alignment horizontal="center" vertical="center" wrapText="1"/>
    </xf>
    <xf numFmtId="0" fontId="102" fillId="0" borderId="71" xfId="0" applyFont="1" applyBorder="1" applyAlignment="1">
      <alignment horizontal="center" vertical="center" wrapText="1"/>
    </xf>
    <xf numFmtId="0" fontId="102" fillId="26" borderId="0" xfId="0" applyFont="1" applyFill="1" applyAlignment="1">
      <alignment horizontal="center" vertical="top" wrapText="1"/>
    </xf>
    <xf numFmtId="0" fontId="102" fillId="0" borderId="75" xfId="0" applyFont="1" applyBorder="1" applyAlignment="1">
      <alignment horizontal="center" vertical="top" wrapText="1"/>
    </xf>
    <xf numFmtId="0" fontId="102" fillId="0" borderId="76" xfId="0" applyFont="1" applyBorder="1" applyAlignment="1">
      <alignment horizontal="center" vertical="top" wrapText="1"/>
    </xf>
    <xf numFmtId="0" fontId="102" fillId="0" borderId="77" xfId="0" applyFont="1" applyBorder="1" applyAlignment="1">
      <alignment horizontal="center" vertical="top" wrapText="1"/>
    </xf>
    <xf numFmtId="0" fontId="102" fillId="0" borderId="78" xfId="0" applyFont="1" applyBorder="1" applyAlignment="1">
      <alignment horizontal="left" vertical="top" wrapText="1"/>
    </xf>
    <xf numFmtId="0" fontId="102" fillId="0" borderId="80" xfId="0" applyFont="1" applyBorder="1" applyAlignment="1">
      <alignment horizontal="left" vertical="top" wrapText="1"/>
    </xf>
    <xf numFmtId="0" fontId="102" fillId="0" borderId="76" xfId="0" applyFont="1" applyBorder="1" applyAlignment="1">
      <alignment horizontal="left" vertical="top" wrapText="1"/>
    </xf>
    <xf numFmtId="0" fontId="102" fillId="0" borderId="69" xfId="0" applyFont="1" applyBorder="1" applyAlignment="1">
      <alignment horizontal="center" vertical="top" wrapText="1"/>
    </xf>
    <xf numFmtId="0" fontId="102" fillId="0" borderId="71" xfId="0" applyFont="1" applyBorder="1" applyAlignment="1">
      <alignment horizontal="left" vertical="top" wrapText="1"/>
    </xf>
    <xf numFmtId="0" fontId="102" fillId="0" borderId="73" xfId="0" applyFont="1" applyBorder="1" applyAlignment="1">
      <alignment horizontal="left" vertical="top" wrapText="1"/>
    </xf>
    <xf numFmtId="0" fontId="102" fillId="0" borderId="81" xfId="0" applyFont="1" applyBorder="1" applyAlignment="1">
      <alignment horizontal="center" vertical="center" wrapText="1"/>
    </xf>
    <xf numFmtId="0" fontId="102" fillId="0" borderId="82" xfId="0" applyFont="1" applyBorder="1" applyAlignment="1">
      <alignment horizontal="center" vertical="center" wrapText="1"/>
    </xf>
    <xf numFmtId="0" fontId="102" fillId="0" borderId="83" xfId="0" applyFont="1" applyBorder="1" applyAlignment="1">
      <alignment horizontal="center" vertical="center" wrapText="1"/>
    </xf>
    <xf numFmtId="0" fontId="102" fillId="0" borderId="85" xfId="0" applyFont="1" applyBorder="1" applyAlignment="1">
      <alignment horizontal="center" vertical="top" wrapText="1"/>
    </xf>
    <xf numFmtId="0" fontId="102" fillId="0" borderId="86" xfId="0" applyFont="1" applyBorder="1" applyAlignment="1">
      <alignment horizontal="center" vertical="top" wrapText="1"/>
    </xf>
    <xf numFmtId="0" fontId="102" fillId="0" borderId="87" xfId="0" applyFont="1" applyBorder="1" applyAlignment="1">
      <alignment horizontal="center" vertical="top" wrapText="1"/>
    </xf>
    <xf numFmtId="0" fontId="102" fillId="0" borderId="85" xfId="0" applyFont="1" applyBorder="1" applyAlignment="1">
      <alignment horizontal="left" vertical="top" wrapText="1"/>
    </xf>
    <xf numFmtId="0" fontId="102" fillId="0" borderId="87" xfId="0" applyFont="1" applyBorder="1" applyAlignment="1">
      <alignment horizontal="left" vertical="top" wrapText="1"/>
    </xf>
    <xf numFmtId="0" fontId="102" fillId="0" borderId="86" xfId="0" applyFont="1" applyBorder="1" applyAlignment="1">
      <alignment horizontal="left" vertical="top" wrapText="1"/>
    </xf>
    <xf numFmtId="0" fontId="102" fillId="0" borderId="78" xfId="0" applyFont="1" applyBorder="1" applyAlignment="1">
      <alignment horizontal="center" vertical="top" wrapText="1"/>
    </xf>
    <xf numFmtId="0" fontId="102" fillId="0" borderId="79" xfId="0" applyFont="1" applyBorder="1" applyAlignment="1">
      <alignment horizontal="center" vertical="top" wrapText="1"/>
    </xf>
    <xf numFmtId="0" fontId="102" fillId="0" borderId="80" xfId="0" applyFont="1" applyBorder="1" applyAlignment="1">
      <alignment horizontal="center" vertical="top" wrapText="1"/>
    </xf>
    <xf numFmtId="0" fontId="102" fillId="0" borderId="79" xfId="0" applyFont="1" applyBorder="1" applyAlignment="1">
      <alignment horizontal="left" vertical="top" wrapText="1"/>
    </xf>
    <xf numFmtId="0" fontId="102" fillId="0" borderId="88" xfId="0" applyFont="1" applyBorder="1" applyAlignment="1">
      <alignment horizontal="center" vertical="top" wrapText="1"/>
    </xf>
    <xf numFmtId="0" fontId="102" fillId="0" borderId="89" xfId="0" applyFont="1" applyBorder="1" applyAlignment="1">
      <alignment horizontal="center" vertical="top" wrapText="1"/>
    </xf>
    <xf numFmtId="0" fontId="102" fillId="0" borderId="90" xfId="0" applyFont="1" applyBorder="1" applyAlignment="1">
      <alignment horizontal="center" vertical="top" wrapText="1"/>
    </xf>
    <xf numFmtId="0" fontId="102" fillId="0" borderId="88" xfId="0" applyFont="1" applyBorder="1" applyAlignment="1">
      <alignment horizontal="left" vertical="top" wrapText="1"/>
    </xf>
    <xf numFmtId="0" fontId="102" fillId="0" borderId="90" xfId="0" applyFont="1" applyBorder="1" applyAlignment="1">
      <alignment horizontal="left" vertical="top" wrapText="1"/>
    </xf>
    <xf numFmtId="0" fontId="102" fillId="0" borderId="89" xfId="0" applyFont="1" applyBorder="1" applyAlignment="1">
      <alignment horizontal="left" vertical="top" wrapText="1"/>
    </xf>
    <xf numFmtId="0" fontId="102" fillId="0" borderId="91" xfId="0" applyFont="1" applyBorder="1" applyAlignment="1">
      <alignment horizontal="center" vertical="top" wrapText="1"/>
    </xf>
    <xf numFmtId="0" fontId="102" fillId="0" borderId="92" xfId="0" applyFont="1" applyBorder="1" applyAlignment="1">
      <alignment horizontal="center" vertical="top" wrapText="1"/>
    </xf>
    <xf numFmtId="0" fontId="102" fillId="0" borderId="93" xfId="0" applyFont="1" applyBorder="1" applyAlignment="1">
      <alignment horizontal="left" vertical="top" wrapText="1"/>
    </xf>
    <xf numFmtId="0" fontId="102" fillId="0" borderId="92" xfId="0" applyFont="1" applyBorder="1" applyAlignment="1">
      <alignment horizontal="left" vertical="top" wrapText="1"/>
    </xf>
    <xf numFmtId="0" fontId="102" fillId="0" borderId="91" xfId="0" applyFont="1" applyBorder="1" applyAlignment="1">
      <alignment horizontal="left" vertical="top" wrapText="1"/>
    </xf>
    <xf numFmtId="0" fontId="102" fillId="0" borderId="94" xfId="0" applyFont="1" applyBorder="1" applyAlignment="1">
      <alignment horizontal="center" vertical="top" wrapText="1"/>
    </xf>
    <xf numFmtId="0" fontId="102" fillId="0" borderId="95" xfId="0" applyFont="1" applyBorder="1" applyAlignment="1">
      <alignment horizontal="center" vertical="top" wrapText="1"/>
    </xf>
    <xf numFmtId="0" fontId="102" fillId="0" borderId="96" xfId="0" applyFont="1" applyBorder="1" applyAlignment="1">
      <alignment horizontal="center" vertical="top" wrapText="1"/>
    </xf>
    <xf numFmtId="0" fontId="102" fillId="0" borderId="94" xfId="0" applyFont="1" applyBorder="1" applyAlignment="1">
      <alignment horizontal="left" vertical="top" wrapText="1"/>
    </xf>
    <xf numFmtId="0" fontId="102" fillId="0" borderId="95" xfId="0" applyFont="1" applyBorder="1" applyAlignment="1">
      <alignment horizontal="left" vertical="top" wrapText="1"/>
    </xf>
    <xf numFmtId="0" fontId="102" fillId="0" borderId="75" xfId="0" applyFont="1" applyBorder="1" applyAlignment="1">
      <alignment horizontal="left" vertical="top" wrapText="1"/>
    </xf>
    <xf numFmtId="0" fontId="102" fillId="0" borderId="77" xfId="0" applyFont="1" applyBorder="1" applyAlignment="1">
      <alignment horizontal="left" vertical="top" wrapText="1"/>
    </xf>
    <xf numFmtId="0" fontId="102" fillId="0" borderId="97" xfId="0" applyFont="1" applyBorder="1" applyAlignment="1">
      <alignment horizontal="center" vertical="top" wrapText="1"/>
    </xf>
    <xf numFmtId="0" fontId="102" fillId="0" borderId="98" xfId="0" applyFont="1" applyBorder="1" applyAlignment="1">
      <alignment horizontal="center" vertical="top" wrapText="1"/>
    </xf>
    <xf numFmtId="0" fontId="102" fillId="0" borderId="99" xfId="0" applyFont="1" applyBorder="1" applyAlignment="1">
      <alignment horizontal="center" vertical="top" wrapText="1"/>
    </xf>
    <xf numFmtId="0" fontId="102" fillId="0" borderId="97" xfId="0" applyFont="1" applyBorder="1" applyAlignment="1">
      <alignment horizontal="left" vertical="top" wrapText="1"/>
    </xf>
    <xf numFmtId="0" fontId="102" fillId="0" borderId="99" xfId="0" applyFont="1" applyBorder="1" applyAlignment="1">
      <alignment horizontal="left" vertical="top" wrapText="1"/>
    </xf>
    <xf numFmtId="0" fontId="102" fillId="0" borderId="98" xfId="0" applyFont="1" applyBorder="1" applyAlignment="1">
      <alignment horizontal="left" vertical="top" wrapText="1"/>
    </xf>
    <xf numFmtId="0" fontId="102" fillId="0" borderId="82" xfId="0" applyFont="1" applyBorder="1" applyAlignment="1">
      <alignment vertical="top" wrapText="1"/>
    </xf>
    <xf numFmtId="0" fontId="102" fillId="0" borderId="70" xfId="0" applyFont="1" applyBorder="1" applyAlignment="1">
      <alignment vertical="top" wrapText="1"/>
    </xf>
    <xf numFmtId="0" fontId="4" fillId="0" borderId="0" xfId="34" applyAlignment="1">
      <alignment vertical="top"/>
    </xf>
    <xf numFmtId="0" fontId="10" fillId="0" borderId="0" xfId="34" applyFont="1" applyAlignment="1">
      <alignment vertical="top"/>
    </xf>
    <xf numFmtId="0" fontId="13" fillId="5" borderId="1" xfId="14" applyAlignment="1">
      <alignment vertical="top"/>
    </xf>
    <xf numFmtId="0" fontId="13" fillId="5" borderId="1" xfId="14" applyAlignment="1">
      <alignment vertical="top" wrapText="1"/>
    </xf>
    <xf numFmtId="0" fontId="27" fillId="3" borderId="0" xfId="11" applyAlignment="1">
      <alignment horizontal="left" vertical="top" wrapText="1"/>
    </xf>
    <xf numFmtId="0" fontId="14" fillId="4" borderId="1" xfId="15" applyNumberFormat="1" applyAlignment="1">
      <alignment vertical="top" wrapText="1"/>
      <protection locked="0"/>
    </xf>
    <xf numFmtId="0" fontId="27" fillId="3" borderId="5" xfId="11" applyBorder="1" applyAlignment="1">
      <alignment vertical="top"/>
    </xf>
    <xf numFmtId="0" fontId="27" fillId="3" borderId="5" xfId="11" applyBorder="1" applyAlignment="1">
      <alignment horizontal="left" vertical="top" wrapText="1"/>
    </xf>
    <xf numFmtId="0" fontId="8" fillId="0" borderId="0" xfId="34" applyFont="1" applyAlignment="1">
      <alignment vertical="top"/>
    </xf>
    <xf numFmtId="0" fontId="101" fillId="23" borderId="69" xfId="0" applyFont="1" applyFill="1" applyBorder="1" applyAlignment="1">
      <alignment horizontal="left" vertical="top" wrapText="1"/>
    </xf>
    <xf numFmtId="0" fontId="101" fillId="23" borderId="70" xfId="0" applyFont="1" applyFill="1" applyBorder="1" applyAlignment="1">
      <alignment vertical="top" wrapText="1"/>
    </xf>
    <xf numFmtId="0" fontId="101" fillId="23" borderId="71" xfId="0" applyFont="1" applyFill="1" applyBorder="1" applyAlignment="1">
      <alignment horizontal="left" vertical="top" wrapText="1"/>
    </xf>
    <xf numFmtId="0" fontId="101" fillId="23" borderId="72" xfId="0" applyFont="1" applyFill="1" applyBorder="1" applyAlignment="1">
      <alignment horizontal="left" vertical="top" wrapText="1"/>
    </xf>
    <xf numFmtId="0" fontId="101" fillId="23" borderId="73" xfId="0" applyFont="1" applyFill="1" applyBorder="1" applyAlignment="1">
      <alignment horizontal="left" vertical="top" wrapText="1"/>
    </xf>
    <xf numFmtId="0" fontId="101" fillId="23" borderId="69" xfId="0" applyFont="1" applyFill="1" applyBorder="1" applyAlignment="1">
      <alignment horizontal="center" vertical="top" textRotation="90" wrapText="1"/>
    </xf>
    <xf numFmtId="0" fontId="101" fillId="23" borderId="70" xfId="0" applyFont="1" applyFill="1" applyBorder="1" applyAlignment="1">
      <alignment horizontal="center" vertical="top" textRotation="90" wrapText="1"/>
    </xf>
    <xf numFmtId="0" fontId="101" fillId="23" borderId="71" xfId="0" applyFont="1" applyFill="1" applyBorder="1" applyAlignment="1">
      <alignment horizontal="center" vertical="top" textRotation="90" wrapText="1"/>
    </xf>
    <xf numFmtId="0" fontId="101" fillId="23" borderId="75" xfId="0" applyFont="1" applyFill="1" applyBorder="1" applyAlignment="1">
      <alignment horizontal="center" vertical="top" wrapText="1"/>
    </xf>
    <xf numFmtId="0" fontId="101" fillId="23" borderId="76" xfId="0" applyFont="1" applyFill="1" applyBorder="1" applyAlignment="1">
      <alignment horizontal="center" vertical="top" wrapText="1"/>
    </xf>
    <xf numFmtId="0" fontId="101" fillId="23" borderId="77" xfId="0" applyFont="1" applyFill="1" applyBorder="1" applyAlignment="1">
      <alignment horizontal="center" vertical="top" wrapText="1"/>
    </xf>
    <xf numFmtId="0" fontId="101" fillId="23" borderId="75" xfId="0" applyFont="1" applyFill="1" applyBorder="1" applyAlignment="1">
      <alignment horizontal="left" vertical="top" wrapText="1"/>
    </xf>
    <xf numFmtId="0" fontId="101" fillId="23" borderId="77" xfId="0" applyFont="1" applyFill="1" applyBorder="1" applyAlignment="1">
      <alignment horizontal="left" vertical="top" wrapText="1"/>
    </xf>
    <xf numFmtId="0" fontId="101" fillId="23" borderId="78" xfId="0" applyFont="1" applyFill="1" applyBorder="1" applyAlignment="1">
      <alignment horizontal="center" vertical="top" wrapText="1"/>
    </xf>
    <xf numFmtId="0" fontId="101" fillId="23" borderId="79" xfId="0" applyFont="1" applyFill="1" applyBorder="1" applyAlignment="1">
      <alignment horizontal="center" vertical="top" wrapText="1"/>
    </xf>
    <xf numFmtId="0" fontId="101" fillId="23" borderId="79" xfId="0" applyFont="1" applyFill="1" applyBorder="1" applyAlignment="1">
      <alignment horizontal="left" vertical="top" wrapText="1"/>
    </xf>
    <xf numFmtId="0" fontId="101" fillId="23" borderId="80" xfId="0" applyFont="1" applyFill="1" applyBorder="1" applyAlignment="1">
      <alignment horizontal="center" vertical="top" wrapText="1"/>
    </xf>
    <xf numFmtId="0" fontId="101" fillId="26" borderId="0" xfId="0" applyFont="1" applyFill="1" applyAlignment="1">
      <alignment horizontal="center" vertical="top" wrapText="1"/>
    </xf>
    <xf numFmtId="0" fontId="16" fillId="3" borderId="5" xfId="16" applyFont="1" applyBorder="1" applyAlignment="1">
      <alignment horizontal="right" vertical="center"/>
    </xf>
    <xf numFmtId="0" fontId="16" fillId="3" borderId="1" xfId="16" applyFont="1" applyAlignment="1">
      <alignment horizontal="right" vertical="center"/>
    </xf>
    <xf numFmtId="0" fontId="14" fillId="4" borderId="1" xfId="15" applyNumberFormat="1" applyAlignment="1">
      <alignment horizontal="center" vertical="center"/>
      <protection locked="0"/>
    </xf>
    <xf numFmtId="0" fontId="13" fillId="5" borderId="1" xfId="14" applyNumberFormat="1" applyAlignment="1">
      <alignment horizontal="center" vertical="center"/>
    </xf>
    <xf numFmtId="0" fontId="41" fillId="5" borderId="1" xfId="14" applyFont="1" applyAlignment="1">
      <alignment horizontal="right" vertical="center"/>
    </xf>
    <xf numFmtId="0" fontId="13" fillId="5" borderId="1" xfId="14" applyNumberFormat="1" applyAlignment="1">
      <alignment horizontal="left" vertical="center"/>
    </xf>
    <xf numFmtId="9" fontId="13" fillId="5" borderId="1" xfId="20" applyFont="1" applyFill="1" applyBorder="1" applyAlignment="1">
      <alignment horizontal="center" vertical="center"/>
    </xf>
    <xf numFmtId="0" fontId="13" fillId="3" borderId="4" xfId="16" applyBorder="1" applyAlignment="1">
      <alignment vertical="center"/>
    </xf>
    <xf numFmtId="165" fontId="27" fillId="3" borderId="1" xfId="11" applyNumberFormat="1" applyBorder="1" applyAlignment="1">
      <alignment horizontal="center" vertical="center"/>
    </xf>
    <xf numFmtId="165" fontId="13" fillId="3" borderId="1" xfId="16" applyNumberFormat="1" applyAlignment="1">
      <alignment horizontal="center" vertical="center"/>
    </xf>
    <xf numFmtId="165" fontId="13" fillId="5" borderId="1" xfId="14" applyNumberFormat="1" applyAlignment="1">
      <alignment horizontal="center" vertical="center"/>
    </xf>
    <xf numFmtId="165" fontId="13" fillId="3" borderId="4" xfId="16" applyNumberFormat="1" applyBorder="1" applyAlignment="1">
      <alignment horizontal="center" vertical="center"/>
    </xf>
    <xf numFmtId="9" fontId="13" fillId="3" borderId="4" xfId="16" applyNumberFormat="1" applyBorder="1" applyAlignment="1">
      <alignment horizontal="center" vertical="center"/>
    </xf>
    <xf numFmtId="2" fontId="13" fillId="3" borderId="4" xfId="16" applyNumberFormat="1" applyBorder="1" applyAlignment="1">
      <alignment horizontal="center" vertical="center"/>
    </xf>
    <xf numFmtId="2" fontId="13" fillId="3" borderId="5" xfId="16" applyNumberFormat="1" applyBorder="1" applyAlignment="1">
      <alignment horizontal="center" vertical="center"/>
    </xf>
    <xf numFmtId="0" fontId="31" fillId="4" borderId="0" xfId="13" applyFont="1" applyAlignment="1">
      <alignment vertical="center"/>
    </xf>
    <xf numFmtId="0" fontId="8" fillId="4" borderId="0" xfId="13" applyAlignment="1"/>
    <xf numFmtId="0" fontId="41" fillId="3" borderId="1" xfId="14" applyFont="1" applyFill="1" applyAlignment="1"/>
    <xf numFmtId="0" fontId="41" fillId="3" borderId="1" xfId="14" applyFont="1" applyFill="1" applyAlignment="1">
      <alignment horizontal="center"/>
    </xf>
    <xf numFmtId="0" fontId="41" fillId="3" borderId="1" xfId="14" applyFont="1" applyFill="1" applyAlignment="1">
      <alignment horizontal="right"/>
    </xf>
    <xf numFmtId="0" fontId="13" fillId="3" borderId="1" xfId="14" applyNumberFormat="1" applyFill="1" applyAlignment="1">
      <alignment horizontal="center"/>
    </xf>
    <xf numFmtId="0" fontId="13" fillId="3" borderId="1" xfId="14" applyNumberFormat="1" applyFill="1" applyAlignment="1">
      <alignment horizontal="left"/>
    </xf>
    <xf numFmtId="0" fontId="4" fillId="0" borderId="0" xfId="0" applyFont="1"/>
    <xf numFmtId="0" fontId="4" fillId="0" borderId="0" xfId="0" applyFont="1" applyAlignment="1">
      <alignment vertical="top"/>
    </xf>
    <xf numFmtId="0" fontId="4" fillId="0" borderId="0" xfId="0" applyFont="1" applyAlignment="1">
      <alignment vertical="center"/>
    </xf>
    <xf numFmtId="0" fontId="4" fillId="0" borderId="0" xfId="0" applyFont="1" applyAlignment="1">
      <alignment horizontal="left"/>
    </xf>
    <xf numFmtId="4" fontId="4" fillId="0" borderId="0" xfId="0" applyNumberFormat="1" applyFont="1"/>
    <xf numFmtId="0" fontId="4" fillId="0" borderId="0" xfId="0" applyFont="1" applyAlignment="1">
      <alignment wrapText="1"/>
    </xf>
    <xf numFmtId="9" fontId="4" fillId="4" borderId="10" xfId="20" applyFont="1" applyFill="1" applyBorder="1" applyAlignment="1">
      <alignment horizontal="right"/>
    </xf>
    <xf numFmtId="9" fontId="4" fillId="4" borderId="10" xfId="20" applyFont="1" applyFill="1" applyBorder="1"/>
    <xf numFmtId="9" fontId="4" fillId="4" borderId="0" xfId="20" applyFont="1" applyFill="1" applyBorder="1"/>
    <xf numFmtId="9" fontId="4" fillId="4" borderId="29" xfId="20" applyFont="1" applyFill="1" applyBorder="1"/>
    <xf numFmtId="0" fontId="4" fillId="0" borderId="0" xfId="0" applyFont="1" applyAlignment="1">
      <alignment horizontal="right"/>
    </xf>
    <xf numFmtId="0" fontId="4" fillId="0" borderId="0" xfId="0" applyFont="1" applyAlignment="1">
      <alignment horizontal="center" wrapText="1"/>
    </xf>
    <xf numFmtId="168" fontId="4" fillId="0" borderId="0" xfId="0" applyNumberFormat="1" applyFont="1"/>
    <xf numFmtId="164" fontId="4" fillId="0" borderId="0" xfId="0" applyNumberFormat="1" applyFont="1" applyAlignment="1">
      <alignment horizontal="center"/>
    </xf>
    <xf numFmtId="2" fontId="4" fillId="0" borderId="0" xfId="0" applyNumberFormat="1" applyFont="1"/>
    <xf numFmtId="0" fontId="4" fillId="4" borderId="0" xfId="13" applyFont="1"/>
    <xf numFmtId="0" fontId="4" fillId="3" borderId="0" xfId="0" applyFont="1" applyFill="1" applyAlignment="1">
      <alignment horizontal="center" vertical="center"/>
    </xf>
    <xf numFmtId="0" fontId="4" fillId="4" borderId="0" xfId="13" applyFont="1" applyAlignment="1">
      <alignment vertical="center"/>
    </xf>
    <xf numFmtId="0" fontId="4" fillId="3" borderId="0" xfId="0" applyFont="1" applyFill="1" applyAlignment="1">
      <alignment horizontal="center" vertical="top"/>
    </xf>
    <xf numFmtId="9" fontId="4" fillId="0" borderId="0" xfId="20" applyFont="1" applyAlignment="1">
      <alignment horizontal="center"/>
    </xf>
    <xf numFmtId="9" fontId="4" fillId="0" borderId="0" xfId="20" applyFont="1"/>
    <xf numFmtId="9" fontId="4" fillId="0" borderId="0" xfId="20" applyFont="1" applyAlignment="1">
      <alignment horizontal="center" vertical="center"/>
    </xf>
    <xf numFmtId="9" fontId="4" fillId="0" borderId="0" xfId="20" applyFont="1" applyAlignment="1">
      <alignment vertical="center"/>
    </xf>
    <xf numFmtId="0" fontId="13" fillId="3" borderId="5" xfId="16" applyBorder="1" applyAlignment="1">
      <alignment horizontal="center" vertical="center"/>
    </xf>
    <xf numFmtId="9" fontId="13" fillId="3" borderId="5" xfId="16" applyNumberFormat="1" applyBorder="1" applyAlignment="1">
      <alignment horizontal="center" vertical="center"/>
    </xf>
    <xf numFmtId="0" fontId="13" fillId="3" borderId="0" xfId="16" applyBorder="1" applyAlignment="1">
      <alignment horizontal="center" vertical="center"/>
    </xf>
    <xf numFmtId="9" fontId="13" fillId="5" borderId="5" xfId="20" applyFont="1" applyFill="1" applyBorder="1" applyAlignment="1">
      <alignment horizontal="center" vertical="center"/>
    </xf>
    <xf numFmtId="2" fontId="13" fillId="5" borderId="5" xfId="14" applyNumberFormat="1" applyBorder="1" applyAlignment="1">
      <alignment horizontal="center" vertical="center"/>
    </xf>
    <xf numFmtId="0" fontId="58" fillId="3" borderId="1" xfId="16" applyFont="1" applyAlignment="1"/>
    <xf numFmtId="165" fontId="27" fillId="3" borderId="0" xfId="11" applyNumberFormat="1" applyBorder="1" applyAlignment="1">
      <alignment horizontal="center" vertical="center"/>
    </xf>
    <xf numFmtId="9" fontId="13" fillId="3" borderId="0" xfId="16" applyNumberFormat="1" applyBorder="1" applyAlignment="1">
      <alignment horizontal="center" vertical="center"/>
    </xf>
    <xf numFmtId="0" fontId="13" fillId="3" borderId="5" xfId="16" applyBorder="1" applyAlignment="1">
      <alignment vertical="center"/>
    </xf>
    <xf numFmtId="165" fontId="13" fillId="3" borderId="5" xfId="16" applyNumberFormat="1" applyBorder="1" applyAlignment="1">
      <alignment horizontal="center" vertical="center"/>
    </xf>
    <xf numFmtId="0" fontId="27" fillId="3" borderId="100" xfId="11" applyBorder="1" applyAlignment="1">
      <alignment vertical="center"/>
    </xf>
    <xf numFmtId="0" fontId="13" fillId="3" borderId="101" xfId="16" applyBorder="1" applyAlignment="1">
      <alignment vertical="center"/>
    </xf>
    <xf numFmtId="0" fontId="13" fillId="3" borderId="101" xfId="16" applyBorder="1" applyAlignment="1">
      <alignment horizontal="center" vertical="center"/>
    </xf>
    <xf numFmtId="2" fontId="27" fillId="3" borderId="102" xfId="11" applyNumberFormat="1" applyBorder="1" applyAlignment="1">
      <alignment horizontal="center" vertical="center"/>
    </xf>
    <xf numFmtId="165" fontId="13" fillId="3" borderId="101" xfId="16" applyNumberFormat="1" applyBorder="1" applyAlignment="1">
      <alignment horizontal="center" vertical="center"/>
    </xf>
    <xf numFmtId="9" fontId="13" fillId="3" borderId="101" xfId="16" applyNumberFormat="1" applyBorder="1" applyAlignment="1">
      <alignment horizontal="center" vertical="center"/>
    </xf>
    <xf numFmtId="0" fontId="105" fillId="3" borderId="1" xfId="11" applyFont="1" applyBorder="1" applyAlignment="1">
      <alignment vertical="center"/>
    </xf>
    <xf numFmtId="165" fontId="105" fillId="3" borderId="1" xfId="11" applyNumberFormat="1" applyFont="1" applyBorder="1" applyAlignment="1">
      <alignment horizontal="center" vertical="center"/>
    </xf>
    <xf numFmtId="9" fontId="105" fillId="3" borderId="1" xfId="11" applyNumberFormat="1" applyFont="1" applyBorder="1" applyAlignment="1">
      <alignment horizontal="center" vertical="center"/>
    </xf>
    <xf numFmtId="2" fontId="105" fillId="3" borderId="1" xfId="11" applyNumberFormat="1" applyFont="1" applyBorder="1" applyAlignment="1">
      <alignment horizontal="center" vertical="center"/>
    </xf>
    <xf numFmtId="0" fontId="13" fillId="3" borderId="0" xfId="16" applyBorder="1" applyAlignment="1">
      <alignment vertical="center"/>
    </xf>
    <xf numFmtId="0" fontId="27" fillId="3" borderId="103" xfId="11" applyBorder="1" applyAlignment="1">
      <alignment vertical="center"/>
    </xf>
    <xf numFmtId="0" fontId="27" fillId="3" borderId="104" xfId="11" applyBorder="1" applyAlignment="1">
      <alignment vertical="center"/>
    </xf>
    <xf numFmtId="0" fontId="14" fillId="3" borderId="105" xfId="11" applyFont="1" applyBorder="1" applyAlignment="1">
      <alignment horizontal="center" vertical="center"/>
    </xf>
    <xf numFmtId="0" fontId="13" fillId="5" borderId="106" xfId="14" applyBorder="1" applyAlignment="1">
      <alignment vertical="center"/>
    </xf>
    <xf numFmtId="9" fontId="13" fillId="5" borderId="107" xfId="20" applyFont="1" applyFill="1" applyBorder="1" applyAlignment="1">
      <alignment horizontal="center" vertical="center"/>
    </xf>
    <xf numFmtId="0" fontId="13" fillId="5" borderId="108" xfId="14" applyBorder="1" applyAlignment="1">
      <alignment vertical="center"/>
    </xf>
    <xf numFmtId="0" fontId="13" fillId="5" borderId="109" xfId="14" applyBorder="1" applyAlignment="1">
      <alignment vertical="center"/>
    </xf>
    <xf numFmtId="9" fontId="13" fillId="5" borderId="110" xfId="20" applyFont="1" applyFill="1" applyBorder="1" applyAlignment="1">
      <alignment horizontal="center" vertical="center"/>
    </xf>
    <xf numFmtId="0" fontId="27" fillId="3" borderId="101" xfId="11" applyBorder="1" applyAlignment="1">
      <alignment vertical="center"/>
    </xf>
    <xf numFmtId="2" fontId="27" fillId="3" borderId="101" xfId="11" applyNumberFormat="1" applyBorder="1" applyAlignment="1">
      <alignment horizontal="center" vertical="center"/>
    </xf>
    <xf numFmtId="0" fontId="106" fillId="5" borderId="1" xfId="14" applyFont="1" applyAlignment="1">
      <alignment horizontal="right" vertical="center"/>
    </xf>
    <xf numFmtId="3" fontId="14" fillId="6" borderId="13" xfId="18" applyNumberFormat="1" applyBorder="1" applyAlignment="1">
      <alignment horizontal="left" vertical="top"/>
    </xf>
    <xf numFmtId="3" fontId="14" fillId="6" borderId="13" xfId="18" applyNumberFormat="1" applyBorder="1" applyAlignment="1">
      <alignment horizontal="left" vertical="top" wrapText="1"/>
    </xf>
    <xf numFmtId="0" fontId="13" fillId="5" borderId="30" xfId="14" applyBorder="1" applyAlignment="1">
      <alignment horizontal="right" vertical="center"/>
    </xf>
    <xf numFmtId="3" fontId="14" fillId="6" borderId="13" xfId="18" applyNumberFormat="1" applyBorder="1" applyAlignment="1">
      <alignment horizontal="right" vertical="top" wrapText="1"/>
    </xf>
    <xf numFmtId="0" fontId="13" fillId="5" borderId="14" xfId="14" applyBorder="1" applyAlignment="1">
      <alignment horizontal="right" vertical="center"/>
    </xf>
    <xf numFmtId="0" fontId="8" fillId="4" borderId="0" xfId="13" applyAlignment="1">
      <alignment horizontal="left"/>
    </xf>
    <xf numFmtId="0" fontId="105" fillId="3" borderId="0" xfId="11" applyFont="1" applyAlignment="1">
      <alignment horizontal="center" vertical="center"/>
    </xf>
    <xf numFmtId="0" fontId="16" fillId="5" borderId="1" xfId="14" applyFont="1" applyAlignment="1">
      <alignment horizontal="left" vertical="top"/>
    </xf>
    <xf numFmtId="0" fontId="16" fillId="5" borderId="1" xfId="14" applyFont="1" applyAlignment="1">
      <alignment horizontal="center" vertical="center"/>
    </xf>
    <xf numFmtId="0" fontId="28" fillId="2" borderId="0" xfId="17" applyBorder="1" applyAlignment="1"/>
    <xf numFmtId="0" fontId="8" fillId="3" borderId="0" xfId="13" applyFill="1" applyBorder="1"/>
    <xf numFmtId="0" fontId="8" fillId="3" borderId="0" xfId="13" applyFill="1" applyBorder="1" applyAlignment="1">
      <alignment vertical="center"/>
    </xf>
    <xf numFmtId="0" fontId="13" fillId="3" borderId="0" xfId="16" applyBorder="1" applyAlignment="1">
      <alignment horizontal="left" vertical="center"/>
    </xf>
    <xf numFmtId="0" fontId="8" fillId="3" borderId="0" xfId="13" applyFill="1" applyBorder="1" applyAlignment="1">
      <alignment horizontal="left"/>
    </xf>
    <xf numFmtId="0" fontId="81" fillId="3" borderId="0" xfId="13" applyFont="1" applyFill="1" applyBorder="1"/>
    <xf numFmtId="0" fontId="51" fillId="4" borderId="1" xfId="15" applyNumberFormat="1" applyFont="1" applyAlignment="1">
      <alignment horizontal="left" vertical="top" wrapText="1"/>
      <protection locked="0"/>
    </xf>
    <xf numFmtId="165" fontId="50" fillId="13" borderId="1" xfId="14" applyNumberFormat="1" applyFont="1" applyFill="1" applyAlignment="1">
      <alignment horizontal="center" vertical="top" wrapText="1"/>
    </xf>
    <xf numFmtId="165" fontId="13" fillId="14" borderId="1" xfId="16" applyNumberFormat="1" applyFill="1" applyAlignment="1">
      <alignment horizontal="center" vertical="top"/>
    </xf>
    <xf numFmtId="0" fontId="14" fillId="4" borderId="1" xfId="15" applyNumberFormat="1" applyAlignment="1">
      <alignment horizontal="left" vertical="top" wrapText="1"/>
      <protection locked="0"/>
    </xf>
    <xf numFmtId="165" fontId="13" fillId="14" borderId="1" xfId="14" applyNumberFormat="1" applyFill="1" applyAlignment="1">
      <alignment horizontal="center" vertical="top" wrapText="1"/>
    </xf>
    <xf numFmtId="164" fontId="14" fillId="4" borderId="1" xfId="15" applyNumberFormat="1" applyAlignment="1">
      <alignment horizontal="center" vertical="top" wrapText="1"/>
      <protection locked="0"/>
    </xf>
    <xf numFmtId="168" fontId="13" fillId="15" borderId="1" xfId="14" applyNumberFormat="1" applyFill="1" applyAlignment="1">
      <alignment horizontal="center" vertical="top" wrapText="1"/>
    </xf>
    <xf numFmtId="0" fontId="27" fillId="3" borderId="0" xfId="11" applyBorder="1" applyAlignment="1">
      <alignment vertical="top"/>
    </xf>
    <xf numFmtId="0" fontId="8" fillId="4" borderId="0" xfId="13" applyAlignment="1">
      <alignment horizontal="left" vertical="top" wrapText="1"/>
    </xf>
    <xf numFmtId="0" fontId="8" fillId="3" borderId="0" xfId="13" applyFill="1" applyAlignment="1">
      <alignment horizontal="left" vertical="top" wrapText="1"/>
    </xf>
    <xf numFmtId="0" fontId="8" fillId="3" borderId="0" xfId="13" applyFill="1" applyBorder="1" applyAlignment="1">
      <alignment horizontal="left" vertical="top" wrapText="1"/>
    </xf>
    <xf numFmtId="2" fontId="13" fillId="14" borderId="1" xfId="14" applyNumberFormat="1" applyFill="1" applyAlignment="1">
      <alignment horizontal="center" vertical="top" wrapText="1"/>
    </xf>
    <xf numFmtId="4" fontId="14" fillId="6" borderId="13" xfId="18" applyNumberFormat="1" applyBorder="1" applyAlignment="1">
      <alignment horizontal="right" vertical="top"/>
    </xf>
    <xf numFmtId="0" fontId="14" fillId="3" borderId="0" xfId="11" applyFont="1" applyAlignment="1">
      <alignment horizontal="left" vertical="center"/>
    </xf>
    <xf numFmtId="0" fontId="14" fillId="3" borderId="0" xfId="11" applyFont="1" applyAlignment="1">
      <alignment horizontal="center" vertical="center"/>
    </xf>
    <xf numFmtId="0" fontId="92" fillId="3" borderId="0" xfId="33" applyFill="1" applyAlignment="1">
      <alignment horizontal="left" vertical="center"/>
    </xf>
    <xf numFmtId="167" fontId="14" fillId="4" borderId="4" xfId="15" applyNumberFormat="1" applyBorder="1" applyAlignment="1">
      <alignment horizontal="right" vertical="center"/>
      <protection locked="0"/>
    </xf>
    <xf numFmtId="4" fontId="14" fillId="6" borderId="30" xfId="18" applyNumberFormat="1" applyBorder="1" applyAlignment="1">
      <alignment horizontal="left" vertical="top"/>
    </xf>
    <xf numFmtId="0" fontId="29" fillId="3" borderId="0" xfId="11" applyFont="1" applyBorder="1" applyAlignment="1">
      <alignment horizontal="left" vertical="center"/>
    </xf>
    <xf numFmtId="0" fontId="108" fillId="3" borderId="0" xfId="11" applyFont="1" applyAlignment="1">
      <alignment horizontal="center" vertical="center"/>
    </xf>
    <xf numFmtId="0" fontId="4" fillId="4" borderId="0" xfId="13" applyFont="1" applyAlignment="1">
      <alignment horizontal="center"/>
    </xf>
    <xf numFmtId="0" fontId="12" fillId="2" borderId="1" xfId="17" applyFont="1" applyAlignment="1">
      <alignment vertical="center"/>
    </xf>
    <xf numFmtId="0" fontId="4" fillId="4" borderId="0" xfId="13" applyFont="1" applyAlignment="1">
      <alignment horizontal="right" vertical="center"/>
    </xf>
    <xf numFmtId="0" fontId="77" fillId="5" borderId="111" xfId="14" applyFont="1" applyBorder="1" applyAlignment="1">
      <alignment vertical="center"/>
    </xf>
    <xf numFmtId="9" fontId="77" fillId="5" borderId="112" xfId="20" applyFont="1" applyFill="1" applyBorder="1" applyAlignment="1">
      <alignment horizontal="center" vertical="center"/>
    </xf>
    <xf numFmtId="2" fontId="77" fillId="5" borderId="1" xfId="14" applyNumberFormat="1" applyFont="1" applyAlignment="1">
      <alignment horizontal="center" vertical="center"/>
    </xf>
    <xf numFmtId="0" fontId="13" fillId="5" borderId="0" xfId="14" applyBorder="1" applyAlignment="1">
      <alignment vertical="center"/>
    </xf>
    <xf numFmtId="2" fontId="13" fillId="5" borderId="115" xfId="36" applyNumberFormat="1" applyFont="1" applyFill="1" applyBorder="1" applyAlignment="1">
      <alignment horizontal="center" vertical="center"/>
    </xf>
    <xf numFmtId="171" fontId="13" fillId="5" borderId="116" xfId="36" applyNumberFormat="1" applyFont="1" applyFill="1" applyBorder="1" applyAlignment="1">
      <alignment horizontal="center" vertical="center"/>
    </xf>
    <xf numFmtId="0" fontId="43" fillId="3" borderId="117" xfId="11" applyFont="1" applyBorder="1" applyAlignment="1">
      <alignment horizontal="left" vertical="center" indent="1"/>
    </xf>
    <xf numFmtId="0" fontId="43" fillId="3" borderId="0" xfId="11" applyFont="1" applyBorder="1" applyAlignment="1">
      <alignment horizontal="left" vertical="center" indent="1"/>
    </xf>
    <xf numFmtId="0" fontId="27" fillId="3" borderId="25" xfId="11" applyBorder="1" applyAlignment="1">
      <alignment horizontal="center" vertical="center"/>
    </xf>
    <xf numFmtId="0" fontId="24" fillId="3" borderId="0" xfId="10" applyFill="1" applyAlignment="1">
      <alignment horizontal="left" vertical="center"/>
    </xf>
    <xf numFmtId="0" fontId="27" fillId="3" borderId="118" xfId="11" applyBorder="1" applyAlignment="1">
      <alignment horizontal="center" vertical="center"/>
    </xf>
    <xf numFmtId="0" fontId="13" fillId="3" borderId="119" xfId="16" applyBorder="1" applyAlignment="1">
      <alignment horizontal="left" vertical="center"/>
    </xf>
    <xf numFmtId="0" fontId="13" fillId="3" borderId="120" xfId="16" applyBorder="1" applyAlignment="1">
      <alignment horizontal="left" vertical="center"/>
    </xf>
    <xf numFmtId="0" fontId="27" fillId="3" borderId="120" xfId="11" applyBorder="1" applyAlignment="1">
      <alignment vertical="center"/>
    </xf>
    <xf numFmtId="0" fontId="27" fillId="3" borderId="121" xfId="11" applyBorder="1" applyAlignment="1">
      <alignment vertical="center"/>
    </xf>
    <xf numFmtId="0" fontId="13" fillId="3" borderId="17" xfId="16" applyBorder="1" applyAlignment="1">
      <alignment horizontal="left" vertical="center"/>
    </xf>
    <xf numFmtId="0" fontId="13" fillId="3" borderId="122" xfId="16" applyBorder="1" applyAlignment="1">
      <alignment horizontal="left" vertical="center"/>
    </xf>
    <xf numFmtId="0" fontId="34" fillId="3" borderId="0" xfId="11" applyFont="1" applyBorder="1" applyAlignment="1">
      <alignment horizontal="center"/>
    </xf>
    <xf numFmtId="0" fontId="34" fillId="3" borderId="123" xfId="11" applyFont="1" applyBorder="1" applyAlignment="1">
      <alignment horizontal="center"/>
    </xf>
    <xf numFmtId="0" fontId="34" fillId="3" borderId="7" xfId="11" applyFont="1" applyBorder="1" applyAlignment="1">
      <alignment horizontal="center"/>
    </xf>
    <xf numFmtId="0" fontId="27" fillId="3" borderId="124" xfId="11" applyBorder="1" applyAlignment="1">
      <alignment horizontal="center" vertical="center"/>
    </xf>
    <xf numFmtId="0" fontId="77" fillId="3" borderId="20" xfId="16" applyFont="1" applyBorder="1" applyAlignment="1">
      <alignment horizontal="center" vertical="center"/>
    </xf>
    <xf numFmtId="3" fontId="51" fillId="4" borderId="122" xfId="15" applyNumberFormat="1" applyFont="1" applyBorder="1" applyAlignment="1">
      <alignment vertical="top" wrapText="1"/>
      <protection locked="0"/>
    </xf>
    <xf numFmtId="3" fontId="51" fillId="4" borderId="125" xfId="15" applyNumberFormat="1" applyFont="1" applyBorder="1" applyAlignment="1">
      <alignment vertical="top" wrapText="1"/>
      <protection locked="0"/>
    </xf>
    <xf numFmtId="3" fontId="51" fillId="4" borderId="125" xfId="15" applyNumberFormat="1" applyFont="1" applyBorder="1" applyAlignment="1">
      <alignment horizontal="left" vertical="top" wrapText="1"/>
      <protection locked="0"/>
    </xf>
    <xf numFmtId="2" fontId="13" fillId="14" borderId="1" xfId="16" applyNumberFormat="1" applyFill="1" applyAlignment="1">
      <alignment horizontal="center" vertical="top"/>
    </xf>
    <xf numFmtId="2" fontId="77" fillId="15" borderId="124" xfId="16" applyNumberFormat="1" applyFont="1" applyFill="1" applyBorder="1" applyAlignment="1">
      <alignment horizontal="center" vertical="top"/>
    </xf>
    <xf numFmtId="0" fontId="14" fillId="4" borderId="19" xfId="15" applyNumberFormat="1" applyBorder="1" applyAlignment="1">
      <alignment horizontal="left" vertical="top" wrapText="1"/>
      <protection locked="0"/>
    </xf>
    <xf numFmtId="168" fontId="77" fillId="15" borderId="20" xfId="14" applyNumberFormat="1" applyFont="1" applyFill="1" applyBorder="1" applyAlignment="1">
      <alignment horizontal="center" vertical="top" wrapText="1"/>
    </xf>
    <xf numFmtId="3" fontId="51" fillId="4" borderId="126" xfId="15" applyNumberFormat="1" applyFont="1" applyBorder="1" applyAlignment="1">
      <alignment horizontal="right" vertical="top" wrapText="1"/>
      <protection locked="0"/>
    </xf>
    <xf numFmtId="3" fontId="51" fillId="4" borderId="127" xfId="15" applyNumberFormat="1" applyFont="1" applyBorder="1" applyAlignment="1">
      <alignment horizontal="left" vertical="top" wrapText="1"/>
      <protection locked="0"/>
    </xf>
    <xf numFmtId="0" fontId="51" fillId="4" borderId="128" xfId="15" applyNumberFormat="1" applyFont="1" applyBorder="1" applyAlignment="1">
      <alignment horizontal="left" vertical="top" wrapText="1"/>
      <protection locked="0"/>
    </xf>
    <xf numFmtId="165" fontId="50" fillId="13" borderId="128" xfId="14" applyNumberFormat="1" applyFont="1" applyFill="1" applyBorder="1" applyAlignment="1">
      <alignment horizontal="center" vertical="top" wrapText="1"/>
    </xf>
    <xf numFmtId="2" fontId="13" fillId="14" borderId="128" xfId="16" applyNumberFormat="1" applyFill="1" applyBorder="1" applyAlignment="1">
      <alignment horizontal="center" vertical="top"/>
    </xf>
    <xf numFmtId="2" fontId="13" fillId="14" borderId="4" xfId="16" applyNumberFormat="1" applyFill="1" applyBorder="1" applyAlignment="1">
      <alignment horizontal="center" vertical="top"/>
    </xf>
    <xf numFmtId="164" fontId="14" fillId="4" borderId="4" xfId="15" applyNumberFormat="1" applyBorder="1" applyAlignment="1">
      <alignment horizontal="center" vertical="top" wrapText="1"/>
      <protection locked="0"/>
    </xf>
    <xf numFmtId="2" fontId="77" fillId="15" borderId="129" xfId="16" applyNumberFormat="1" applyFont="1" applyFill="1" applyBorder="1" applyAlignment="1">
      <alignment horizontal="center" vertical="top"/>
    </xf>
    <xf numFmtId="0" fontId="14" fillId="4" borderId="21" xfId="15" applyNumberFormat="1" applyBorder="1" applyAlignment="1">
      <alignment horizontal="left" vertical="top" wrapText="1"/>
      <protection locked="0"/>
    </xf>
    <xf numFmtId="165" fontId="13" fillId="14" borderId="8" xfId="14" applyNumberFormat="1" applyFill="1" applyBorder="1" applyAlignment="1">
      <alignment horizontal="center" vertical="top" wrapText="1"/>
    </xf>
    <xf numFmtId="0" fontId="14" fillId="4" borderId="8" xfId="15" applyNumberFormat="1" applyBorder="1" applyAlignment="1">
      <alignment horizontal="left" vertical="top" wrapText="1"/>
      <protection locked="0"/>
    </xf>
    <xf numFmtId="2" fontId="13" fillId="14" borderId="4" xfId="14" applyNumberFormat="1" applyFill="1" applyBorder="1" applyAlignment="1">
      <alignment horizontal="center" vertical="top" wrapText="1"/>
    </xf>
    <xf numFmtId="168" fontId="77" fillId="15" borderId="33" xfId="14" applyNumberFormat="1" applyFont="1" applyFill="1" applyBorder="1" applyAlignment="1">
      <alignment horizontal="center" vertical="top" wrapText="1"/>
    </xf>
    <xf numFmtId="165" fontId="77" fillId="5" borderId="130" xfId="14" applyNumberFormat="1" applyFont="1" applyBorder="1" applyAlignment="1">
      <alignment horizontal="left" vertical="center" wrapText="1"/>
    </xf>
    <xf numFmtId="187" fontId="13" fillId="5" borderId="131" xfId="14" applyNumberFormat="1" applyBorder="1" applyAlignment="1">
      <alignment horizontal="center" vertical="center" wrapText="1"/>
    </xf>
    <xf numFmtId="2" fontId="77" fillId="15" borderId="132" xfId="14" applyNumberFormat="1" applyFont="1" applyFill="1" applyBorder="1" applyAlignment="1">
      <alignment horizontal="center" vertical="center" wrapText="1"/>
    </xf>
    <xf numFmtId="165" fontId="77" fillId="5" borderId="133" xfId="14" applyNumberFormat="1" applyFont="1" applyBorder="1" applyAlignment="1">
      <alignment horizontal="left" vertical="center" wrapText="1"/>
    </xf>
    <xf numFmtId="188" fontId="77" fillId="15" borderId="134" xfId="14" applyNumberFormat="1" applyFont="1" applyFill="1" applyBorder="1" applyAlignment="1">
      <alignment horizontal="center" vertical="top" wrapText="1"/>
    </xf>
    <xf numFmtId="165" fontId="77" fillId="5" borderId="135" xfId="14" applyNumberFormat="1" applyFont="1" applyBorder="1" applyAlignment="1">
      <alignment horizontal="left" vertical="center" wrapText="1"/>
    </xf>
    <xf numFmtId="187" fontId="13" fillId="5" borderId="1" xfId="14" applyNumberFormat="1" applyAlignment="1">
      <alignment horizontal="center" vertical="center" wrapText="1"/>
    </xf>
    <xf numFmtId="2" fontId="77" fillId="15" borderId="136" xfId="14" applyNumberFormat="1" applyFont="1" applyFill="1" applyBorder="1" applyAlignment="1">
      <alignment horizontal="center" vertical="center" wrapText="1"/>
    </xf>
    <xf numFmtId="165" fontId="77" fillId="5" borderId="137" xfId="14" applyNumberFormat="1" applyFont="1" applyBorder="1" applyAlignment="1">
      <alignment horizontal="left" vertical="center" wrapText="1"/>
    </xf>
    <xf numFmtId="188" fontId="77" fillId="15" borderId="138" xfId="14" applyNumberFormat="1" applyFont="1" applyFill="1" applyBorder="1" applyAlignment="1">
      <alignment horizontal="center" vertical="top" wrapText="1"/>
    </xf>
    <xf numFmtId="165" fontId="77" fillId="5" borderId="139" xfId="14" applyNumberFormat="1" applyFont="1" applyBorder="1" applyAlignment="1">
      <alignment horizontal="left" vertical="center" wrapText="1"/>
    </xf>
    <xf numFmtId="187" fontId="13" fillId="5" borderId="4" xfId="14" applyNumberFormat="1" applyBorder="1" applyAlignment="1">
      <alignment horizontal="center" vertical="center" wrapText="1"/>
    </xf>
    <xf numFmtId="2" fontId="77" fillId="15" borderId="140" xfId="14" applyNumberFormat="1" applyFont="1" applyFill="1" applyBorder="1" applyAlignment="1">
      <alignment horizontal="center" vertical="center" wrapText="1"/>
    </xf>
    <xf numFmtId="165" fontId="77" fillId="5" borderId="141" xfId="14" applyNumberFormat="1" applyFont="1" applyBorder="1" applyAlignment="1">
      <alignment horizontal="left" vertical="center" wrapText="1"/>
    </xf>
    <xf numFmtId="188" fontId="77" fillId="15" borderId="142" xfId="14" applyNumberFormat="1" applyFont="1" applyFill="1" applyBorder="1" applyAlignment="1">
      <alignment horizontal="center" vertical="top" wrapText="1"/>
    </xf>
    <xf numFmtId="165" fontId="77" fillId="5" borderId="143" xfId="14" applyNumberFormat="1" applyFont="1" applyBorder="1" applyAlignment="1">
      <alignment horizontal="left" vertical="center" wrapText="1"/>
    </xf>
    <xf numFmtId="187" fontId="13" fillId="5" borderId="144" xfId="14" applyNumberFormat="1" applyBorder="1" applyAlignment="1">
      <alignment horizontal="center" vertical="center" wrapText="1"/>
    </xf>
    <xf numFmtId="2" fontId="77" fillId="16" borderId="145" xfId="14" applyNumberFormat="1" applyFont="1" applyFill="1" applyBorder="1" applyAlignment="1">
      <alignment horizontal="center" vertical="center" wrapText="1"/>
    </xf>
    <xf numFmtId="165" fontId="77" fillId="5" borderId="146" xfId="14" applyNumberFormat="1" applyFont="1" applyBorder="1" applyAlignment="1">
      <alignment horizontal="left" vertical="center" wrapText="1"/>
    </xf>
    <xf numFmtId="188" fontId="110" fillId="16" borderId="147" xfId="14" applyNumberFormat="1" applyFont="1" applyFill="1" applyBorder="1" applyAlignment="1">
      <alignment horizontal="center" vertical="center" wrapText="1"/>
    </xf>
    <xf numFmtId="0" fontId="27" fillId="3" borderId="0" xfId="11" applyBorder="1" applyAlignment="1">
      <alignment horizontal="left" vertical="center" indent="1"/>
    </xf>
    <xf numFmtId="172" fontId="13" fillId="5" borderId="4" xfId="14" applyNumberFormat="1" applyBorder="1" applyAlignment="1">
      <alignment horizontal="center" vertical="center"/>
    </xf>
    <xf numFmtId="167" fontId="13" fillId="5" borderId="4" xfId="14" applyNumberFormat="1" applyBorder="1" applyAlignment="1">
      <alignment horizontal="center" vertical="center"/>
    </xf>
    <xf numFmtId="168" fontId="12" fillId="16" borderId="4" xfId="14" applyNumberFormat="1" applyFont="1" applyFill="1" applyBorder="1" applyAlignment="1">
      <alignment horizontal="center" vertical="center" wrapText="1"/>
    </xf>
    <xf numFmtId="0" fontId="13" fillId="5" borderId="148" xfId="14" applyBorder="1" applyAlignment="1">
      <alignment vertical="center"/>
    </xf>
    <xf numFmtId="165" fontId="16" fillId="5" borderId="1" xfId="14" applyNumberFormat="1" applyFont="1" applyAlignment="1">
      <alignment vertical="top" wrapText="1"/>
    </xf>
    <xf numFmtId="3" fontId="14" fillId="4" borderId="125" xfId="15" applyNumberFormat="1" applyBorder="1" applyAlignment="1">
      <alignment horizontal="left" vertical="center" wrapText="1"/>
      <protection locked="0"/>
    </xf>
    <xf numFmtId="0" fontId="4" fillId="0" borderId="0" xfId="37" applyFont="1"/>
    <xf numFmtId="0" fontId="17" fillId="0" borderId="0" xfId="37" applyFont="1"/>
    <xf numFmtId="0" fontId="13" fillId="5" borderId="0" xfId="37" applyFont="1" applyFill="1" applyAlignment="1">
      <alignment horizontal="left" vertical="center"/>
    </xf>
    <xf numFmtId="0" fontId="15" fillId="5" borderId="0" xfId="37" applyFont="1" applyFill="1" applyAlignment="1">
      <alignment horizontal="right" vertical="center"/>
    </xf>
    <xf numFmtId="0" fontId="16" fillId="5" borderId="0" xfId="37" applyFont="1" applyFill="1" applyAlignment="1">
      <alignment horizontal="right" vertical="center"/>
    </xf>
    <xf numFmtId="0" fontId="18" fillId="0" borderId="0" xfId="37" applyFont="1" applyAlignment="1">
      <alignment horizontal="center"/>
    </xf>
    <xf numFmtId="0" fontId="111" fillId="4" borderId="0" xfId="13" applyFont="1"/>
    <xf numFmtId="0" fontId="112" fillId="4" borderId="0" xfId="13" applyFont="1" applyAlignment="1">
      <alignment horizontal="left" vertical="center"/>
    </xf>
    <xf numFmtId="166" fontId="113" fillId="6" borderId="17" xfId="18" applyNumberFormat="1" applyFont="1" applyBorder="1" applyAlignment="1">
      <alignment horizontal="right" vertical="center"/>
    </xf>
    <xf numFmtId="166" fontId="113" fillId="6" borderId="1" xfId="18" applyNumberFormat="1" applyFont="1" applyAlignment="1">
      <alignment horizontal="right" vertical="center"/>
    </xf>
    <xf numFmtId="166" fontId="113" fillId="6" borderId="8" xfId="18" applyNumberFormat="1" applyFont="1" applyBorder="1" applyAlignment="1">
      <alignment horizontal="right" vertical="center"/>
    </xf>
    <xf numFmtId="3" fontId="4" fillId="0" borderId="0" xfId="0" applyNumberFormat="1" applyFont="1"/>
    <xf numFmtId="3" fontId="77" fillId="3" borderId="1" xfId="16" applyNumberFormat="1" applyFont="1" applyAlignment="1">
      <alignment horizontal="right"/>
    </xf>
    <xf numFmtId="172" fontId="14" fillId="6" borderId="0" xfId="18" applyNumberFormat="1" applyBorder="1" applyAlignment="1">
      <alignment horizontal="center" vertical="top" wrapText="1"/>
    </xf>
    <xf numFmtId="172" fontId="14" fillId="6" borderId="29" xfId="18" applyNumberFormat="1" applyBorder="1" applyAlignment="1">
      <alignment horizontal="center" vertical="top" wrapText="1"/>
    </xf>
    <xf numFmtId="172" fontId="14" fillId="6" borderId="25" xfId="18" applyNumberFormat="1" applyBorder="1" applyAlignment="1">
      <alignment horizontal="center" vertical="top" wrapText="1"/>
    </xf>
    <xf numFmtId="3" fontId="113" fillId="6" borderId="17" xfId="18" applyNumberFormat="1" applyFont="1" applyBorder="1" applyAlignment="1">
      <alignment horizontal="right" vertical="center"/>
    </xf>
    <xf numFmtId="3" fontId="113" fillId="6" borderId="1" xfId="18" applyNumberFormat="1" applyFont="1" applyAlignment="1">
      <alignment horizontal="right" vertical="center"/>
    </xf>
    <xf numFmtId="3" fontId="113" fillId="6" borderId="8" xfId="18" applyNumberFormat="1" applyFont="1" applyBorder="1" applyAlignment="1">
      <alignment horizontal="right" vertical="center"/>
    </xf>
    <xf numFmtId="1" fontId="6" fillId="0" borderId="0" xfId="0" applyNumberFormat="1" applyFont="1"/>
    <xf numFmtId="166" fontId="41" fillId="6" borderId="17" xfId="18" applyNumberFormat="1" applyFont="1" applyBorder="1" applyAlignment="1">
      <alignment horizontal="right" vertical="center"/>
    </xf>
    <xf numFmtId="166" fontId="41" fillId="27" borderId="17" xfId="18" applyNumberFormat="1" applyFont="1" applyFill="1" applyBorder="1" applyAlignment="1">
      <alignment horizontal="right" vertical="center"/>
    </xf>
    <xf numFmtId="166" fontId="41" fillId="27" borderId="1" xfId="18" applyNumberFormat="1" applyFont="1" applyFill="1" applyAlignment="1">
      <alignment horizontal="right" vertical="center"/>
    </xf>
    <xf numFmtId="0" fontId="87" fillId="3" borderId="0" xfId="11" applyFont="1" applyAlignment="1">
      <alignment horizontal="right" vertical="center"/>
    </xf>
    <xf numFmtId="0" fontId="87" fillId="3" borderId="0" xfId="11" applyFont="1" applyAlignment="1">
      <alignment vertical="center"/>
    </xf>
    <xf numFmtId="0" fontId="87" fillId="3" borderId="0" xfId="11" applyFont="1" applyAlignment="1">
      <alignment horizontal="right" vertical="top"/>
    </xf>
    <xf numFmtId="0" fontId="34" fillId="3" borderId="0" xfId="11" applyFont="1" applyBorder="1" applyAlignment="1">
      <alignment horizontal="center" vertical="center"/>
    </xf>
    <xf numFmtId="0" fontId="87" fillId="3" borderId="0" xfId="11" quotePrefix="1" applyFont="1" applyBorder="1" applyAlignment="1">
      <alignment vertical="center"/>
    </xf>
    <xf numFmtId="0" fontId="114" fillId="18" borderId="1" xfId="17" applyFont="1" applyFill="1" applyAlignment="1">
      <alignment vertical="center"/>
    </xf>
    <xf numFmtId="0" fontId="115" fillId="18" borderId="1" xfId="17" applyFont="1" applyFill="1" applyAlignment="1">
      <alignment horizontal="center" vertical="center"/>
    </xf>
    <xf numFmtId="0" fontId="114" fillId="18" borderId="1" xfId="17" applyFont="1" applyFill="1" applyAlignment="1">
      <alignment horizontal="center" vertical="center"/>
    </xf>
    <xf numFmtId="0" fontId="116" fillId="18" borderId="0" xfId="13" applyFont="1" applyFill="1" applyAlignment="1">
      <alignment vertical="center"/>
    </xf>
    <xf numFmtId="0" fontId="114" fillId="18" borderId="113" xfId="17" applyFont="1" applyFill="1" applyBorder="1" applyAlignment="1">
      <alignment vertical="center"/>
    </xf>
    <xf numFmtId="0" fontId="59" fillId="4" borderId="0" xfId="11" applyFont="1" applyFill="1" applyAlignment="1">
      <alignment horizontal="left" vertical="center"/>
    </xf>
    <xf numFmtId="0" fontId="117" fillId="3" borderId="0" xfId="11" applyFont="1" applyAlignment="1">
      <alignment horizontal="left" vertical="top"/>
    </xf>
    <xf numFmtId="0" fontId="117" fillId="3" borderId="0" xfId="11" applyFont="1" applyBorder="1" applyAlignment="1">
      <alignment vertical="center"/>
    </xf>
    <xf numFmtId="0" fontId="117" fillId="3" borderId="0" xfId="11" applyFont="1" applyAlignment="1">
      <alignment vertical="center"/>
    </xf>
    <xf numFmtId="0" fontId="118" fillId="3" borderId="0" xfId="11" applyFont="1" applyBorder="1" applyAlignment="1">
      <alignment horizontal="right" vertical="center"/>
    </xf>
    <xf numFmtId="0" fontId="60" fillId="5" borderId="1" xfId="14" applyFont="1" applyAlignment="1">
      <alignment horizontal="left" vertical="center"/>
    </xf>
    <xf numFmtId="0" fontId="60" fillId="5" borderId="1" xfId="14" applyFont="1" applyAlignment="1">
      <alignment horizontal="right" vertical="center"/>
    </xf>
    <xf numFmtId="2" fontId="117" fillId="3" borderId="0" xfId="11" applyNumberFormat="1" applyFont="1" applyBorder="1" applyAlignment="1">
      <alignment horizontal="center" vertical="center"/>
    </xf>
    <xf numFmtId="0" fontId="119" fillId="3" borderId="0" xfId="11" applyFont="1" applyAlignment="1">
      <alignment horizontal="left" vertical="center"/>
    </xf>
    <xf numFmtId="0" fontId="120" fillId="3" borderId="4" xfId="11" applyFont="1" applyBorder="1" applyAlignment="1">
      <alignment horizontal="left" vertical="center"/>
    </xf>
    <xf numFmtId="0" fontId="120" fillId="3" borderId="0" xfId="11" applyFont="1" applyAlignment="1">
      <alignment horizontal="left" vertical="center"/>
    </xf>
    <xf numFmtId="0" fontId="87" fillId="3" borderId="0" xfId="11" applyFont="1" applyBorder="1" applyAlignment="1">
      <alignment horizontal="left" vertical="center"/>
    </xf>
    <xf numFmtId="0" fontId="87" fillId="3" borderId="0" xfId="11" applyFont="1" applyBorder="1" applyAlignment="1">
      <alignment horizontal="right" vertical="center"/>
    </xf>
    <xf numFmtId="0" fontId="87" fillId="3" borderId="0" xfId="11" applyFont="1" applyBorder="1" applyAlignment="1">
      <alignment horizontal="right" vertical="top" wrapText="1"/>
    </xf>
    <xf numFmtId="0" fontId="115" fillId="18" borderId="1" xfId="17" applyFont="1" applyFill="1" applyAlignment="1">
      <alignment horizontal="left" vertical="center"/>
    </xf>
    <xf numFmtId="3" fontId="115" fillId="18" borderId="1" xfId="17" applyNumberFormat="1" applyFont="1" applyFill="1" applyAlignment="1">
      <alignment horizontal="left" vertical="center"/>
    </xf>
    <xf numFmtId="0" fontId="114" fillId="18" borderId="1" xfId="17" applyFont="1" applyFill="1" applyAlignment="1">
      <alignment horizontal="left" vertical="center"/>
    </xf>
    <xf numFmtId="9" fontId="37" fillId="5" borderId="6" xfId="20" applyFont="1" applyFill="1" applyBorder="1" applyAlignment="1">
      <alignment horizontal="right" vertical="center"/>
    </xf>
    <xf numFmtId="0" fontId="108" fillId="3" borderId="0" xfId="11" applyFont="1" applyAlignment="1">
      <alignment horizontal="left" vertical="center"/>
    </xf>
    <xf numFmtId="4" fontId="27" fillId="3" borderId="0" xfId="11" applyNumberFormat="1" applyBorder="1" applyAlignment="1">
      <alignment horizontal="right" vertical="center"/>
    </xf>
    <xf numFmtId="4" fontId="87" fillId="3" borderId="0" xfId="11" applyNumberFormat="1" applyFont="1" applyBorder="1" applyAlignment="1">
      <alignment horizontal="right" vertical="top" wrapText="1"/>
    </xf>
    <xf numFmtId="2" fontId="14" fillId="4" borderId="1" xfId="15" applyNumberFormat="1" applyAlignment="1">
      <alignment horizontal="right" vertical="center"/>
      <protection locked="0"/>
    </xf>
    <xf numFmtId="2" fontId="40" fillId="3" borderId="0" xfId="11" applyNumberFormat="1" applyFont="1" applyBorder="1" applyAlignment="1">
      <alignment horizontal="left" vertical="center"/>
    </xf>
    <xf numFmtId="2" fontId="27" fillId="3" borderId="0" xfId="11" applyNumberFormat="1" applyAlignment="1">
      <alignment vertical="center"/>
    </xf>
    <xf numFmtId="3" fontId="77" fillId="5" borderId="1" xfId="14" applyNumberFormat="1" applyFont="1" applyAlignment="1">
      <alignment horizontal="right" vertical="center"/>
    </xf>
    <xf numFmtId="167" fontId="14" fillId="6" borderId="1" xfId="18" applyNumberFormat="1" applyAlignment="1">
      <alignment horizontal="center" vertical="top" wrapText="1"/>
    </xf>
    <xf numFmtId="4" fontId="14" fillId="6" borderId="5" xfId="18" applyNumberFormat="1" applyBorder="1" applyAlignment="1">
      <alignment horizontal="center" vertical="top" wrapText="1"/>
    </xf>
    <xf numFmtId="4" fontId="14" fillId="6" borderId="1" xfId="18" applyNumberFormat="1" applyAlignment="1">
      <alignment horizontal="center" vertical="top" wrapText="1"/>
    </xf>
    <xf numFmtId="4" fontId="14" fillId="6" borderId="4" xfId="18" applyNumberFormat="1" applyBorder="1" applyAlignment="1">
      <alignment horizontal="center" vertical="top" wrapText="1"/>
    </xf>
    <xf numFmtId="4" fontId="14" fillId="6" borderId="8" xfId="18" applyNumberFormat="1" applyBorder="1" applyAlignment="1">
      <alignment horizontal="center" vertical="top" wrapText="1"/>
    </xf>
    <xf numFmtId="0" fontId="27" fillId="32" borderId="177" xfId="11" applyFill="1" applyBorder="1" applyAlignment="1">
      <alignment horizontal="left" vertical="center"/>
    </xf>
    <xf numFmtId="0" fontId="27" fillId="32" borderId="178" xfId="11" applyFill="1" applyBorder="1" applyAlignment="1">
      <alignment horizontal="right" vertical="center"/>
    </xf>
    <xf numFmtId="0" fontId="27" fillId="32" borderId="179" xfId="11" applyFill="1" applyBorder="1" applyAlignment="1">
      <alignment horizontal="right" vertical="center"/>
    </xf>
    <xf numFmtId="0" fontId="27" fillId="32" borderId="180" xfId="11" applyFill="1" applyBorder="1" applyAlignment="1">
      <alignment horizontal="left" vertical="center"/>
    </xf>
    <xf numFmtId="0" fontId="27" fillId="32" borderId="0" xfId="11" applyFill="1" applyBorder="1" applyAlignment="1">
      <alignment horizontal="center" vertical="center"/>
    </xf>
    <xf numFmtId="0" fontId="27" fillId="32" borderId="0" xfId="11" applyFill="1" applyBorder="1" applyAlignment="1">
      <alignment horizontal="right" vertical="center"/>
    </xf>
    <xf numFmtId="0" fontId="27" fillId="32" borderId="181" xfId="11" applyFill="1" applyBorder="1" applyAlignment="1">
      <alignment horizontal="right" vertical="center"/>
    </xf>
    <xf numFmtId="0" fontId="27" fillId="32" borderId="182" xfId="11" applyFill="1" applyBorder="1" applyAlignment="1">
      <alignment horizontal="left" vertical="center"/>
    </xf>
    <xf numFmtId="0" fontId="27" fillId="32" borderId="183" xfId="11" applyFill="1" applyBorder="1" applyAlignment="1">
      <alignment horizontal="center" vertical="center"/>
    </xf>
    <xf numFmtId="0" fontId="27" fillId="32" borderId="183" xfId="11" applyFill="1" applyBorder="1" applyAlignment="1">
      <alignment horizontal="right" vertical="center"/>
    </xf>
    <xf numFmtId="0" fontId="27" fillId="32" borderId="184" xfId="11" applyFill="1" applyBorder="1" applyAlignment="1">
      <alignment horizontal="right" vertical="center"/>
    </xf>
    <xf numFmtId="4" fontId="77" fillId="5" borderId="1" xfId="14" applyNumberFormat="1" applyFont="1" applyAlignment="1">
      <alignment horizontal="left" vertical="center"/>
    </xf>
    <xf numFmtId="0" fontId="90" fillId="4" borderId="0" xfId="13" applyFont="1" applyAlignment="1">
      <alignment horizontal="right" vertical="center"/>
    </xf>
    <xf numFmtId="0" fontId="32" fillId="4" borderId="5" xfId="19" applyFont="1" applyBorder="1" applyAlignment="1">
      <alignment horizontal="left" vertical="top"/>
    </xf>
    <xf numFmtId="0" fontId="28" fillId="2" borderId="1" xfId="17" applyAlignment="1">
      <alignment horizontal="left"/>
    </xf>
    <xf numFmtId="0" fontId="31" fillId="4" borderId="0" xfId="13" applyFont="1" applyAlignment="1">
      <alignment horizontal="left" vertical="center"/>
    </xf>
    <xf numFmtId="0" fontId="34" fillId="4" borderId="0" xfId="11" applyFont="1" applyFill="1" applyAlignment="1">
      <alignment horizontal="left" vertical="center"/>
    </xf>
    <xf numFmtId="0" fontId="121" fillId="4" borderId="0" xfId="13" applyFont="1" applyAlignment="1">
      <alignment horizontal="left" vertical="center"/>
    </xf>
    <xf numFmtId="0" fontId="16" fillId="5" borderId="1" xfId="14" applyFont="1" applyAlignment="1">
      <alignment horizontal="left" vertical="center"/>
    </xf>
    <xf numFmtId="0" fontId="122" fillId="4" borderId="0" xfId="13" applyFont="1" applyAlignment="1">
      <alignment horizontal="left" vertical="center"/>
    </xf>
    <xf numFmtId="0" fontId="14" fillId="3" borderId="0" xfId="11" applyFont="1" applyBorder="1" applyAlignment="1">
      <alignment horizontal="center" vertical="center"/>
    </xf>
    <xf numFmtId="0" fontId="123" fillId="3" borderId="0" xfId="11" applyFont="1" applyAlignment="1">
      <alignment horizontal="center" vertical="center"/>
    </xf>
    <xf numFmtId="3" fontId="27" fillId="3" borderId="0" xfId="11" applyNumberFormat="1" applyAlignment="1">
      <alignment vertical="center"/>
    </xf>
    <xf numFmtId="3" fontId="87" fillId="3" borderId="0" xfId="11" applyNumberFormat="1" applyFont="1" applyAlignment="1">
      <alignment vertical="center"/>
    </xf>
    <xf numFmtId="0" fontId="124" fillId="4" borderId="0" xfId="13" applyFont="1" applyAlignment="1">
      <alignment horizontal="right" vertical="center"/>
    </xf>
    <xf numFmtId="0" fontId="44" fillId="3" borderId="0" xfId="11" applyFont="1" applyAlignment="1">
      <alignment horizontal="center" vertical="center"/>
    </xf>
    <xf numFmtId="0" fontId="125" fillId="5" borderId="1" xfId="14" applyFont="1" applyAlignment="1">
      <alignment horizontal="left" vertical="center"/>
    </xf>
    <xf numFmtId="2" fontId="39" fillId="3" borderId="0" xfId="11" applyNumberFormat="1" applyFont="1" applyBorder="1" applyAlignment="1">
      <alignment horizontal="center" vertical="center"/>
    </xf>
    <xf numFmtId="0" fontId="39" fillId="3" borderId="0" xfId="11" applyFont="1" applyBorder="1" applyAlignment="1">
      <alignment vertical="center"/>
    </xf>
    <xf numFmtId="0" fontId="44" fillId="3" borderId="0" xfId="11" applyFont="1" applyAlignment="1">
      <alignment vertical="center"/>
    </xf>
    <xf numFmtId="0" fontId="43" fillId="5" borderId="1" xfId="14" applyFont="1" applyAlignment="1">
      <alignment horizontal="left" vertical="center"/>
    </xf>
    <xf numFmtId="3" fontId="43" fillId="5" borderId="1" xfId="14" applyNumberFormat="1" applyFont="1" applyAlignment="1">
      <alignment horizontal="left" vertical="center"/>
    </xf>
    <xf numFmtId="3" fontId="43" fillId="5" borderId="1" xfId="14" applyNumberFormat="1" applyFont="1" applyAlignment="1">
      <alignment horizontal="right" vertical="center"/>
    </xf>
    <xf numFmtId="4" fontId="43" fillId="5" borderId="1" xfId="14" applyNumberFormat="1" applyFont="1" applyAlignment="1">
      <alignment horizontal="left" vertical="center"/>
    </xf>
    <xf numFmtId="4" fontId="43" fillId="5" borderId="1" xfId="14" applyNumberFormat="1" applyFont="1" applyAlignment="1">
      <alignment horizontal="right" vertical="center"/>
    </xf>
    <xf numFmtId="0" fontId="44" fillId="3" borderId="0" xfId="11" applyFont="1" applyBorder="1" applyAlignment="1">
      <alignment vertical="center"/>
    </xf>
    <xf numFmtId="172" fontId="43" fillId="5" borderId="1" xfId="14" applyNumberFormat="1" applyFont="1" applyAlignment="1">
      <alignment horizontal="right" vertical="center"/>
    </xf>
    <xf numFmtId="0" fontId="108" fillId="3" borderId="0" xfId="11" applyFont="1" applyBorder="1" applyAlignment="1">
      <alignment horizontal="left" vertical="center"/>
    </xf>
    <xf numFmtId="0" fontId="18" fillId="0" borderId="0" xfId="0" applyFont="1" applyAlignment="1">
      <alignment horizontal="center" wrapText="1"/>
    </xf>
    <xf numFmtId="2" fontId="13" fillId="3" borderId="0" xfId="16" applyNumberFormat="1" applyBorder="1" applyAlignment="1">
      <alignment horizontal="left" vertical="center" wrapText="1"/>
    </xf>
    <xf numFmtId="2" fontId="13" fillId="3" borderId="0" xfId="16" applyNumberFormat="1" applyBorder="1" applyAlignment="1">
      <alignment horizontal="center" vertical="center" wrapText="1"/>
    </xf>
    <xf numFmtId="0" fontId="8" fillId="4" borderId="0" xfId="13" applyBorder="1" applyAlignment="1">
      <alignment wrapText="1"/>
    </xf>
    <xf numFmtId="0" fontId="87" fillId="3" borderId="0" xfId="11" applyFont="1" applyAlignment="1">
      <alignment horizontal="left" vertical="top"/>
    </xf>
    <xf numFmtId="172" fontId="14" fillId="6" borderId="17" xfId="18" applyNumberFormat="1" applyBorder="1" applyAlignment="1">
      <alignment horizontal="left" vertical="top" wrapText="1"/>
    </xf>
    <xf numFmtId="172" fontId="14" fillId="6" borderId="1" xfId="18" applyNumberFormat="1" applyAlignment="1">
      <alignment horizontal="left" vertical="top" wrapText="1"/>
    </xf>
    <xf numFmtId="3" fontId="14" fillId="6" borderId="1" xfId="18" applyNumberFormat="1" applyAlignment="1">
      <alignment horizontal="left" vertical="top" wrapText="1"/>
    </xf>
    <xf numFmtId="172" fontId="14" fillId="6" borderId="4" xfId="18" applyNumberFormat="1" applyBorder="1" applyAlignment="1">
      <alignment horizontal="left" vertical="top" wrapText="1"/>
    </xf>
    <xf numFmtId="172" fontId="14" fillId="6" borderId="8" xfId="18" applyNumberFormat="1" applyBorder="1" applyAlignment="1">
      <alignment horizontal="left" vertical="top" wrapText="1"/>
    </xf>
    <xf numFmtId="3" fontId="14" fillId="6" borderId="8" xfId="18" applyNumberFormat="1" applyBorder="1" applyAlignment="1">
      <alignment horizontal="left" vertical="top" wrapText="1"/>
    </xf>
    <xf numFmtId="2" fontId="87" fillId="3" borderId="0" xfId="11" applyNumberFormat="1" applyFont="1" applyAlignment="1">
      <alignment horizontal="right" vertical="top"/>
    </xf>
    <xf numFmtId="4" fontId="18" fillId="5" borderId="1" xfId="14" applyNumberFormat="1" applyFont="1" applyAlignment="1">
      <alignment horizontal="left" vertical="center"/>
    </xf>
    <xf numFmtId="2" fontId="87" fillId="3" borderId="0" xfId="11" applyNumberFormat="1" applyFont="1" applyAlignment="1">
      <alignment horizontal="left" vertical="top"/>
    </xf>
    <xf numFmtId="3" fontId="87" fillId="3" borderId="0" xfId="11" applyNumberFormat="1" applyFont="1" applyBorder="1" applyAlignment="1">
      <alignment horizontal="right" vertical="center"/>
    </xf>
    <xf numFmtId="1" fontId="117" fillId="3" borderId="0" xfId="11" applyNumberFormat="1" applyFont="1" applyBorder="1" applyAlignment="1">
      <alignment horizontal="center" vertical="center"/>
    </xf>
    <xf numFmtId="0" fontId="120" fillId="3" borderId="4" xfId="11" applyFont="1" applyBorder="1" applyAlignment="1">
      <alignment horizontal="right" vertical="center"/>
    </xf>
    <xf numFmtId="0" fontId="126" fillId="3" borderId="0" xfId="11" applyFont="1" applyAlignment="1">
      <alignment horizontal="left" vertical="center"/>
    </xf>
    <xf numFmtId="166" fontId="27" fillId="3" borderId="0" xfId="11" applyNumberFormat="1" applyBorder="1" applyAlignment="1">
      <alignment vertical="center"/>
    </xf>
    <xf numFmtId="3" fontId="41" fillId="6" borderId="17" xfId="18" applyNumberFormat="1" applyFont="1" applyBorder="1" applyAlignment="1">
      <alignment horizontal="right" vertical="center"/>
    </xf>
    <xf numFmtId="3" fontId="41" fillId="6" borderId="1" xfId="18" applyNumberFormat="1" applyFont="1" applyAlignment="1">
      <alignment horizontal="right" vertical="center"/>
    </xf>
    <xf numFmtId="0" fontId="48" fillId="3" borderId="0" xfId="11" applyFont="1" applyAlignment="1">
      <alignment horizontal="left" vertical="center"/>
    </xf>
    <xf numFmtId="186" fontId="40" fillId="4" borderId="4" xfId="13" applyNumberFormat="1" applyFont="1" applyBorder="1" applyAlignment="1">
      <alignment horizontal="left" vertical="center"/>
    </xf>
    <xf numFmtId="186" fontId="0" fillId="0" borderId="4" xfId="0" applyNumberFormat="1" applyBorder="1" applyAlignment="1">
      <alignment horizontal="left" vertical="center"/>
    </xf>
    <xf numFmtId="4" fontId="14" fillId="5" borderId="30" xfId="18" applyNumberFormat="1" applyFill="1" applyBorder="1" applyAlignment="1">
      <alignment horizontal="left" vertical="top"/>
    </xf>
    <xf numFmtId="4" fontId="14" fillId="5" borderId="13" xfId="18" applyNumberFormat="1" applyFill="1" applyBorder="1" applyAlignment="1">
      <alignment horizontal="left" vertical="top"/>
    </xf>
    <xf numFmtId="4" fontId="14" fillId="5" borderId="32" xfId="18" applyNumberFormat="1" applyFill="1" applyBorder="1" applyAlignment="1">
      <alignment horizontal="left" vertical="top"/>
    </xf>
    <xf numFmtId="4" fontId="14" fillId="5" borderId="14" xfId="18" applyNumberFormat="1" applyFill="1" applyBorder="1" applyAlignment="1">
      <alignment horizontal="left" vertical="top"/>
    </xf>
    <xf numFmtId="0" fontId="28" fillId="4" borderId="1" xfId="17" applyFill="1" applyAlignment="1">
      <alignment vertical="center"/>
    </xf>
    <xf numFmtId="0" fontId="27" fillId="4" borderId="0" xfId="11" applyFill="1" applyAlignment="1">
      <alignment horizontal="center" vertical="center"/>
    </xf>
    <xf numFmtId="0" fontId="34" fillId="4" borderId="0" xfId="11" applyFont="1" applyFill="1" applyBorder="1" applyAlignment="1">
      <alignment horizontal="center" vertical="center"/>
    </xf>
    <xf numFmtId="0" fontId="87" fillId="4" borderId="0" xfId="11" applyFont="1" applyFill="1" applyBorder="1" applyAlignment="1">
      <alignment vertical="center"/>
    </xf>
    <xf numFmtId="0" fontId="87" fillId="4" borderId="0" xfId="11" applyFont="1" applyFill="1" applyAlignment="1">
      <alignment horizontal="center" vertical="center"/>
    </xf>
    <xf numFmtId="2" fontId="40" fillId="4" borderId="0" xfId="11" applyNumberFormat="1" applyFont="1" applyFill="1" applyBorder="1" applyAlignment="1">
      <alignment horizontal="left" vertical="center"/>
    </xf>
    <xf numFmtId="0" fontId="44" fillId="4" borderId="0" xfId="11" applyFont="1" applyFill="1" applyAlignment="1">
      <alignment horizontal="center" vertical="center"/>
    </xf>
    <xf numFmtId="0" fontId="25" fillId="4" borderId="0" xfId="11" applyFont="1" applyFill="1" applyAlignment="1">
      <alignment horizontal="center" vertical="center"/>
    </xf>
    <xf numFmtId="0" fontId="27" fillId="4" borderId="0" xfId="11" applyFill="1" applyAlignment="1">
      <alignment horizontal="center" vertical="top"/>
    </xf>
    <xf numFmtId="2" fontId="87" fillId="3" borderId="0" xfId="11" applyNumberFormat="1" applyFont="1" applyBorder="1" applyAlignment="1">
      <alignment vertical="center"/>
    </xf>
    <xf numFmtId="0" fontId="87" fillId="3" borderId="0" xfId="11" applyFont="1" applyBorder="1" applyAlignment="1">
      <alignment horizontal="center" vertical="center"/>
    </xf>
    <xf numFmtId="4" fontId="54" fillId="5" borderId="1" xfId="14" applyNumberFormat="1" applyFont="1" applyAlignment="1">
      <alignment horizontal="left" vertical="center"/>
    </xf>
    <xf numFmtId="0" fontId="8" fillId="4" borderId="11" xfId="13" applyBorder="1"/>
    <xf numFmtId="0" fontId="8" fillId="4" borderId="5" xfId="13" applyBorder="1" applyAlignment="1">
      <alignment horizontal="center"/>
    </xf>
    <xf numFmtId="0" fontId="4" fillId="0" borderId="0" xfId="0" applyFont="1" applyAlignment="1">
      <alignment horizontal="center"/>
    </xf>
    <xf numFmtId="1" fontId="14" fillId="6" borderId="17" xfId="18" applyNumberFormat="1" applyBorder="1" applyAlignment="1">
      <alignment horizontal="right" vertical="center" wrapText="1"/>
    </xf>
    <xf numFmtId="2" fontId="13" fillId="3" borderId="10" xfId="16" applyNumberFormat="1" applyBorder="1" applyAlignment="1">
      <alignment horizontal="right" vertical="center"/>
    </xf>
    <xf numFmtId="4" fontId="14" fillId="6" borderId="5" xfId="18" applyNumberFormat="1" applyBorder="1" applyAlignment="1">
      <alignment horizontal="right" vertical="top" wrapText="1"/>
    </xf>
    <xf numFmtId="4" fontId="14" fillId="6" borderId="1" xfId="18" applyNumberFormat="1" applyAlignment="1">
      <alignment horizontal="right" vertical="top" wrapText="1"/>
    </xf>
    <xf numFmtId="4" fontId="14" fillId="6" borderId="4" xfId="18" applyNumberFormat="1" applyBorder="1" applyAlignment="1">
      <alignment horizontal="right" vertical="top" wrapText="1"/>
    </xf>
    <xf numFmtId="4" fontId="14" fillId="6" borderId="8" xfId="18" applyNumberFormat="1" applyBorder="1" applyAlignment="1">
      <alignment horizontal="right" vertical="top" wrapText="1"/>
    </xf>
    <xf numFmtId="0" fontId="123" fillId="3" borderId="0" xfId="11" applyFont="1" applyAlignment="1">
      <alignment horizontal="right" vertical="center"/>
    </xf>
    <xf numFmtId="167" fontId="14" fillId="6" borderId="1" xfId="18" applyNumberFormat="1" applyAlignment="1">
      <alignment horizontal="right" vertical="top" wrapText="1"/>
    </xf>
    <xf numFmtId="3" fontId="14" fillId="6" borderId="4" xfId="18" applyNumberFormat="1" applyBorder="1" applyAlignment="1">
      <alignment horizontal="right" vertical="top" wrapText="1"/>
    </xf>
    <xf numFmtId="3" fontId="14" fillId="6" borderId="8" xfId="18" applyNumberFormat="1" applyBorder="1" applyAlignment="1">
      <alignment horizontal="right" vertical="top" wrapText="1"/>
    </xf>
    <xf numFmtId="3" fontId="14" fillId="6" borderId="5" xfId="18" applyNumberFormat="1" applyBorder="1" applyAlignment="1">
      <alignment horizontal="right" vertical="top" wrapText="1"/>
    </xf>
    <xf numFmtId="172" fontId="14" fillId="6" borderId="5" xfId="18" applyNumberFormat="1" applyBorder="1" applyAlignment="1">
      <alignment horizontal="right" vertical="top" wrapText="1"/>
    </xf>
    <xf numFmtId="172" fontId="14" fillId="6" borderId="0" xfId="18" applyNumberFormat="1" applyBorder="1" applyAlignment="1">
      <alignment horizontal="right" vertical="top" wrapText="1"/>
    </xf>
    <xf numFmtId="172" fontId="14" fillId="6" borderId="1" xfId="18" applyNumberFormat="1" applyAlignment="1">
      <alignment horizontal="right" vertical="top" wrapText="1"/>
    </xf>
    <xf numFmtId="172" fontId="14" fillId="6" borderId="8" xfId="18" applyNumberFormat="1" applyBorder="1" applyAlignment="1">
      <alignment horizontal="right" vertical="top" wrapText="1"/>
    </xf>
    <xf numFmtId="172" fontId="14" fillId="6" borderId="4" xfId="18" applyNumberFormat="1" applyBorder="1" applyAlignment="1">
      <alignment horizontal="right" vertical="top" wrapText="1"/>
    </xf>
    <xf numFmtId="183" fontId="14" fillId="6" borderId="1" xfId="18" applyNumberFormat="1" applyAlignment="1">
      <alignment horizontal="right" vertical="top" wrapText="1"/>
    </xf>
    <xf numFmtId="172" fontId="14" fillId="6" borderId="5" xfId="18" applyNumberFormat="1" applyBorder="1" applyAlignment="1">
      <alignment horizontal="left" vertical="top" wrapText="1"/>
    </xf>
    <xf numFmtId="183" fontId="14" fillId="6" borderId="1" xfId="18" applyNumberFormat="1" applyAlignment="1">
      <alignment horizontal="left" vertical="top" wrapText="1"/>
    </xf>
    <xf numFmtId="185" fontId="14" fillId="6" borderId="5" xfId="18" applyNumberFormat="1" applyBorder="1" applyAlignment="1">
      <alignment horizontal="right" vertical="top" wrapText="1"/>
    </xf>
    <xf numFmtId="182" fontId="14" fillId="6" borderId="1" xfId="18" applyNumberFormat="1" applyAlignment="1">
      <alignment horizontal="right" vertical="top" wrapText="1"/>
    </xf>
    <xf numFmtId="2" fontId="13" fillId="3" borderId="10" xfId="16" applyNumberFormat="1" applyBorder="1" applyAlignment="1">
      <alignment horizontal="left" vertical="center"/>
    </xf>
    <xf numFmtId="0" fontId="8" fillId="4" borderId="0" xfId="13" applyAlignment="1">
      <alignment horizontal="center" vertical="top"/>
    </xf>
    <xf numFmtId="2" fontId="13" fillId="3" borderId="23" xfId="16" applyNumberFormat="1" applyBorder="1" applyAlignment="1">
      <alignment horizontal="left" vertical="top"/>
    </xf>
    <xf numFmtId="0" fontId="27" fillId="3" borderId="10" xfId="11" applyBorder="1" applyAlignment="1">
      <alignment horizontal="center" vertical="top"/>
    </xf>
    <xf numFmtId="2" fontId="13" fillId="3" borderId="10" xfId="16" applyNumberFormat="1" applyBorder="1" applyAlignment="1">
      <alignment horizontal="right" vertical="top" wrapText="1"/>
    </xf>
    <xf numFmtId="9" fontId="4" fillId="4" borderId="10" xfId="20" applyFont="1" applyFill="1" applyBorder="1" applyAlignment="1">
      <alignment vertical="top"/>
    </xf>
    <xf numFmtId="0" fontId="8" fillId="4" borderId="0" xfId="13" applyBorder="1" applyAlignment="1">
      <alignment vertical="top"/>
    </xf>
    <xf numFmtId="2" fontId="13" fillId="3" borderId="10" xfId="16" applyNumberFormat="1" applyBorder="1" applyAlignment="1">
      <alignment horizontal="right" vertical="top"/>
    </xf>
    <xf numFmtId="0" fontId="17" fillId="0" borderId="0" xfId="0" applyFont="1" applyAlignment="1">
      <alignment vertical="top"/>
    </xf>
    <xf numFmtId="0" fontId="8" fillId="4" borderId="0" xfId="13" applyAlignment="1">
      <alignment horizontal="center" vertical="top" wrapText="1"/>
    </xf>
    <xf numFmtId="2" fontId="13" fillId="3" borderId="23" xfId="16" applyNumberFormat="1" applyBorder="1" applyAlignment="1">
      <alignment horizontal="left" vertical="top" wrapText="1"/>
    </xf>
    <xf numFmtId="0" fontId="27" fillId="3" borderId="10" xfId="11" applyBorder="1" applyAlignment="1">
      <alignment horizontal="center" vertical="top" wrapText="1"/>
    </xf>
    <xf numFmtId="9" fontId="4" fillId="4" borderId="10" xfId="20" applyFont="1" applyFill="1" applyBorder="1" applyAlignment="1">
      <alignment vertical="top" wrapText="1"/>
    </xf>
    <xf numFmtId="0" fontId="4" fillId="0" borderId="0" xfId="0" applyFont="1" applyAlignment="1">
      <alignment vertical="top" wrapText="1"/>
    </xf>
    <xf numFmtId="0" fontId="8" fillId="4" borderId="0" xfId="13" applyBorder="1" applyAlignment="1">
      <alignment vertical="top" wrapText="1"/>
    </xf>
    <xf numFmtId="0" fontId="17" fillId="0" borderId="0" xfId="0" applyFont="1" applyAlignment="1">
      <alignment vertical="top" wrapText="1"/>
    </xf>
    <xf numFmtId="0" fontId="6" fillId="0" borderId="0" xfId="0" applyFont="1" applyAlignment="1">
      <alignment vertical="top" wrapText="1"/>
    </xf>
    <xf numFmtId="3" fontId="87" fillId="3" borderId="0" xfId="11" applyNumberFormat="1" applyFont="1" applyBorder="1" applyAlignment="1">
      <alignment horizontal="right" vertical="top" wrapText="1"/>
    </xf>
    <xf numFmtId="0" fontId="90" fillId="4" borderId="0" xfId="13" applyFont="1"/>
    <xf numFmtId="0" fontId="77" fillId="5" borderId="1" xfId="14" applyFont="1" applyAlignment="1">
      <alignment horizontal="right" vertical="center"/>
    </xf>
    <xf numFmtId="9" fontId="77" fillId="5" borderId="1" xfId="20" applyFont="1" applyFill="1" applyBorder="1" applyAlignment="1">
      <alignment horizontal="right" vertical="center"/>
    </xf>
    <xf numFmtId="9" fontId="13" fillId="5" borderId="1" xfId="20" applyFont="1" applyFill="1" applyBorder="1" applyAlignment="1">
      <alignment horizontal="right" vertical="center"/>
    </xf>
    <xf numFmtId="165" fontId="77" fillId="5" borderId="1" xfId="14" applyNumberFormat="1" applyFont="1" applyAlignment="1">
      <alignment horizontal="right" vertical="center"/>
    </xf>
    <xf numFmtId="0" fontId="16" fillId="5" borderId="1" xfId="14" applyFont="1" applyAlignment="1">
      <alignment horizontal="right" vertical="center"/>
    </xf>
    <xf numFmtId="3" fontId="16" fillId="5" borderId="1" xfId="14" applyNumberFormat="1" applyFont="1" applyAlignment="1">
      <alignment horizontal="right" vertical="center"/>
    </xf>
    <xf numFmtId="0" fontId="27" fillId="3" borderId="0" xfId="11" applyBorder="1" applyAlignment="1">
      <alignment vertical="top" wrapText="1"/>
    </xf>
    <xf numFmtId="0" fontId="27" fillId="3" borderId="0" xfId="11" applyBorder="1" applyAlignment="1">
      <alignment horizontal="right" vertical="top" wrapText="1"/>
    </xf>
    <xf numFmtId="167" fontId="13" fillId="5" borderId="1" xfId="20" applyNumberFormat="1" applyFont="1" applyFill="1" applyBorder="1" applyAlignment="1">
      <alignment horizontal="right" vertical="center"/>
    </xf>
    <xf numFmtId="2" fontId="77" fillId="5" borderId="1" xfId="14" applyNumberFormat="1" applyFont="1" applyAlignment="1">
      <alignment horizontal="right" vertical="center"/>
    </xf>
    <xf numFmtId="164" fontId="77" fillId="5" borderId="1" xfId="14" applyNumberFormat="1" applyFont="1" applyAlignment="1">
      <alignment horizontal="right" vertical="center"/>
    </xf>
    <xf numFmtId="1" fontId="60" fillId="5" borderId="1" xfId="14" applyNumberFormat="1" applyFont="1" applyAlignment="1">
      <alignment horizontal="right" vertical="center"/>
    </xf>
    <xf numFmtId="171" fontId="13" fillId="5" borderId="1" xfId="20" applyNumberFormat="1" applyFont="1" applyFill="1" applyBorder="1" applyAlignment="1">
      <alignment horizontal="right" vertical="center"/>
    </xf>
    <xf numFmtId="3" fontId="13" fillId="5" borderId="1" xfId="20" applyNumberFormat="1" applyFont="1" applyFill="1" applyBorder="1" applyAlignment="1">
      <alignment horizontal="right" vertical="center"/>
    </xf>
    <xf numFmtId="165" fontId="13" fillId="5" borderId="1" xfId="20" applyNumberFormat="1" applyFont="1" applyFill="1" applyBorder="1" applyAlignment="1">
      <alignment horizontal="right" vertical="center"/>
    </xf>
    <xf numFmtId="0" fontId="114" fillId="18" borderId="1" xfId="17" applyFont="1" applyFill="1" applyAlignment="1">
      <alignment horizontal="right" vertical="center"/>
    </xf>
    <xf numFmtId="9" fontId="16" fillId="5" borderId="1" xfId="14" applyNumberFormat="1" applyFont="1" applyAlignment="1">
      <alignment horizontal="right" vertical="center"/>
    </xf>
    <xf numFmtId="0" fontId="4" fillId="4" borderId="0" xfId="13" applyFont="1" applyAlignment="1">
      <alignment vertical="top" wrapText="1"/>
    </xf>
    <xf numFmtId="0" fontId="4" fillId="4" borderId="0" xfId="13" applyFont="1" applyAlignment="1">
      <alignment horizontal="right" vertical="top" wrapText="1"/>
    </xf>
    <xf numFmtId="0" fontId="27" fillId="3" borderId="0" xfId="11" applyBorder="1" applyAlignment="1">
      <alignment horizontal="right" wrapText="1"/>
    </xf>
    <xf numFmtId="0" fontId="27" fillId="3" borderId="0" xfId="11" applyAlignment="1">
      <alignment horizontal="right" wrapText="1"/>
    </xf>
    <xf numFmtId="0" fontId="27" fillId="3" borderId="0" xfId="11" applyAlignment="1">
      <alignment horizontal="left" wrapText="1"/>
    </xf>
    <xf numFmtId="0" fontId="37" fillId="3" borderId="0" xfId="11" applyFont="1" applyAlignment="1">
      <alignment horizontal="left" vertical="center"/>
    </xf>
    <xf numFmtId="2" fontId="13" fillId="5" borderId="1" xfId="20" applyNumberFormat="1" applyFont="1" applyFill="1" applyBorder="1" applyAlignment="1">
      <alignment horizontal="right" vertical="center"/>
    </xf>
    <xf numFmtId="2" fontId="13" fillId="5" borderId="1" xfId="14" applyNumberFormat="1" applyAlignment="1">
      <alignment horizontal="right" vertical="center"/>
    </xf>
    <xf numFmtId="0" fontId="117" fillId="3" borderId="0" xfId="11" applyFont="1" applyBorder="1" applyAlignment="1">
      <alignment horizontal="right" wrapText="1"/>
    </xf>
    <xf numFmtId="0" fontId="117" fillId="5" borderId="1" xfId="14" applyFont="1" applyAlignment="1">
      <alignment horizontal="right" vertical="center"/>
    </xf>
    <xf numFmtId="0" fontId="117" fillId="5" borderId="1" xfId="14" applyFont="1" applyAlignment="1">
      <alignment horizontal="left" vertical="center"/>
    </xf>
    <xf numFmtId="0" fontId="40" fillId="5" borderId="1" xfId="14" applyFont="1" applyAlignment="1">
      <alignment horizontal="right" vertical="center"/>
    </xf>
    <xf numFmtId="0" fontId="40" fillId="5" borderId="1" xfId="14" applyFont="1" applyAlignment="1">
      <alignment horizontal="left" vertical="center"/>
    </xf>
    <xf numFmtId="0" fontId="116" fillId="4" borderId="0" xfId="13" applyFont="1" applyAlignment="1">
      <alignment vertical="top" wrapText="1"/>
    </xf>
    <xf numFmtId="0" fontId="48" fillId="3" borderId="0" xfId="11" applyFont="1" applyAlignment="1">
      <alignment horizontal="center" vertical="top" wrapText="1"/>
    </xf>
    <xf numFmtId="0" fontId="48" fillId="3" borderId="0" xfId="11" applyFont="1" applyBorder="1" applyAlignment="1">
      <alignment vertical="top" wrapText="1"/>
    </xf>
    <xf numFmtId="0" fontId="48" fillId="3" borderId="0" xfId="11" applyFont="1" applyBorder="1" applyAlignment="1">
      <alignment horizontal="right" vertical="top" wrapText="1"/>
    </xf>
    <xf numFmtId="0" fontId="48" fillId="3" borderId="0" xfId="11" applyFont="1" applyBorder="1" applyAlignment="1">
      <alignment horizontal="right" wrapText="1"/>
    </xf>
    <xf numFmtId="0" fontId="48" fillId="3" borderId="0" xfId="11" applyFont="1" applyAlignment="1">
      <alignment horizontal="right" wrapText="1"/>
    </xf>
    <xf numFmtId="0" fontId="48" fillId="3" borderId="0" xfId="11" applyFont="1" applyAlignment="1">
      <alignment horizontal="left" wrapText="1"/>
    </xf>
    <xf numFmtId="0" fontId="116" fillId="4" borderId="0" xfId="13" applyFont="1" applyAlignment="1">
      <alignment horizontal="right" vertical="top" wrapText="1"/>
    </xf>
    <xf numFmtId="0" fontId="117" fillId="3" borderId="0" xfId="11" applyFont="1" applyBorder="1" applyAlignment="1">
      <alignment horizontal="left" wrapText="1"/>
    </xf>
    <xf numFmtId="3" fontId="37" fillId="6" borderId="17" xfId="18" applyNumberFormat="1" applyFont="1" applyBorder="1" applyAlignment="1">
      <alignment horizontal="right" vertical="center"/>
    </xf>
    <xf numFmtId="3" fontId="37" fillId="6" borderId="1" xfId="18" applyNumberFormat="1" applyFont="1" applyAlignment="1">
      <alignment horizontal="right" vertical="center"/>
    </xf>
    <xf numFmtId="3" fontId="37" fillId="6" borderId="8" xfId="18" applyNumberFormat="1" applyFont="1" applyBorder="1" applyAlignment="1">
      <alignment horizontal="right" vertical="center"/>
    </xf>
    <xf numFmtId="0" fontId="31" fillId="4" borderId="0" xfId="13" applyFont="1" applyAlignment="1">
      <alignment horizontal="right" vertical="top"/>
    </xf>
    <xf numFmtId="0" fontId="31" fillId="4" borderId="0" xfId="13" applyFont="1" applyAlignment="1">
      <alignment horizontal="left" vertical="top"/>
    </xf>
    <xf numFmtId="4" fontId="41" fillId="5" borderId="32" xfId="18" applyNumberFormat="1" applyFont="1" applyFill="1" applyBorder="1" applyAlignment="1">
      <alignment horizontal="left" vertical="top"/>
    </xf>
    <xf numFmtId="0" fontId="29" fillId="3" borderId="0" xfId="11" applyFont="1" applyBorder="1" applyAlignment="1">
      <alignment horizontal="center" vertical="center"/>
    </xf>
    <xf numFmtId="4" fontId="41" fillId="6" borderId="4" xfId="18" applyNumberFormat="1" applyFont="1" applyBorder="1" applyAlignment="1">
      <alignment horizontal="right" vertical="top" wrapText="1"/>
    </xf>
    <xf numFmtId="0" fontId="31" fillId="4" borderId="0" xfId="13" applyFont="1" applyBorder="1"/>
    <xf numFmtId="4" fontId="41" fillId="6" borderId="4" xfId="18" applyNumberFormat="1" applyFont="1" applyBorder="1" applyAlignment="1">
      <alignment horizontal="center" vertical="top" wrapText="1"/>
    </xf>
    <xf numFmtId="9" fontId="41" fillId="4" borderId="0" xfId="20" applyFont="1" applyFill="1" applyBorder="1"/>
    <xf numFmtId="182" fontId="41" fillId="6" borderId="33" xfId="18" applyNumberFormat="1" applyFont="1" applyBorder="1" applyAlignment="1">
      <alignment horizontal="center" vertical="top" wrapText="1"/>
    </xf>
    <xf numFmtId="0" fontId="41" fillId="0" borderId="0" xfId="0" applyFont="1"/>
    <xf numFmtId="3" fontId="41" fillId="3" borderId="1" xfId="16" applyNumberFormat="1" applyFont="1" applyAlignment="1">
      <alignment horizontal="left" vertical="center"/>
    </xf>
    <xf numFmtId="3" fontId="14" fillId="4" borderId="1" xfId="15" applyNumberFormat="1" applyAlignment="1">
      <alignment horizontal="right" vertical="center" wrapText="1"/>
      <protection locked="0"/>
    </xf>
    <xf numFmtId="4" fontId="14" fillId="6" borderId="30" xfId="18" applyNumberFormat="1" applyBorder="1" applyAlignment="1">
      <alignment horizontal="left" vertical="center"/>
    </xf>
    <xf numFmtId="172" fontId="14" fillId="6" borderId="5" xfId="18" applyNumberFormat="1" applyBorder="1" applyAlignment="1">
      <alignment horizontal="right" vertical="center" wrapText="1"/>
    </xf>
    <xf numFmtId="172" fontId="14" fillId="6" borderId="5" xfId="18" applyNumberFormat="1" applyBorder="1" applyAlignment="1">
      <alignment horizontal="left" vertical="center" wrapText="1"/>
    </xf>
    <xf numFmtId="0" fontId="8" fillId="4" borderId="7" xfId="13" applyBorder="1" applyAlignment="1">
      <alignment vertical="center"/>
    </xf>
    <xf numFmtId="3" fontId="14" fillId="6" borderId="5" xfId="18" applyNumberFormat="1" applyBorder="1" applyAlignment="1">
      <alignment horizontal="right" vertical="center" wrapText="1"/>
    </xf>
    <xf numFmtId="0" fontId="63" fillId="4" borderId="1" xfId="15" applyNumberFormat="1" applyFont="1" applyAlignment="1">
      <alignment horizontal="center" vertical="center"/>
      <protection locked="0"/>
    </xf>
    <xf numFmtId="4" fontId="14" fillId="6" borderId="13" xfId="18" applyNumberFormat="1" applyBorder="1" applyAlignment="1">
      <alignment horizontal="left" vertical="center"/>
    </xf>
    <xf numFmtId="172" fontId="14" fillId="6" borderId="1" xfId="18" applyNumberFormat="1" applyAlignment="1">
      <alignment horizontal="right" vertical="center" wrapText="1"/>
    </xf>
    <xf numFmtId="172" fontId="14" fillId="6" borderId="1" xfId="18" applyNumberFormat="1" applyAlignment="1">
      <alignment horizontal="left" vertical="center" wrapText="1"/>
    </xf>
    <xf numFmtId="3" fontId="14" fillId="6" borderId="1" xfId="18" applyNumberFormat="1" applyAlignment="1">
      <alignment horizontal="right" vertical="center" wrapText="1"/>
    </xf>
    <xf numFmtId="0" fontId="17" fillId="0" borderId="0" xfId="0" applyFont="1" applyAlignment="1">
      <alignment vertical="center"/>
    </xf>
    <xf numFmtId="0" fontId="4" fillId="0" borderId="0" xfId="0" applyFont="1" applyAlignment="1">
      <alignment horizontal="right" vertical="center"/>
    </xf>
    <xf numFmtId="0" fontId="4" fillId="0" borderId="0" xfId="0" applyFont="1" applyAlignment="1">
      <alignment horizontal="center" vertical="center" wrapText="1"/>
    </xf>
    <xf numFmtId="168" fontId="4" fillId="0" borderId="0" xfId="0" applyNumberFormat="1" applyFont="1" applyAlignment="1">
      <alignment vertical="center"/>
    </xf>
    <xf numFmtId="164" fontId="4" fillId="0" borderId="0" xfId="0" applyNumberFormat="1" applyFont="1" applyAlignment="1">
      <alignment horizontal="center" vertical="center"/>
    </xf>
    <xf numFmtId="2" fontId="4" fillId="0" borderId="0" xfId="0" applyNumberFormat="1" applyFont="1" applyAlignment="1">
      <alignment vertical="center"/>
    </xf>
    <xf numFmtId="3" fontId="14" fillId="6" borderId="1" xfId="18" applyNumberFormat="1" applyAlignment="1">
      <alignment horizontal="left" vertical="center" wrapText="1"/>
    </xf>
    <xf numFmtId="4" fontId="14" fillId="6" borderId="14" xfId="18" applyNumberFormat="1" applyBorder="1" applyAlignment="1">
      <alignment horizontal="left" vertical="center"/>
    </xf>
    <xf numFmtId="172" fontId="14" fillId="6" borderId="8" xfId="18" applyNumberFormat="1" applyBorder="1" applyAlignment="1">
      <alignment horizontal="right" vertical="center" wrapText="1"/>
    </xf>
    <xf numFmtId="3" fontId="14" fillId="6" borderId="8" xfId="18" applyNumberFormat="1" applyBorder="1" applyAlignment="1">
      <alignment horizontal="left" vertical="center" wrapText="1"/>
    </xf>
    <xf numFmtId="3" fontId="14" fillId="6" borderId="8" xfId="18" applyNumberFormat="1" applyBorder="1" applyAlignment="1">
      <alignment horizontal="right" vertical="center" wrapText="1"/>
    </xf>
    <xf numFmtId="0" fontId="8" fillId="4" borderId="9" xfId="13" applyBorder="1" applyAlignment="1">
      <alignment vertical="center"/>
    </xf>
    <xf numFmtId="166" fontId="14" fillId="6" borderId="5" xfId="18" applyNumberFormat="1" applyBorder="1" applyAlignment="1">
      <alignment horizontal="right" vertical="center" wrapText="1"/>
    </xf>
    <xf numFmtId="4" fontId="14" fillId="6" borderId="5" xfId="18" applyNumberFormat="1" applyBorder="1" applyAlignment="1">
      <alignment horizontal="right" vertical="center" wrapText="1"/>
    </xf>
    <xf numFmtId="166" fontId="14" fillId="6" borderId="1" xfId="18" applyNumberFormat="1" applyAlignment="1">
      <alignment horizontal="right" vertical="center" wrapText="1"/>
    </xf>
    <xf numFmtId="167" fontId="14" fillId="6" borderId="1" xfId="18" applyNumberFormat="1" applyAlignment="1">
      <alignment horizontal="right" vertical="center" wrapText="1"/>
    </xf>
    <xf numFmtId="0" fontId="8" fillId="4" borderId="10" xfId="13" applyBorder="1" applyAlignment="1">
      <alignment horizontal="right"/>
    </xf>
    <xf numFmtId="0" fontId="8" fillId="4" borderId="0" xfId="13" applyBorder="1" applyAlignment="1">
      <alignment horizontal="right"/>
    </xf>
    <xf numFmtId="0" fontId="31" fillId="4" borderId="0" xfId="13" applyFont="1" applyBorder="1" applyAlignment="1">
      <alignment horizontal="right"/>
    </xf>
    <xf numFmtId="0" fontId="8" fillId="4" borderId="29" xfId="13" applyBorder="1" applyAlignment="1">
      <alignment horizontal="right"/>
    </xf>
    <xf numFmtId="2" fontId="13" fillId="3" borderId="0" xfId="16" applyNumberFormat="1" applyBorder="1" applyAlignment="1">
      <alignment horizontal="left" vertical="center"/>
    </xf>
    <xf numFmtId="172" fontId="14" fillId="6" borderId="17" xfId="18" applyNumberFormat="1" applyBorder="1" applyAlignment="1">
      <alignment horizontal="left" vertical="top"/>
    </xf>
    <xf numFmtId="172" fontId="14" fillId="6" borderId="1" xfId="18" applyNumberFormat="1" applyAlignment="1">
      <alignment horizontal="left" vertical="top"/>
    </xf>
    <xf numFmtId="172" fontId="14" fillId="6" borderId="4" xfId="18" applyNumberFormat="1" applyBorder="1" applyAlignment="1">
      <alignment horizontal="left" vertical="top"/>
    </xf>
    <xf numFmtId="172" fontId="14" fillId="6" borderId="8" xfId="18" applyNumberFormat="1" applyBorder="1" applyAlignment="1">
      <alignment horizontal="left" vertical="top"/>
    </xf>
    <xf numFmtId="2" fontId="13" fillId="3" borderId="11" xfId="16" applyNumberFormat="1" applyBorder="1" applyAlignment="1">
      <alignment horizontal="right" vertical="center"/>
    </xf>
    <xf numFmtId="172" fontId="14" fillId="6" borderId="31" xfId="18" applyNumberFormat="1" applyBorder="1" applyAlignment="1">
      <alignment horizontal="right" vertical="top" wrapText="1"/>
    </xf>
    <xf numFmtId="172" fontId="14" fillId="6" borderId="20" xfId="18" applyNumberFormat="1" applyBorder="1" applyAlignment="1">
      <alignment horizontal="right" vertical="top" wrapText="1"/>
    </xf>
    <xf numFmtId="182" fontId="14" fillId="6" borderId="4" xfId="18" applyNumberFormat="1" applyBorder="1" applyAlignment="1">
      <alignment horizontal="right" vertical="top" wrapText="1"/>
    </xf>
    <xf numFmtId="182" fontId="14" fillId="6" borderId="33" xfId="18" applyNumberFormat="1" applyBorder="1" applyAlignment="1">
      <alignment horizontal="right" vertical="top" wrapText="1"/>
    </xf>
    <xf numFmtId="2" fontId="13" fillId="3" borderId="11" xfId="16" applyNumberFormat="1" applyBorder="1" applyAlignment="1">
      <alignment horizontal="left" vertical="center"/>
    </xf>
    <xf numFmtId="0" fontId="8" fillId="3" borderId="26" xfId="13" applyFill="1" applyBorder="1"/>
    <xf numFmtId="0" fontId="8" fillId="3" borderId="7" xfId="13" applyFill="1" applyBorder="1"/>
    <xf numFmtId="0" fontId="8" fillId="3" borderId="9" xfId="13" applyFill="1" applyBorder="1"/>
    <xf numFmtId="0" fontId="8" fillId="3" borderId="10" xfId="13" applyFill="1" applyBorder="1"/>
    <xf numFmtId="0" fontId="8" fillId="3" borderId="29" xfId="13" applyFill="1" applyBorder="1"/>
    <xf numFmtId="4" fontId="14" fillId="6" borderId="5" xfId="18" applyNumberFormat="1" applyBorder="1" applyAlignment="1">
      <alignment vertical="top" wrapText="1"/>
    </xf>
    <xf numFmtId="4" fontId="14" fillId="6" borderId="1" xfId="18" applyNumberFormat="1" applyAlignment="1">
      <alignment vertical="top" wrapText="1"/>
    </xf>
    <xf numFmtId="4" fontId="14" fillId="6" borderId="4" xfId="18" applyNumberFormat="1" applyBorder="1" applyAlignment="1">
      <alignment vertical="top" wrapText="1"/>
    </xf>
    <xf numFmtId="4" fontId="41" fillId="6" borderId="4" xfId="18" applyNumberFormat="1" applyFont="1" applyBorder="1" applyAlignment="1">
      <alignment vertical="top" wrapText="1"/>
    </xf>
    <xf numFmtId="4" fontId="14" fillId="6" borderId="8" xfId="18" applyNumberFormat="1" applyBorder="1" applyAlignment="1">
      <alignment vertical="top" wrapText="1"/>
    </xf>
    <xf numFmtId="0" fontId="18" fillId="0" borderId="0" xfId="0" applyFont="1" applyAlignment="1">
      <alignment horizontal="right"/>
    </xf>
    <xf numFmtId="3" fontId="27" fillId="3" borderId="0" xfId="11" applyNumberFormat="1" applyAlignment="1">
      <alignment horizontal="left" vertical="top"/>
    </xf>
    <xf numFmtId="3" fontId="14" fillId="3" borderId="0" xfId="11" applyNumberFormat="1" applyFont="1" applyAlignment="1">
      <alignment horizontal="right" vertical="center"/>
    </xf>
    <xf numFmtId="3" fontId="14" fillId="6" borderId="5" xfId="18" applyNumberFormat="1" applyBorder="1" applyAlignment="1">
      <alignment vertical="top" wrapText="1"/>
    </xf>
    <xf numFmtId="3" fontId="14" fillId="6" borderId="1" xfId="18" applyNumberFormat="1" applyAlignment="1">
      <alignment vertical="top" wrapText="1"/>
    </xf>
    <xf numFmtId="3" fontId="14" fillId="6" borderId="4" xfId="18" applyNumberFormat="1" applyBorder="1" applyAlignment="1">
      <alignment vertical="top" wrapText="1"/>
    </xf>
    <xf numFmtId="3" fontId="14" fillId="6" borderId="8" xfId="18" applyNumberFormat="1" applyBorder="1" applyAlignment="1">
      <alignment vertical="top" wrapText="1"/>
    </xf>
    <xf numFmtId="3" fontId="13" fillId="5" borderId="1" xfId="14" applyNumberFormat="1" applyAlignment="1">
      <alignment horizontal="right" vertical="center" wrapText="1"/>
    </xf>
    <xf numFmtId="0" fontId="120" fillId="3" borderId="0" xfId="11" applyFont="1" applyBorder="1" applyAlignment="1">
      <alignment horizontal="right" vertical="center"/>
    </xf>
    <xf numFmtId="0" fontId="8" fillId="4" borderId="0" xfId="13" applyAlignment="1">
      <alignment horizontal="left" vertical="top"/>
    </xf>
    <xf numFmtId="0" fontId="18" fillId="0" borderId="0" xfId="0" applyFont="1" applyAlignment="1">
      <alignment horizontal="right" vertical="top"/>
    </xf>
    <xf numFmtId="0" fontId="119" fillId="3" borderId="4" xfId="11" applyFont="1" applyBorder="1" applyAlignment="1">
      <alignment horizontal="left" vertical="top"/>
    </xf>
    <xf numFmtId="0" fontId="119" fillId="3" borderId="4" xfId="11" applyFont="1" applyBorder="1" applyAlignment="1">
      <alignment horizontal="right" vertical="top"/>
    </xf>
    <xf numFmtId="0" fontId="129" fillId="4" borderId="0" xfId="13" applyFont="1" applyAlignment="1">
      <alignment horizontal="right" vertical="center"/>
    </xf>
    <xf numFmtId="0" fontId="129" fillId="4" borderId="0" xfId="13" applyFont="1" applyAlignment="1">
      <alignment horizontal="left" vertical="center"/>
    </xf>
    <xf numFmtId="0" fontId="130" fillId="3" borderId="0" xfId="11" applyFont="1" applyAlignment="1">
      <alignment horizontal="center" vertical="center"/>
    </xf>
    <xf numFmtId="0" fontId="131" fillId="3" borderId="0" xfId="11" applyFont="1" applyAlignment="1">
      <alignment horizontal="left" vertical="center"/>
    </xf>
    <xf numFmtId="0" fontId="132" fillId="3" borderId="0" xfId="11" applyFont="1" applyAlignment="1">
      <alignment horizontal="left" vertical="center"/>
    </xf>
    <xf numFmtId="0" fontId="133" fillId="3" borderId="0" xfId="11" applyFont="1" applyAlignment="1">
      <alignment horizontal="left" vertical="center"/>
    </xf>
    <xf numFmtId="0" fontId="129" fillId="4" borderId="0" xfId="13" applyFont="1" applyAlignment="1">
      <alignment horizontal="left" vertical="top"/>
    </xf>
    <xf numFmtId="0" fontId="134" fillId="5" borderId="1" xfId="14" applyFont="1" applyAlignment="1">
      <alignment horizontal="right" vertical="top" wrapText="1"/>
    </xf>
    <xf numFmtId="0" fontId="135" fillId="3" borderId="0" xfId="11" applyFont="1" applyAlignment="1">
      <alignment horizontal="right" vertical="center"/>
    </xf>
    <xf numFmtId="0" fontId="135" fillId="3" borderId="1" xfId="16" applyFont="1" applyAlignment="1">
      <alignment horizontal="right" vertical="center" wrapText="1"/>
    </xf>
    <xf numFmtId="172" fontId="134" fillId="5" borderId="1" xfId="14" applyNumberFormat="1" applyFont="1" applyAlignment="1">
      <alignment horizontal="right" vertical="center"/>
    </xf>
    <xf numFmtId="177" fontId="134" fillId="5" borderId="1" xfId="14" applyNumberFormat="1" applyFont="1" applyAlignment="1">
      <alignment horizontal="right" vertical="center"/>
    </xf>
    <xf numFmtId="178" fontId="134" fillId="5" borderId="1" xfId="14" applyNumberFormat="1" applyFont="1" applyAlignment="1">
      <alignment horizontal="right" vertical="center"/>
    </xf>
    <xf numFmtId="4" fontId="134" fillId="5" borderId="1" xfId="14" applyNumberFormat="1" applyFont="1" applyAlignment="1">
      <alignment horizontal="right" vertical="center"/>
    </xf>
    <xf numFmtId="172" fontId="135" fillId="3" borderId="0" xfId="11" applyNumberFormat="1" applyFont="1" applyAlignment="1">
      <alignment horizontal="center" vertical="center"/>
    </xf>
    <xf numFmtId="0" fontId="135" fillId="3" borderId="0" xfId="11" applyFont="1" applyAlignment="1">
      <alignment horizontal="center" vertical="center"/>
    </xf>
    <xf numFmtId="3" fontId="134" fillId="5" borderId="1" xfId="14" applyNumberFormat="1" applyFont="1" applyAlignment="1">
      <alignment horizontal="right" vertical="center"/>
    </xf>
    <xf numFmtId="173" fontId="123" fillId="29" borderId="170" xfId="14" applyNumberFormat="1" applyFont="1" applyFill="1" applyBorder="1" applyAlignment="1">
      <alignment horizontal="right" vertical="center"/>
    </xf>
    <xf numFmtId="164" fontId="123" fillId="5" borderId="1" xfId="14" applyNumberFormat="1" applyFont="1" applyAlignment="1">
      <alignment horizontal="right" vertical="center"/>
    </xf>
    <xf numFmtId="175" fontId="123" fillId="5" borderId="1" xfId="14" applyNumberFormat="1" applyFont="1" applyAlignment="1">
      <alignment horizontal="right" vertical="center"/>
    </xf>
    <xf numFmtId="179" fontId="123" fillId="29" borderId="170" xfId="14" applyNumberFormat="1" applyFont="1" applyFill="1" applyBorder="1" applyAlignment="1">
      <alignment horizontal="right" vertical="center"/>
    </xf>
    <xf numFmtId="178" fontId="123" fillId="5" borderId="1" xfId="14" applyNumberFormat="1" applyFont="1" applyAlignment="1">
      <alignment horizontal="right" vertical="center"/>
    </xf>
    <xf numFmtId="180" fontId="123" fillId="29" borderId="170" xfId="14" applyNumberFormat="1" applyFont="1" applyFill="1" applyBorder="1" applyAlignment="1">
      <alignment horizontal="right" vertical="center"/>
    </xf>
    <xf numFmtId="4" fontId="123" fillId="5" borderId="1" xfId="14" applyNumberFormat="1" applyFont="1" applyAlignment="1">
      <alignment horizontal="right" vertical="center"/>
    </xf>
    <xf numFmtId="173" fontId="123" fillId="5" borderId="1" xfId="14" applyNumberFormat="1" applyFont="1" applyAlignment="1">
      <alignment horizontal="right" vertical="center"/>
    </xf>
    <xf numFmtId="173" fontId="123" fillId="29" borderId="171" xfId="14" applyNumberFormat="1" applyFont="1" applyFill="1" applyBorder="1" applyAlignment="1">
      <alignment horizontal="right" vertical="center"/>
    </xf>
    <xf numFmtId="179" fontId="123" fillId="29" borderId="171" xfId="14" applyNumberFormat="1" applyFont="1" applyFill="1" applyBorder="1" applyAlignment="1">
      <alignment horizontal="right" vertical="center"/>
    </xf>
    <xf numFmtId="180" fontId="123" fillId="29" borderId="171" xfId="14" applyNumberFormat="1" applyFont="1" applyFill="1" applyBorder="1" applyAlignment="1">
      <alignment horizontal="right" vertical="center"/>
    </xf>
    <xf numFmtId="173" fontId="123" fillId="29" borderId="172" xfId="14" applyNumberFormat="1" applyFont="1" applyFill="1" applyBorder="1" applyAlignment="1">
      <alignment horizontal="right" vertical="center"/>
    </xf>
    <xf numFmtId="179" fontId="123" fillId="29" borderId="172" xfId="14" applyNumberFormat="1" applyFont="1" applyFill="1" applyBorder="1" applyAlignment="1">
      <alignment horizontal="right" vertical="center"/>
    </xf>
    <xf numFmtId="180" fontId="123" fillId="29" borderId="172" xfId="14" applyNumberFormat="1" applyFont="1" applyFill="1" applyBorder="1" applyAlignment="1">
      <alignment horizontal="right" vertical="center"/>
    </xf>
    <xf numFmtId="0" fontId="120" fillId="3" borderId="0" xfId="11" applyFont="1" applyAlignment="1">
      <alignment horizontal="right" vertical="center"/>
    </xf>
    <xf numFmtId="4" fontId="120" fillId="3" borderId="0" xfId="11" applyNumberFormat="1" applyFont="1" applyAlignment="1">
      <alignment horizontal="right" vertical="center"/>
    </xf>
    <xf numFmtId="164" fontId="123" fillId="29" borderId="168" xfId="14" applyNumberFormat="1" applyFont="1" applyFill="1" applyBorder="1" applyAlignment="1">
      <alignment horizontal="right" vertical="center"/>
    </xf>
    <xf numFmtId="0" fontId="123" fillId="3" borderId="0" xfId="12" applyFont="1" applyAlignment="1">
      <alignment vertical="center"/>
    </xf>
    <xf numFmtId="0" fontId="120" fillId="3" borderId="0" xfId="11" applyFont="1" applyAlignment="1">
      <alignment horizontal="center" vertical="center"/>
    </xf>
    <xf numFmtId="0" fontId="131" fillId="3" borderId="0" xfId="11" applyFont="1" applyAlignment="1">
      <alignment horizontal="right" vertical="center"/>
    </xf>
    <xf numFmtId="0" fontId="131" fillId="3" borderId="0" xfId="11" applyFont="1" applyAlignment="1">
      <alignment horizontal="center" vertical="center"/>
    </xf>
    <xf numFmtId="0" fontId="123" fillId="5" borderId="1" xfId="14" applyFont="1" applyAlignment="1">
      <alignment horizontal="right" vertical="top" wrapText="1"/>
    </xf>
    <xf numFmtId="0" fontId="123" fillId="5" borderId="1" xfId="14" applyFont="1" applyAlignment="1">
      <alignment horizontal="right" vertical="center"/>
    </xf>
    <xf numFmtId="0" fontId="123" fillId="3" borderId="4" xfId="16" applyFont="1" applyBorder="1" applyAlignment="1">
      <alignment vertical="center" wrapText="1"/>
    </xf>
    <xf numFmtId="0" fontId="123" fillId="3" borderId="1" xfId="16" applyFont="1" applyAlignment="1">
      <alignment vertical="center" wrapText="1"/>
    </xf>
    <xf numFmtId="0" fontId="120" fillId="3" borderId="1" xfId="16" applyFont="1" applyAlignment="1">
      <alignment horizontal="right" vertical="center" wrapText="1"/>
    </xf>
    <xf numFmtId="166" fontId="123" fillId="29" borderId="161" xfId="14" applyNumberFormat="1" applyFont="1" applyFill="1" applyBorder="1" applyAlignment="1">
      <alignment horizontal="right" vertical="center"/>
    </xf>
    <xf numFmtId="166" fontId="123" fillId="29" borderId="162" xfId="14" applyNumberFormat="1" applyFont="1" applyFill="1" applyBorder="1" applyAlignment="1">
      <alignment horizontal="right" vertical="center"/>
    </xf>
    <xf numFmtId="176" fontId="123" fillId="29" borderId="170" xfId="14" applyNumberFormat="1" applyFont="1" applyFill="1" applyBorder="1" applyAlignment="1">
      <alignment horizontal="right" vertical="center"/>
    </xf>
    <xf numFmtId="181" fontId="123" fillId="5" borderId="1" xfId="14" applyNumberFormat="1" applyFont="1" applyAlignment="1">
      <alignment horizontal="right" vertical="center"/>
    </xf>
    <xf numFmtId="166" fontId="123" fillId="29" borderId="163" xfId="14" applyNumberFormat="1" applyFont="1" applyFill="1" applyBorder="1" applyAlignment="1">
      <alignment horizontal="right" vertical="center"/>
    </xf>
    <xf numFmtId="166" fontId="123" fillId="29" borderId="164" xfId="14" applyNumberFormat="1" applyFont="1" applyFill="1" applyBorder="1" applyAlignment="1">
      <alignment horizontal="right" vertical="center"/>
    </xf>
    <xf numFmtId="176" fontId="123" fillId="29" borderId="171" xfId="14" applyNumberFormat="1" applyFont="1" applyFill="1" applyBorder="1" applyAlignment="1">
      <alignment horizontal="right" vertical="center"/>
    </xf>
    <xf numFmtId="166" fontId="123" fillId="29" borderId="165" xfId="14" applyNumberFormat="1" applyFont="1" applyFill="1" applyBorder="1" applyAlignment="1">
      <alignment horizontal="right" vertical="center"/>
    </xf>
    <xf numFmtId="166" fontId="123" fillId="29" borderId="166" xfId="14" applyNumberFormat="1" applyFont="1" applyFill="1" applyBorder="1" applyAlignment="1">
      <alignment horizontal="right" vertical="center"/>
    </xf>
    <xf numFmtId="176" fontId="123" fillId="29" borderId="172" xfId="14" applyNumberFormat="1" applyFont="1" applyFill="1" applyBorder="1" applyAlignment="1">
      <alignment horizontal="right" vertical="center"/>
    </xf>
    <xf numFmtId="181" fontId="120" fillId="3" borderId="0" xfId="11" applyNumberFormat="1" applyFont="1" applyBorder="1" applyAlignment="1">
      <alignment horizontal="right" vertical="center"/>
    </xf>
    <xf numFmtId="164" fontId="123" fillId="29" borderId="167" xfId="14" applyNumberFormat="1" applyFont="1" applyFill="1" applyBorder="1" applyAlignment="1">
      <alignment horizontal="right" vertical="center"/>
    </xf>
    <xf numFmtId="175" fontId="123" fillId="29" borderId="168" xfId="14" applyNumberFormat="1" applyFont="1" applyFill="1" applyBorder="1" applyAlignment="1">
      <alignment horizontal="right" vertical="center"/>
    </xf>
    <xf numFmtId="173" fontId="123" fillId="29" borderId="169" xfId="14" applyNumberFormat="1" applyFont="1" applyFill="1" applyBorder="1" applyAlignment="1">
      <alignment horizontal="right" vertical="center"/>
    </xf>
    <xf numFmtId="0" fontId="123" fillId="5" borderId="1" xfId="14" applyFont="1" applyAlignment="1">
      <alignment horizontal="left" vertical="center"/>
    </xf>
    <xf numFmtId="164" fontId="123" fillId="29" borderId="188" xfId="14" applyNumberFormat="1" applyFont="1" applyFill="1" applyBorder="1" applyAlignment="1">
      <alignment horizontal="right" vertical="center"/>
    </xf>
    <xf numFmtId="0" fontId="146" fillId="3" borderId="0" xfId="12" applyFont="1" applyAlignment="1">
      <alignment vertical="center"/>
    </xf>
    <xf numFmtId="0" fontId="147" fillId="3" borderId="0" xfId="11" applyFont="1" applyAlignment="1">
      <alignment horizontal="center" vertical="center"/>
    </xf>
    <xf numFmtId="0" fontId="147" fillId="3" borderId="0" xfId="11" applyFont="1" applyAlignment="1">
      <alignment horizontal="left" vertical="center"/>
    </xf>
    <xf numFmtId="0" fontId="148" fillId="3" borderId="0" xfId="0" applyFont="1" applyFill="1" applyAlignment="1">
      <alignment vertical="center"/>
    </xf>
    <xf numFmtId="0" fontId="147" fillId="3" borderId="0" xfId="11" applyFont="1" applyAlignment="1">
      <alignment horizontal="right" vertical="center"/>
    </xf>
    <xf numFmtId="0" fontId="146" fillId="5" borderId="1" xfId="14" applyFont="1" applyAlignment="1">
      <alignment horizontal="right" wrapText="1"/>
    </xf>
    <xf numFmtId="0" fontId="147" fillId="3" borderId="4" xfId="11" applyFont="1" applyBorder="1" applyAlignment="1">
      <alignment horizontal="left" vertical="center"/>
    </xf>
    <xf numFmtId="0" fontId="146" fillId="3" borderId="1" xfId="16" applyFont="1" applyAlignment="1">
      <alignment vertical="center" wrapText="1"/>
    </xf>
    <xf numFmtId="165" fontId="146" fillId="30" borderId="174" xfId="14" applyNumberFormat="1" applyFont="1" applyFill="1" applyBorder="1" applyAlignment="1">
      <alignment horizontal="right" vertical="center"/>
    </xf>
    <xf numFmtId="3" fontId="146" fillId="5" borderId="1" xfId="14" applyNumberFormat="1" applyFont="1" applyAlignment="1">
      <alignment horizontal="right" vertical="center"/>
    </xf>
    <xf numFmtId="166" fontId="146" fillId="5" borderId="1" xfId="14" applyNumberFormat="1" applyFont="1" applyAlignment="1">
      <alignment horizontal="right" vertical="center"/>
    </xf>
    <xf numFmtId="10" fontId="146" fillId="5" borderId="1" xfId="20" applyNumberFormat="1" applyFont="1" applyFill="1" applyBorder="1" applyAlignment="1">
      <alignment horizontal="right" vertical="center"/>
    </xf>
    <xf numFmtId="165" fontId="146" fillId="5" borderId="1" xfId="14" applyNumberFormat="1" applyFont="1" applyAlignment="1">
      <alignment horizontal="right" vertical="center"/>
    </xf>
    <xf numFmtId="165" fontId="146" fillId="30" borderId="175" xfId="14" applyNumberFormat="1" applyFont="1" applyFill="1" applyBorder="1" applyAlignment="1">
      <alignment horizontal="right" vertical="center"/>
    </xf>
    <xf numFmtId="165" fontId="146" fillId="30" borderId="176" xfId="14" applyNumberFormat="1" applyFont="1" applyFill="1" applyBorder="1" applyAlignment="1">
      <alignment horizontal="right" vertical="center"/>
    </xf>
    <xf numFmtId="10" fontId="147" fillId="3" borderId="0" xfId="11" applyNumberFormat="1" applyFont="1" applyAlignment="1">
      <alignment horizontal="right" vertical="center"/>
    </xf>
    <xf numFmtId="3" fontId="146" fillId="30" borderId="173" xfId="14" applyNumberFormat="1" applyFont="1" applyFill="1" applyBorder="1" applyAlignment="1">
      <alignment horizontal="right" vertical="center"/>
    </xf>
    <xf numFmtId="10" fontId="146" fillId="30" borderId="173" xfId="20" applyNumberFormat="1" applyFont="1" applyFill="1" applyBorder="1" applyAlignment="1">
      <alignment horizontal="right" vertical="center"/>
    </xf>
    <xf numFmtId="0" fontId="119" fillId="3" borderId="0" xfId="11" applyFont="1" applyAlignment="1">
      <alignment horizontal="center" vertical="center"/>
    </xf>
    <xf numFmtId="0" fontId="151" fillId="3" borderId="0" xfId="12" applyFont="1" applyAlignment="1">
      <alignment vertical="center"/>
    </xf>
    <xf numFmtId="0" fontId="152" fillId="3" borderId="0" xfId="11" applyFont="1" applyBorder="1" applyAlignment="1">
      <alignment horizontal="right" vertical="center"/>
    </xf>
    <xf numFmtId="0" fontId="119" fillId="3" borderId="0" xfId="11" applyFont="1" applyBorder="1" applyAlignment="1">
      <alignment horizontal="right" vertical="center"/>
    </xf>
    <xf numFmtId="0" fontId="119" fillId="3" borderId="0" xfId="11" applyFont="1" applyAlignment="1">
      <alignment horizontal="right" vertical="center"/>
    </xf>
    <xf numFmtId="0" fontId="119" fillId="3" borderId="0" xfId="11" applyFont="1" applyAlignment="1">
      <alignment horizontal="right" vertical="top"/>
    </xf>
    <xf numFmtId="0" fontId="151" fillId="5" borderId="1" xfId="14" applyFont="1" applyAlignment="1">
      <alignment horizontal="right" vertical="top" wrapText="1"/>
    </xf>
    <xf numFmtId="0" fontId="151" fillId="5" borderId="1" xfId="14" applyFont="1" applyAlignment="1">
      <alignment horizontal="right" vertical="center"/>
    </xf>
    <xf numFmtId="0" fontId="151" fillId="3" borderId="1" xfId="16" applyFont="1" applyAlignment="1">
      <alignment vertical="top"/>
    </xf>
    <xf numFmtId="0" fontId="151" fillId="3" borderId="4" xfId="16" applyFont="1" applyBorder="1" applyAlignment="1">
      <alignment vertical="top"/>
    </xf>
    <xf numFmtId="0" fontId="119" fillId="3" borderId="1" xfId="16" applyFont="1" applyAlignment="1">
      <alignment horizontal="right" vertical="top"/>
    </xf>
    <xf numFmtId="167" fontId="151" fillId="28" borderId="152" xfId="14" applyNumberFormat="1" applyFont="1" applyFill="1" applyBorder="1" applyAlignment="1">
      <alignment horizontal="right" vertical="center"/>
    </xf>
    <xf numFmtId="167" fontId="151" fillId="28" borderId="153" xfId="14" applyNumberFormat="1" applyFont="1" applyFill="1" applyBorder="1" applyAlignment="1">
      <alignment horizontal="right" vertical="center"/>
    </xf>
    <xf numFmtId="175" fontId="151" fillId="5" borderId="1" xfId="14" applyNumberFormat="1" applyFont="1" applyAlignment="1">
      <alignment horizontal="right" vertical="center"/>
    </xf>
    <xf numFmtId="164" fontId="151" fillId="5" borderId="1" xfId="14" applyNumberFormat="1" applyFont="1" applyAlignment="1">
      <alignment horizontal="right" vertical="center"/>
    </xf>
    <xf numFmtId="3" fontId="151" fillId="28" borderId="153" xfId="14" applyNumberFormat="1" applyFont="1" applyFill="1" applyBorder="1" applyAlignment="1">
      <alignment horizontal="right" vertical="center"/>
    </xf>
    <xf numFmtId="178" fontId="151" fillId="5" borderId="1" xfId="14" applyNumberFormat="1" applyFont="1" applyAlignment="1">
      <alignment horizontal="right" vertical="center"/>
    </xf>
    <xf numFmtId="166" fontId="151" fillId="5" borderId="1" xfId="14" applyNumberFormat="1" applyFont="1" applyAlignment="1">
      <alignment horizontal="right" vertical="center"/>
    </xf>
    <xf numFmtId="164" fontId="151" fillId="28" borderId="158" xfId="14" applyNumberFormat="1" applyFont="1" applyFill="1" applyBorder="1" applyAlignment="1">
      <alignment horizontal="right" vertical="center"/>
    </xf>
    <xf numFmtId="165" fontId="151" fillId="5" borderId="1" xfId="14" applyNumberFormat="1" applyFont="1" applyAlignment="1">
      <alignment horizontal="right" vertical="center"/>
    </xf>
    <xf numFmtId="174" fontId="151" fillId="28" borderId="158" xfId="14" applyNumberFormat="1" applyFont="1" applyFill="1" applyBorder="1" applyAlignment="1">
      <alignment horizontal="right" vertical="center"/>
    </xf>
    <xf numFmtId="174" fontId="151" fillId="28" borderId="152" xfId="14" applyNumberFormat="1" applyFont="1" applyFill="1" applyBorder="1" applyAlignment="1">
      <alignment horizontal="right" vertical="center"/>
    </xf>
    <xf numFmtId="177" fontId="151" fillId="28" borderId="153" xfId="14" applyNumberFormat="1" applyFont="1" applyFill="1" applyBorder="1" applyAlignment="1">
      <alignment horizontal="right" vertical="center"/>
    </xf>
    <xf numFmtId="167" fontId="151" fillId="28" borderId="154" xfId="14" applyNumberFormat="1" applyFont="1" applyFill="1" applyBorder="1" applyAlignment="1">
      <alignment horizontal="right" vertical="center"/>
    </xf>
    <xf numFmtId="167" fontId="151" fillId="28" borderId="155" xfId="14" applyNumberFormat="1" applyFont="1" applyFill="1" applyBorder="1" applyAlignment="1">
      <alignment horizontal="right" vertical="center"/>
    </xf>
    <xf numFmtId="3" fontId="151" fillId="28" borderId="155" xfId="14" applyNumberFormat="1" applyFont="1" applyFill="1" applyBorder="1" applyAlignment="1">
      <alignment horizontal="right" vertical="center"/>
    </xf>
    <xf numFmtId="164" fontId="151" fillId="28" borderId="159" xfId="14" applyNumberFormat="1" applyFont="1" applyFill="1" applyBorder="1" applyAlignment="1">
      <alignment horizontal="right" vertical="center"/>
    </xf>
    <xf numFmtId="174" fontId="151" fillId="28" borderId="159" xfId="14" applyNumberFormat="1" applyFont="1" applyFill="1" applyBorder="1" applyAlignment="1">
      <alignment horizontal="right" vertical="center"/>
    </xf>
    <xf numFmtId="174" fontId="151" fillId="28" borderId="154" xfId="14" applyNumberFormat="1" applyFont="1" applyFill="1" applyBorder="1" applyAlignment="1">
      <alignment horizontal="right" vertical="center"/>
    </xf>
    <xf numFmtId="177" fontId="151" fillId="28" borderId="155" xfId="14" applyNumberFormat="1" applyFont="1" applyFill="1" applyBorder="1" applyAlignment="1">
      <alignment horizontal="right" vertical="center"/>
    </xf>
    <xf numFmtId="167" fontId="151" fillId="28" borderId="156" xfId="14" applyNumberFormat="1" applyFont="1" applyFill="1" applyBorder="1" applyAlignment="1">
      <alignment horizontal="right" vertical="center"/>
    </xf>
    <xf numFmtId="167" fontId="151" fillId="28" borderId="157" xfId="14" applyNumberFormat="1" applyFont="1" applyFill="1" applyBorder="1" applyAlignment="1">
      <alignment horizontal="right" vertical="center"/>
    </xf>
    <xf numFmtId="3" fontId="151" fillId="28" borderId="157" xfId="14" applyNumberFormat="1" applyFont="1" applyFill="1" applyBorder="1" applyAlignment="1">
      <alignment horizontal="right" vertical="center"/>
    </xf>
    <xf numFmtId="164" fontId="151" fillId="28" borderId="160" xfId="14" applyNumberFormat="1" applyFont="1" applyFill="1" applyBorder="1" applyAlignment="1">
      <alignment horizontal="right" vertical="center"/>
    </xf>
    <xf numFmtId="174" fontId="151" fillId="28" borderId="160" xfId="14" applyNumberFormat="1" applyFont="1" applyFill="1" applyBorder="1" applyAlignment="1">
      <alignment horizontal="right" vertical="center"/>
    </xf>
    <xf numFmtId="174" fontId="151" fillId="28" borderId="156" xfId="14" applyNumberFormat="1" applyFont="1" applyFill="1" applyBorder="1" applyAlignment="1">
      <alignment horizontal="right" vertical="center"/>
    </xf>
    <xf numFmtId="177" fontId="151" fillId="28" borderId="157" xfId="14" applyNumberFormat="1" applyFont="1" applyFill="1" applyBorder="1" applyAlignment="1">
      <alignment horizontal="right" vertical="center"/>
    </xf>
    <xf numFmtId="164" fontId="119" fillId="3" borderId="0" xfId="11" applyNumberFormat="1" applyFont="1" applyAlignment="1">
      <alignment horizontal="right" vertical="center"/>
    </xf>
    <xf numFmtId="165" fontId="151" fillId="28" borderId="149" xfId="14" applyNumberFormat="1" applyFont="1" applyFill="1" applyBorder="1" applyAlignment="1">
      <alignment horizontal="right" vertical="center"/>
    </xf>
    <xf numFmtId="165" fontId="151" fillId="28" borderId="150" xfId="14" applyNumberFormat="1" applyFont="1" applyFill="1" applyBorder="1" applyAlignment="1">
      <alignment horizontal="right" vertical="center"/>
    </xf>
    <xf numFmtId="175" fontId="151" fillId="28" borderId="150" xfId="14" applyNumberFormat="1" applyFont="1" applyFill="1" applyBorder="1" applyAlignment="1">
      <alignment horizontal="right" vertical="center"/>
    </xf>
    <xf numFmtId="164" fontId="151" fillId="28" borderId="151" xfId="14" applyNumberFormat="1" applyFont="1" applyFill="1" applyBorder="1" applyAlignment="1">
      <alignment horizontal="right" vertical="center"/>
    </xf>
    <xf numFmtId="177" fontId="151" fillId="5" borderId="1" xfId="14" applyNumberFormat="1" applyFont="1" applyAlignment="1">
      <alignment horizontal="right" vertical="center"/>
    </xf>
    <xf numFmtId="1" fontId="151" fillId="5" borderId="1" xfId="14" applyNumberFormat="1" applyFont="1" applyAlignment="1">
      <alignment horizontal="right" vertical="center"/>
    </xf>
    <xf numFmtId="174" fontId="151" fillId="5" borderId="1" xfId="14" applyNumberFormat="1" applyFont="1" applyAlignment="1">
      <alignment horizontal="right" vertical="center"/>
    </xf>
    <xf numFmtId="0" fontId="140" fillId="4" borderId="113" xfId="13" applyFont="1" applyBorder="1" applyAlignment="1">
      <alignment horizontal="right" vertical="center"/>
    </xf>
    <xf numFmtId="0" fontId="140" fillId="4" borderId="1" xfId="13" applyFont="1" applyBorder="1" applyAlignment="1">
      <alignment horizontal="left" vertical="center"/>
    </xf>
    <xf numFmtId="0" fontId="149" fillId="18" borderId="1" xfId="17" applyFont="1" applyFill="1" applyAlignment="1">
      <alignment vertical="center"/>
    </xf>
    <xf numFmtId="0" fontId="154" fillId="18" borderId="1" xfId="17" applyFont="1" applyFill="1" applyAlignment="1">
      <alignment vertical="center"/>
    </xf>
    <xf numFmtId="0" fontId="150" fillId="18" borderId="1" xfId="17" applyFont="1" applyFill="1" applyAlignment="1">
      <alignment horizontal="left" vertical="center"/>
    </xf>
    <xf numFmtId="3" fontId="150" fillId="18" borderId="1" xfId="17" applyNumberFormat="1" applyFont="1" applyFill="1" applyAlignment="1">
      <alignment horizontal="left" vertical="center"/>
    </xf>
    <xf numFmtId="0" fontId="150" fillId="18" borderId="1" xfId="17" applyFont="1" applyFill="1" applyAlignment="1">
      <alignment horizontal="center" vertical="center"/>
    </xf>
    <xf numFmtId="0" fontId="149" fillId="18" borderId="1" xfId="17" applyFont="1" applyFill="1" applyAlignment="1">
      <alignment horizontal="left" vertical="center"/>
    </xf>
    <xf numFmtId="0" fontId="149" fillId="18" borderId="1" xfId="17" applyFont="1" applyFill="1" applyAlignment="1">
      <alignment horizontal="center" vertical="center"/>
    </xf>
    <xf numFmtId="0" fontId="141" fillId="18" borderId="1" xfId="17" applyFont="1" applyFill="1" applyAlignment="1">
      <alignment vertical="center"/>
    </xf>
    <xf numFmtId="0" fontId="141" fillId="18" borderId="1" xfId="13" applyFont="1" applyFill="1" applyBorder="1" applyAlignment="1">
      <alignment vertical="center"/>
    </xf>
    <xf numFmtId="0" fontId="142" fillId="4" borderId="1" xfId="13" applyFont="1" applyBorder="1" applyAlignment="1">
      <alignment horizontal="left" vertical="center"/>
    </xf>
    <xf numFmtId="0" fontId="142" fillId="4" borderId="1" xfId="13" applyFont="1" applyBorder="1" applyAlignment="1">
      <alignment horizontal="left" vertical="top"/>
    </xf>
    <xf numFmtId="0" fontId="142" fillId="18" borderId="1" xfId="17" applyFont="1" applyFill="1" applyAlignment="1">
      <alignment vertical="center"/>
    </xf>
    <xf numFmtId="0" fontId="144" fillId="18" borderId="1" xfId="17" applyFont="1" applyFill="1" applyAlignment="1">
      <alignment vertical="center"/>
    </xf>
    <xf numFmtId="0" fontId="145" fillId="18" borderId="1" xfId="17" applyFont="1" applyFill="1" applyAlignment="1">
      <alignment horizontal="left" vertical="center"/>
    </xf>
    <xf numFmtId="3" fontId="145" fillId="18" borderId="1" xfId="17" applyNumberFormat="1" applyFont="1" applyFill="1" applyAlignment="1">
      <alignment horizontal="left" vertical="center"/>
    </xf>
    <xf numFmtId="0" fontId="145" fillId="18" borderId="1" xfId="17" applyFont="1" applyFill="1" applyAlignment="1">
      <alignment horizontal="center" vertical="center"/>
    </xf>
    <xf numFmtId="0" fontId="144" fillId="18" borderId="1" xfId="17" applyFont="1" applyFill="1" applyAlignment="1">
      <alignment horizontal="left" vertical="center"/>
    </xf>
    <xf numFmtId="0" fontId="144" fillId="18" borderId="1" xfId="17" applyFont="1" applyFill="1" applyAlignment="1">
      <alignment horizontal="center" vertical="center"/>
    </xf>
    <xf numFmtId="0" fontId="142" fillId="18" borderId="1" xfId="13" applyFont="1" applyFill="1" applyBorder="1" applyAlignment="1">
      <alignment vertical="center"/>
    </xf>
    <xf numFmtId="0" fontId="143" fillId="18" borderId="1" xfId="17" applyFont="1" applyFill="1" applyAlignment="1">
      <alignment horizontal="left" vertical="center"/>
    </xf>
    <xf numFmtId="3" fontId="143" fillId="18" borderId="1" xfId="17" applyNumberFormat="1" applyFont="1" applyFill="1" applyAlignment="1">
      <alignment horizontal="left" vertical="center"/>
    </xf>
    <xf numFmtId="0" fontId="143" fillId="18" borderId="1" xfId="17" applyFont="1" applyFill="1" applyAlignment="1">
      <alignment horizontal="center" vertical="center"/>
    </xf>
    <xf numFmtId="0" fontId="142" fillId="18" borderId="1" xfId="17" applyFont="1" applyFill="1" applyAlignment="1">
      <alignment horizontal="left" vertical="center"/>
    </xf>
    <xf numFmtId="0" fontId="142" fillId="18" borderId="1" xfId="17" applyFont="1" applyFill="1" applyAlignment="1">
      <alignment horizontal="center" vertical="center"/>
    </xf>
    <xf numFmtId="0" fontId="136" fillId="4" borderId="1" xfId="13" applyFont="1" applyBorder="1" applyAlignment="1">
      <alignment horizontal="left" vertical="center"/>
    </xf>
    <xf numFmtId="0" fontId="136" fillId="4" borderId="1" xfId="13" applyFont="1" applyBorder="1" applyAlignment="1">
      <alignment horizontal="left" vertical="top"/>
    </xf>
    <xf numFmtId="0" fontId="137" fillId="18" borderId="1" xfId="17" applyFont="1" applyFill="1" applyAlignment="1">
      <alignment vertical="center"/>
    </xf>
    <xf numFmtId="0" fontId="138" fillId="18" borderId="1" xfId="17" applyFont="1" applyFill="1" applyAlignment="1">
      <alignment vertical="center"/>
    </xf>
    <xf numFmtId="0" fontId="139" fillId="18" borderId="1" xfId="17" applyFont="1" applyFill="1" applyAlignment="1">
      <alignment horizontal="left" vertical="center"/>
    </xf>
    <xf numFmtId="3" fontId="139" fillId="18" borderId="1" xfId="17" applyNumberFormat="1" applyFont="1" applyFill="1" applyAlignment="1">
      <alignment horizontal="left" vertical="center"/>
    </xf>
    <xf numFmtId="0" fontId="139" fillId="18" borderId="1" xfId="17" applyFont="1" applyFill="1" applyAlignment="1">
      <alignment horizontal="center" vertical="center"/>
    </xf>
    <xf numFmtId="0" fontId="138" fillId="18" borderId="1" xfId="17" applyFont="1" applyFill="1" applyAlignment="1">
      <alignment horizontal="left" vertical="center"/>
    </xf>
    <xf numFmtId="0" fontId="138" fillId="18" borderId="1" xfId="17" applyFont="1" applyFill="1" applyAlignment="1">
      <alignment horizontal="center" vertical="center"/>
    </xf>
    <xf numFmtId="0" fontId="137" fillId="18" borderId="1" xfId="13" applyFont="1" applyFill="1" applyBorder="1" applyAlignment="1">
      <alignment vertical="center"/>
    </xf>
    <xf numFmtId="3" fontId="125" fillId="31" borderId="1" xfId="15" applyNumberFormat="1" applyFont="1" applyFill="1" applyAlignment="1">
      <alignment horizontal="right" vertical="center"/>
      <protection locked="0"/>
    </xf>
    <xf numFmtId="166" fontId="14" fillId="4" borderId="1" xfId="15" applyNumberFormat="1" applyAlignment="1">
      <alignment horizontal="right" vertical="center"/>
      <protection locked="0"/>
    </xf>
    <xf numFmtId="0" fontId="155" fillId="3" borderId="0" xfId="11" applyFont="1" applyBorder="1" applyAlignment="1">
      <alignment horizontal="right" vertical="center"/>
    </xf>
    <xf numFmtId="0" fontId="156" fillId="5" borderId="1" xfId="14" applyFont="1" applyAlignment="1">
      <alignment horizontal="right" vertical="center"/>
    </xf>
    <xf numFmtId="0" fontId="156" fillId="5" borderId="1" xfId="14" applyNumberFormat="1" applyFont="1" applyAlignment="1">
      <alignment horizontal="right" vertical="center"/>
    </xf>
    <xf numFmtId="0" fontId="157" fillId="3" borderId="0" xfId="11" applyFont="1" applyBorder="1" applyAlignment="1">
      <alignment horizontal="right" vertical="center"/>
    </xf>
    <xf numFmtId="0" fontId="158" fillId="5" borderId="1" xfId="14" applyFont="1" applyAlignment="1">
      <alignment horizontal="right" vertical="center"/>
    </xf>
    <xf numFmtId="0" fontId="128" fillId="5" borderId="1" xfId="14" applyFont="1" applyAlignment="1">
      <alignment horizontal="right" vertical="center"/>
    </xf>
    <xf numFmtId="167" fontId="146" fillId="5" borderId="1" xfId="14" applyNumberFormat="1" applyFont="1" applyAlignment="1">
      <alignment horizontal="right" vertical="center"/>
    </xf>
    <xf numFmtId="0" fontId="87" fillId="3" borderId="0" xfId="11" applyFont="1" applyBorder="1" applyAlignment="1">
      <alignment horizontal="left" vertical="top"/>
    </xf>
    <xf numFmtId="0" fontId="13" fillId="5" borderId="23" xfId="14" applyBorder="1" applyAlignment="1">
      <alignment horizontal="left" vertical="center"/>
    </xf>
    <xf numFmtId="0" fontId="13" fillId="5" borderId="10" xfId="14" applyBorder="1" applyAlignment="1">
      <alignment horizontal="left" vertical="center"/>
    </xf>
    <xf numFmtId="0" fontId="13" fillId="5" borderId="11" xfId="14" applyBorder="1" applyAlignment="1">
      <alignment horizontal="left" vertical="center"/>
    </xf>
    <xf numFmtId="0" fontId="27" fillId="3" borderId="0" xfId="11" applyNumberFormat="1" applyAlignment="1">
      <alignment horizontal="right" vertical="top"/>
    </xf>
    <xf numFmtId="3" fontId="87" fillId="3" borderId="0" xfId="11" applyNumberFormat="1" applyFont="1" applyAlignment="1">
      <alignment horizontal="right" vertical="center"/>
    </xf>
    <xf numFmtId="189" fontId="13" fillId="5" borderId="1" xfId="14" applyNumberFormat="1" applyAlignment="1">
      <alignment horizontal="left" vertical="top" wrapText="1"/>
    </xf>
    <xf numFmtId="3" fontId="13" fillId="5" borderId="1" xfId="14" applyNumberFormat="1" applyAlignment="1">
      <alignment horizontal="left" vertical="top"/>
    </xf>
    <xf numFmtId="0" fontId="8" fillId="4" borderId="0" xfId="13" applyAlignment="1">
      <alignment horizontal="left" vertical="center" indent="1"/>
    </xf>
    <xf numFmtId="0" fontId="34" fillId="3" borderId="0" xfId="11" applyFont="1" applyBorder="1" applyAlignment="1">
      <alignment horizontal="left" vertical="center" indent="1"/>
    </xf>
    <xf numFmtId="0" fontId="114" fillId="18" borderId="1" xfId="17" applyFont="1" applyFill="1" applyAlignment="1">
      <alignment horizontal="left" vertical="center" indent="1"/>
    </xf>
    <xf numFmtId="0" fontId="27" fillId="3" borderId="0" xfId="11" applyAlignment="1">
      <alignment horizontal="left" wrapText="1" indent="1"/>
    </xf>
    <xf numFmtId="9" fontId="77" fillId="5" borderId="1" xfId="20" applyFont="1" applyFill="1" applyBorder="1" applyAlignment="1">
      <alignment horizontal="left" vertical="center" indent="1"/>
    </xf>
    <xf numFmtId="9" fontId="13" fillId="5" borderId="1" xfId="20" applyFont="1" applyFill="1" applyBorder="1" applyAlignment="1">
      <alignment horizontal="left" vertical="center" indent="1"/>
    </xf>
    <xf numFmtId="164" fontId="77" fillId="5" borderId="1" xfId="14" applyNumberFormat="1" applyFont="1" applyAlignment="1">
      <alignment horizontal="left" vertical="center" indent="1"/>
    </xf>
    <xf numFmtId="0" fontId="87" fillId="5" borderId="0" xfId="11" applyFont="1" applyFill="1" applyBorder="1" applyAlignment="1">
      <alignment horizontal="left" vertical="center" indent="1"/>
    </xf>
    <xf numFmtId="3" fontId="16" fillId="5" borderId="1" xfId="14" applyNumberFormat="1" applyFont="1" applyAlignment="1">
      <alignment horizontal="left" vertical="center" indent="1"/>
    </xf>
    <xf numFmtId="3" fontId="13" fillId="5" borderId="1" xfId="14" applyNumberFormat="1" applyAlignment="1">
      <alignment horizontal="left" vertical="center" indent="1"/>
    </xf>
    <xf numFmtId="0" fontId="48" fillId="3" borderId="0" xfId="11" applyFont="1" applyAlignment="1">
      <alignment horizontal="left" wrapText="1" indent="1"/>
    </xf>
    <xf numFmtId="0" fontId="87" fillId="5" borderId="1" xfId="11" applyFont="1" applyFill="1" applyBorder="1" applyAlignment="1">
      <alignment horizontal="left" vertical="center" indent="1"/>
    </xf>
    <xf numFmtId="0" fontId="159" fillId="4" borderId="0" xfId="13" applyFont="1"/>
    <xf numFmtId="1" fontId="14" fillId="6" borderId="1" xfId="18" applyNumberFormat="1" applyAlignment="1">
      <alignment horizontal="right" vertical="center" wrapText="1"/>
    </xf>
    <xf numFmtId="4" fontId="14" fillId="6" borderId="16" xfId="18" applyNumberFormat="1" applyBorder="1" applyAlignment="1">
      <alignment horizontal="left" vertical="top"/>
    </xf>
    <xf numFmtId="4" fontId="14" fillId="6" borderId="189" xfId="18" applyNumberFormat="1" applyBorder="1" applyAlignment="1">
      <alignment horizontal="left" vertical="top"/>
    </xf>
    <xf numFmtId="2" fontId="13" fillId="3" borderId="28" xfId="16" applyNumberFormat="1" applyBorder="1" applyAlignment="1">
      <alignment horizontal="left" vertical="center" wrapText="1"/>
    </xf>
    <xf numFmtId="2" fontId="13" fillId="3" borderId="29" xfId="16" applyNumberFormat="1" applyBorder="1" applyAlignment="1">
      <alignment horizontal="left" vertical="center" wrapText="1"/>
    </xf>
    <xf numFmtId="0" fontId="160" fillId="5" borderId="1" xfId="14" applyFont="1" applyAlignment="1">
      <alignment horizontal="left" vertical="center"/>
    </xf>
    <xf numFmtId="2" fontId="13" fillId="3" borderId="23" xfId="16" applyNumberFormat="1" applyBorder="1" applyAlignment="1">
      <alignment horizontal="left" vertical="center" wrapText="1"/>
    </xf>
    <xf numFmtId="0" fontId="27" fillId="3" borderId="10" xfId="11" applyBorder="1" applyAlignment="1">
      <alignment horizontal="center" vertical="center" wrapText="1"/>
    </xf>
    <xf numFmtId="2" fontId="13" fillId="3" borderId="10" xfId="16" applyNumberFormat="1" applyBorder="1" applyAlignment="1">
      <alignment horizontal="right" vertical="center" wrapText="1"/>
    </xf>
    <xf numFmtId="0" fontId="27" fillId="3" borderId="11" xfId="11" applyBorder="1" applyAlignment="1">
      <alignment horizontal="center" vertical="center"/>
    </xf>
    <xf numFmtId="0" fontId="4" fillId="0" borderId="0" xfId="0" applyFont="1" applyAlignment="1">
      <alignment horizontal="left" vertical="center"/>
    </xf>
    <xf numFmtId="172" fontId="13" fillId="5" borderId="1" xfId="14" applyNumberFormat="1" applyAlignment="1">
      <alignment horizontal="left" vertical="center" wrapText="1"/>
    </xf>
    <xf numFmtId="9" fontId="13" fillId="5" borderId="1" xfId="20" applyFont="1" applyFill="1" applyBorder="1" applyAlignment="1">
      <alignment horizontal="right" vertical="center" wrapText="1"/>
    </xf>
    <xf numFmtId="166" fontId="27" fillId="3" borderId="0" xfId="11" applyNumberFormat="1" applyAlignment="1">
      <alignment horizontal="right" vertical="top"/>
    </xf>
    <xf numFmtId="4" fontId="13" fillId="5" borderId="1" xfId="14" applyNumberFormat="1" applyAlignment="1">
      <alignment horizontal="right" vertical="center" wrapText="1"/>
    </xf>
    <xf numFmtId="4" fontId="27" fillId="3" borderId="0" xfId="11" applyNumberFormat="1" applyAlignment="1">
      <alignment horizontal="right" vertical="top"/>
    </xf>
    <xf numFmtId="3" fontId="27" fillId="3" borderId="0" xfId="11" applyNumberFormat="1" applyAlignment="1">
      <alignment horizontal="right" vertical="top"/>
    </xf>
    <xf numFmtId="9" fontId="27" fillId="3" borderId="0" xfId="11" applyNumberFormat="1" applyAlignment="1">
      <alignment horizontal="right" vertical="top"/>
    </xf>
    <xf numFmtId="0" fontId="87" fillId="3" borderId="0" xfId="11" quotePrefix="1" applyFont="1" applyBorder="1" applyAlignment="1">
      <alignment horizontal="right" vertical="center"/>
    </xf>
    <xf numFmtId="172" fontId="135" fillId="3" borderId="0" xfId="11" applyNumberFormat="1" applyFont="1" applyAlignment="1">
      <alignment horizontal="right" vertical="center"/>
    </xf>
    <xf numFmtId="9" fontId="4" fillId="0" borderId="0" xfId="20" applyFont="1" applyAlignment="1">
      <alignment horizontal="right"/>
    </xf>
    <xf numFmtId="0" fontId="4" fillId="0" borderId="190" xfId="0" applyFont="1" applyBorder="1"/>
    <xf numFmtId="9" fontId="4" fillId="0" borderId="190" xfId="20" applyFont="1" applyBorder="1" applyAlignment="1">
      <alignment horizontal="right"/>
    </xf>
    <xf numFmtId="9" fontId="8" fillId="4" borderId="190" xfId="20" applyFont="1" applyFill="1" applyBorder="1"/>
    <xf numFmtId="3" fontId="14" fillId="4" borderId="4" xfId="15" applyNumberFormat="1" applyBorder="1" applyAlignment="1">
      <alignment horizontal="right" vertical="center"/>
      <protection locked="0"/>
    </xf>
    <xf numFmtId="0" fontId="26" fillId="4" borderId="0" xfId="19" applyAlignment="1"/>
    <xf numFmtId="0" fontId="114" fillId="4" borderId="1" xfId="17" applyFont="1" applyFill="1" applyAlignment="1">
      <alignment vertical="center"/>
    </xf>
    <xf numFmtId="0" fontId="48" fillId="3" borderId="0" xfId="11" applyFont="1" applyAlignment="1">
      <alignment horizontal="center" vertical="center"/>
    </xf>
    <xf numFmtId="0" fontId="37" fillId="5" borderId="1" xfId="14" applyFont="1" applyAlignment="1">
      <alignment horizontal="left" vertical="center"/>
    </xf>
    <xf numFmtId="2" fontId="37" fillId="5" borderId="1" xfId="14" applyNumberFormat="1" applyFont="1" applyAlignment="1">
      <alignment horizontal="right" vertical="center"/>
    </xf>
    <xf numFmtId="1" fontId="37" fillId="5" borderId="1" xfId="14" applyNumberFormat="1" applyFont="1" applyAlignment="1">
      <alignment horizontal="right" vertical="center"/>
    </xf>
    <xf numFmtId="9" fontId="37" fillId="5" borderId="1" xfId="20" applyFont="1" applyFill="1" applyBorder="1" applyAlignment="1">
      <alignment horizontal="right" vertical="center"/>
    </xf>
    <xf numFmtId="2" fontId="37" fillId="5" borderId="1" xfId="14" applyNumberFormat="1" applyFont="1" applyAlignment="1">
      <alignment horizontal="left" vertical="center"/>
    </xf>
    <xf numFmtId="0" fontId="48" fillId="3" borderId="0" xfId="11" applyFont="1" applyAlignment="1">
      <alignment vertical="center"/>
    </xf>
    <xf numFmtId="1" fontId="37" fillId="5" borderId="1" xfId="14" applyNumberFormat="1" applyFont="1" applyAlignment="1">
      <alignment horizontal="left" vertical="center"/>
    </xf>
    <xf numFmtId="9" fontId="37" fillId="5" borderId="1" xfId="20" applyFont="1" applyFill="1" applyBorder="1" applyAlignment="1">
      <alignment horizontal="left" vertical="center"/>
    </xf>
    <xf numFmtId="0" fontId="48" fillId="3" borderId="0" xfId="11" applyFont="1" applyAlignment="1">
      <alignment horizontal="right" vertical="center"/>
    </xf>
    <xf numFmtId="0" fontId="44" fillId="3" borderId="0" xfId="11" applyFont="1" applyBorder="1" applyAlignment="1">
      <alignment horizontal="center" vertical="center"/>
    </xf>
    <xf numFmtId="0" fontId="25" fillId="3" borderId="0" xfId="11" applyFont="1" applyBorder="1" applyAlignment="1">
      <alignment horizontal="center" vertical="center"/>
    </xf>
    <xf numFmtId="0" fontId="27" fillId="3" borderId="0" xfId="11" applyBorder="1" applyAlignment="1">
      <alignment horizontal="center" vertical="top"/>
    </xf>
    <xf numFmtId="0" fontId="40" fillId="4" borderId="0" xfId="13" applyFont="1" applyBorder="1" applyAlignment="1">
      <alignment horizontal="left" vertical="center"/>
    </xf>
    <xf numFmtId="0" fontId="135" fillId="3" borderId="0" xfId="11" applyFont="1" applyBorder="1" applyAlignment="1">
      <alignment horizontal="right" vertical="center"/>
    </xf>
    <xf numFmtId="0" fontId="29" fillId="3" borderId="0" xfId="11" applyFont="1" applyBorder="1" applyAlignment="1">
      <alignment horizontal="right" vertical="top"/>
    </xf>
    <xf numFmtId="0" fontId="13" fillId="3" borderId="1" xfId="16" applyAlignment="1">
      <alignment vertical="top"/>
    </xf>
    <xf numFmtId="0" fontId="29" fillId="3" borderId="0" xfId="11" applyFont="1" applyBorder="1" applyAlignment="1">
      <alignment horizontal="right" vertical="center"/>
    </xf>
    <xf numFmtId="0" fontId="130" fillId="3" borderId="0" xfId="11" applyFont="1" applyBorder="1" applyAlignment="1">
      <alignment horizontal="right" vertical="center"/>
    </xf>
    <xf numFmtId="0" fontId="162" fillId="4" borderId="0" xfId="19" applyFont="1" applyAlignment="1"/>
    <xf numFmtId="0" fontId="114" fillId="2" borderId="1" xfId="17" applyFont="1" applyAlignment="1">
      <alignment vertical="center"/>
    </xf>
    <xf numFmtId="0" fontId="116" fillId="4" borderId="0" xfId="13" applyFont="1" applyAlignment="1">
      <alignment horizontal="right" vertical="center"/>
    </xf>
    <xf numFmtId="0" fontId="116" fillId="4" borderId="0" xfId="13" applyFont="1" applyBorder="1" applyAlignment="1">
      <alignment horizontal="right" vertical="center"/>
    </xf>
    <xf numFmtId="0" fontId="163" fillId="3" borderId="0" xfId="11" applyFont="1" applyBorder="1" applyAlignment="1">
      <alignment horizontal="center" vertical="center"/>
    </xf>
    <xf numFmtId="0" fontId="48" fillId="4" borderId="0" xfId="11" applyFont="1" applyFill="1" applyAlignment="1">
      <alignment horizontal="center" vertical="center"/>
    </xf>
    <xf numFmtId="0" fontId="48" fillId="4" borderId="0" xfId="11" applyFont="1" applyFill="1" applyBorder="1" applyAlignment="1">
      <alignment horizontal="center" vertical="center"/>
    </xf>
    <xf numFmtId="0" fontId="48" fillId="3" borderId="0" xfId="11" applyFont="1" applyAlignment="1">
      <alignment horizontal="left" vertical="top"/>
    </xf>
    <xf numFmtId="0" fontId="48" fillId="3" borderId="0" xfId="11" applyFont="1" applyBorder="1" applyAlignment="1">
      <alignment vertical="center"/>
    </xf>
    <xf numFmtId="0" fontId="164" fillId="3" borderId="0" xfId="11" applyFont="1" applyBorder="1" applyAlignment="1">
      <alignment vertical="center"/>
    </xf>
    <xf numFmtId="0" fontId="37" fillId="5" borderId="1" xfId="14" applyFont="1" applyAlignment="1">
      <alignment horizontal="right" vertical="center"/>
    </xf>
    <xf numFmtId="4" fontId="37" fillId="5" borderId="1" xfId="14" applyNumberFormat="1" applyFont="1" applyAlignment="1">
      <alignment horizontal="left" vertical="center"/>
    </xf>
    <xf numFmtId="0" fontId="164" fillId="3" borderId="0" xfId="11" applyFont="1" applyAlignment="1">
      <alignment horizontal="left" vertical="center"/>
    </xf>
    <xf numFmtId="1" fontId="164" fillId="3" borderId="0" xfId="11" applyNumberFormat="1" applyFont="1" applyAlignment="1">
      <alignment horizontal="right" vertical="center"/>
    </xf>
    <xf numFmtId="0" fontId="48" fillId="3" borderId="0" xfId="11" applyFont="1" applyBorder="1" applyAlignment="1">
      <alignment horizontal="left" vertical="top"/>
    </xf>
    <xf numFmtId="0" fontId="48" fillId="3" borderId="0" xfId="11" applyFont="1" applyBorder="1" applyAlignment="1">
      <alignment horizontal="right" vertical="center"/>
    </xf>
    <xf numFmtId="3" fontId="48" fillId="3" borderId="0" xfId="11" applyNumberFormat="1" applyFont="1" applyBorder="1" applyAlignment="1">
      <alignment horizontal="right" vertical="center"/>
    </xf>
    <xf numFmtId="2" fontId="48" fillId="3" borderId="0" xfId="11" applyNumberFormat="1" applyFont="1" applyBorder="1" applyAlignment="1">
      <alignment horizontal="center" vertical="center"/>
    </xf>
    <xf numFmtId="0" fontId="165" fillId="3" borderId="0" xfId="0" applyFont="1" applyFill="1" applyAlignment="1">
      <alignment vertical="center"/>
    </xf>
    <xf numFmtId="0" fontId="164" fillId="3" borderId="0" xfId="11" applyFont="1" applyBorder="1" applyAlignment="1">
      <alignment horizontal="right" vertical="top" wrapText="1"/>
    </xf>
    <xf numFmtId="0" fontId="48" fillId="3" borderId="185" xfId="11" applyFont="1" applyBorder="1" applyAlignment="1">
      <alignment horizontal="left" vertical="center"/>
    </xf>
    <xf numFmtId="0" fontId="48" fillId="3" borderId="186" xfId="11" applyFont="1" applyBorder="1" applyAlignment="1">
      <alignment horizontal="left" vertical="center"/>
    </xf>
    <xf numFmtId="0" fontId="116" fillId="4" borderId="0" xfId="13" applyFont="1" applyAlignment="1">
      <alignment horizontal="right" vertical="top"/>
    </xf>
    <xf numFmtId="0" fontId="116" fillId="4" borderId="0" xfId="13" applyFont="1" applyBorder="1" applyAlignment="1">
      <alignment horizontal="right" vertical="top"/>
    </xf>
    <xf numFmtId="0" fontId="116" fillId="4" borderId="0" xfId="13" applyFont="1" applyBorder="1" applyAlignment="1">
      <alignment horizontal="right" vertical="top" wrapText="1"/>
    </xf>
    <xf numFmtId="0" fontId="114" fillId="4" borderId="0" xfId="13" applyFont="1" applyAlignment="1">
      <alignment horizontal="right" vertical="center"/>
    </xf>
    <xf numFmtId="0" fontId="114" fillId="4" borderId="0" xfId="13" applyFont="1" applyBorder="1" applyAlignment="1">
      <alignment horizontal="right" vertical="center"/>
    </xf>
    <xf numFmtId="0" fontId="120" fillId="4" borderId="0" xfId="11" applyFont="1" applyFill="1" applyAlignment="1">
      <alignment horizontal="center" vertical="center"/>
    </xf>
    <xf numFmtId="2" fontId="120" fillId="3" borderId="0" xfId="11" applyNumberFormat="1" applyFont="1" applyBorder="1" applyAlignment="1">
      <alignment horizontal="center" vertical="center"/>
    </xf>
    <xf numFmtId="0" fontId="131" fillId="4" borderId="0" xfId="19" applyFont="1" applyAlignment="1">
      <alignment horizontal="center"/>
    </xf>
    <xf numFmtId="0" fontId="122" fillId="4" borderId="0" xfId="13" applyFont="1" applyAlignment="1">
      <alignment horizontal="center" vertical="center"/>
    </xf>
    <xf numFmtId="0" fontId="120" fillId="3" borderId="0" xfId="11" applyFont="1" applyAlignment="1">
      <alignment horizontal="center" vertical="top"/>
    </xf>
    <xf numFmtId="0" fontId="166" fillId="4" borderId="1" xfId="17" applyFont="1" applyFill="1" applyAlignment="1">
      <alignment horizontal="center" vertical="center"/>
    </xf>
    <xf numFmtId="3" fontId="120" fillId="3" borderId="0" xfId="11" applyNumberFormat="1" applyFont="1" applyBorder="1" applyAlignment="1">
      <alignment horizontal="center" vertical="center"/>
    </xf>
    <xf numFmtId="0" fontId="120" fillId="3" borderId="0" xfId="11" applyFont="1" applyBorder="1" applyAlignment="1">
      <alignment horizontal="center" vertical="center"/>
    </xf>
    <xf numFmtId="0" fontId="34" fillId="3" borderId="0" xfId="11" applyFont="1" applyBorder="1" applyAlignment="1">
      <alignment horizontal="center" vertical="top"/>
    </xf>
    <xf numFmtId="0" fontId="167" fillId="18" borderId="1" xfId="17" applyFont="1" applyFill="1" applyAlignment="1">
      <alignment horizontal="center" vertical="center"/>
    </xf>
    <xf numFmtId="0" fontId="122" fillId="4" borderId="0" xfId="13" applyFont="1" applyAlignment="1">
      <alignment horizontal="center" vertical="top"/>
    </xf>
    <xf numFmtId="0" fontId="122" fillId="4" borderId="0" xfId="13" applyFont="1" applyAlignment="1">
      <alignment horizontal="center" vertical="top" wrapText="1"/>
    </xf>
    <xf numFmtId="0" fontId="166" fillId="4" borderId="0" xfId="13" applyFont="1" applyAlignment="1">
      <alignment horizontal="center" vertical="center"/>
    </xf>
    <xf numFmtId="0" fontId="37" fillId="5" borderId="114" xfId="14" applyFont="1" applyBorder="1" applyAlignment="1">
      <alignment horizontal="left" vertical="center"/>
    </xf>
    <xf numFmtId="4" fontId="37" fillId="5" borderId="1" xfId="14" applyNumberFormat="1" applyFont="1" applyAlignment="1">
      <alignment horizontal="right" vertical="center"/>
    </xf>
    <xf numFmtId="4" fontId="37" fillId="5" borderId="114" xfId="14" applyNumberFormat="1" applyFont="1" applyBorder="1" applyAlignment="1">
      <alignment horizontal="left" vertical="center"/>
    </xf>
    <xf numFmtId="0" fontId="37" fillId="5" borderId="114" xfId="14" applyFont="1" applyBorder="1" applyAlignment="1">
      <alignment horizontal="right" vertical="center"/>
    </xf>
    <xf numFmtId="4" fontId="37" fillId="5" borderId="113" xfId="14" applyNumberFormat="1" applyFont="1" applyBorder="1" applyAlignment="1">
      <alignment horizontal="right" vertical="center"/>
    </xf>
    <xf numFmtId="2" fontId="37" fillId="5" borderId="113" xfId="14" applyNumberFormat="1" applyFont="1" applyBorder="1" applyAlignment="1">
      <alignment horizontal="right" vertical="center"/>
    </xf>
    <xf numFmtId="0" fontId="37" fillId="5" borderId="113" xfId="14" applyFont="1" applyBorder="1" applyAlignment="1">
      <alignment horizontal="right" vertical="center"/>
    </xf>
    <xf numFmtId="4" fontId="37" fillId="5" borderId="192" xfId="20" applyNumberFormat="1" applyFont="1" applyFill="1" applyBorder="1" applyAlignment="1">
      <alignment horizontal="right" vertical="center"/>
    </xf>
    <xf numFmtId="4" fontId="37" fillId="5" borderId="114" xfId="14" applyNumberFormat="1" applyFont="1" applyBorder="1" applyAlignment="1">
      <alignment horizontal="right" vertical="center"/>
    </xf>
    <xf numFmtId="2" fontId="37" fillId="5" borderId="114" xfId="14" applyNumberFormat="1" applyFont="1" applyBorder="1" applyAlignment="1">
      <alignment horizontal="right" vertical="center"/>
    </xf>
    <xf numFmtId="2" fontId="37" fillId="5" borderId="191" xfId="14" applyNumberFormat="1" applyFont="1" applyBorder="1" applyAlignment="1">
      <alignment horizontal="right" vertical="center"/>
    </xf>
    <xf numFmtId="0" fontId="48" fillId="3" borderId="0" xfId="11" applyFont="1" applyAlignment="1">
      <alignment horizontal="left"/>
    </xf>
    <xf numFmtId="0" fontId="48" fillId="3" borderId="0" xfId="11" applyFont="1" applyBorder="1" applyAlignment="1"/>
    <xf numFmtId="0" fontId="48" fillId="3" borderId="0" xfId="11" applyFont="1" applyBorder="1" applyAlignment="1">
      <alignment horizontal="centerContinuous"/>
    </xf>
    <xf numFmtId="0" fontId="27" fillId="18" borderId="193" xfId="11" applyFill="1" applyBorder="1" applyAlignment="1">
      <alignment vertical="center"/>
    </xf>
    <xf numFmtId="0" fontId="34" fillId="18" borderId="4" xfId="11" applyFont="1" applyFill="1" applyBorder="1" applyAlignment="1">
      <alignment horizontal="center" vertical="center"/>
    </xf>
    <xf numFmtId="0" fontId="27" fillId="18" borderId="4" xfId="11" applyFill="1" applyBorder="1" applyAlignment="1">
      <alignment horizontal="center" vertical="center"/>
    </xf>
    <xf numFmtId="0" fontId="29" fillId="18" borderId="4" xfId="11" applyFont="1" applyFill="1" applyBorder="1" applyAlignment="1">
      <alignment horizontal="left" vertical="center"/>
    </xf>
    <xf numFmtId="0" fontId="27" fillId="18" borderId="194" xfId="11" applyFill="1" applyBorder="1" applyAlignment="1">
      <alignment vertical="center"/>
    </xf>
    <xf numFmtId="0" fontId="14" fillId="18" borderId="192" xfId="11" applyFont="1" applyFill="1" applyBorder="1" applyAlignment="1">
      <alignment vertical="center"/>
    </xf>
    <xf numFmtId="0" fontId="34" fillId="18" borderId="0" xfId="11" applyFont="1" applyFill="1" applyBorder="1" applyAlignment="1">
      <alignment horizontal="center" vertical="center"/>
    </xf>
    <xf numFmtId="0" fontId="27" fillId="18" borderId="0" xfId="11" applyFill="1" applyBorder="1" applyAlignment="1">
      <alignment horizontal="center" vertical="center"/>
    </xf>
    <xf numFmtId="0" fontId="29" fillId="18" borderId="0" xfId="11" applyFont="1" applyFill="1" applyBorder="1" applyAlignment="1">
      <alignment horizontal="left" vertical="center"/>
    </xf>
    <xf numFmtId="0" fontId="27" fillId="18" borderId="195" xfId="11" applyFill="1" applyBorder="1" applyAlignment="1">
      <alignment vertical="center"/>
    </xf>
    <xf numFmtId="0" fontId="14" fillId="18" borderId="196" xfId="11" applyFont="1" applyFill="1" applyBorder="1" applyAlignment="1">
      <alignment vertical="center"/>
    </xf>
    <xf numFmtId="0" fontId="34" fillId="18" borderId="5" xfId="11" applyFont="1" applyFill="1" applyBorder="1" applyAlignment="1">
      <alignment horizontal="center" vertical="center"/>
    </xf>
    <xf numFmtId="0" fontId="27" fillId="18" borderId="5" xfId="11" applyFill="1" applyBorder="1" applyAlignment="1">
      <alignment horizontal="center" vertical="center"/>
    </xf>
    <xf numFmtId="0" fontId="29" fillId="18" borderId="5" xfId="11" applyFont="1" applyFill="1" applyBorder="1" applyAlignment="1">
      <alignment horizontal="left" vertical="center"/>
    </xf>
    <xf numFmtId="0" fontId="27" fillId="18" borderId="197" xfId="11" applyFill="1" applyBorder="1" applyAlignment="1">
      <alignment vertical="center"/>
    </xf>
    <xf numFmtId="49" fontId="27" fillId="3" borderId="0" xfId="11" applyNumberFormat="1" applyAlignment="1"/>
    <xf numFmtId="49" fontId="27" fillId="3" borderId="0" xfId="11" applyNumberFormat="1" applyAlignment="1">
      <alignment horizontal="center" vertical="center"/>
    </xf>
    <xf numFmtId="0" fontId="13" fillId="5" borderId="198" xfId="14" applyBorder="1" applyAlignment="1">
      <alignment horizontal="left" vertical="center"/>
    </xf>
    <xf numFmtId="0" fontId="160" fillId="5" borderId="1" xfId="14" applyFont="1" applyAlignment="1">
      <alignment horizontal="right" vertical="center"/>
    </xf>
    <xf numFmtId="0" fontId="60" fillId="5" borderId="114" xfId="14" applyFont="1" applyBorder="1" applyAlignment="1">
      <alignment horizontal="right" vertical="center"/>
    </xf>
    <xf numFmtId="4" fontId="60" fillId="5" borderId="113" xfId="14" applyNumberFormat="1" applyFont="1" applyBorder="1" applyAlignment="1">
      <alignment horizontal="right" vertical="center"/>
    </xf>
    <xf numFmtId="4" fontId="60" fillId="5" borderId="1" xfId="14" applyNumberFormat="1" applyFont="1" applyAlignment="1">
      <alignment horizontal="left" vertical="center"/>
    </xf>
    <xf numFmtId="0" fontId="40" fillId="3" borderId="0" xfId="11" applyFont="1" applyBorder="1" applyAlignment="1">
      <alignment vertical="center"/>
    </xf>
    <xf numFmtId="0" fontId="117" fillId="3" borderId="0" xfId="11" applyFont="1" applyBorder="1" applyAlignment="1">
      <alignment horizontal="right" vertical="center"/>
    </xf>
    <xf numFmtId="4" fontId="87" fillId="3" borderId="0" xfId="11" applyNumberFormat="1" applyFont="1" applyAlignment="1">
      <alignment horizontal="right" vertical="center"/>
    </xf>
    <xf numFmtId="0" fontId="27" fillId="3" borderId="199" xfId="11" applyBorder="1" applyAlignment="1">
      <alignment horizontal="left" vertical="center"/>
    </xf>
    <xf numFmtId="0" fontId="38" fillId="3" borderId="200" xfId="12" applyBorder="1" applyAlignment="1">
      <alignment horizontal="right" vertical="center"/>
    </xf>
    <xf numFmtId="0" fontId="10" fillId="3" borderId="200" xfId="0" applyFont="1" applyFill="1" applyBorder="1" applyAlignment="1">
      <alignment vertical="center"/>
    </xf>
    <xf numFmtId="0" fontId="27" fillId="3" borderId="200" xfId="11" applyBorder="1" applyAlignment="1">
      <alignment vertical="center"/>
    </xf>
    <xf numFmtId="4" fontId="27" fillId="3" borderId="200" xfId="11" applyNumberFormat="1" applyBorder="1" applyAlignment="1">
      <alignment horizontal="left" vertical="center"/>
    </xf>
    <xf numFmtId="0" fontId="44" fillId="3" borderId="200" xfId="11" applyFont="1" applyBorder="1" applyAlignment="1">
      <alignment horizontal="right" vertical="center"/>
    </xf>
    <xf numFmtId="3" fontId="27" fillId="3" borderId="201" xfId="11" applyNumberFormat="1" applyBorder="1" applyAlignment="1">
      <alignment horizontal="right" vertical="center"/>
    </xf>
    <xf numFmtId="4" fontId="87" fillId="3" borderId="202" xfId="11" applyNumberFormat="1" applyFont="1" applyBorder="1" applyAlignment="1">
      <alignment horizontal="right" vertical="top" wrapText="1"/>
    </xf>
    <xf numFmtId="4" fontId="87" fillId="3" borderId="203" xfId="11" applyNumberFormat="1" applyFont="1" applyBorder="1" applyAlignment="1">
      <alignment horizontal="right" vertical="top" wrapText="1"/>
    </xf>
    <xf numFmtId="3" fontId="87" fillId="3" borderId="202" xfId="11" applyNumberFormat="1" applyFont="1" applyBorder="1" applyAlignment="1">
      <alignment horizontal="right" vertical="top" wrapText="1"/>
    </xf>
    <xf numFmtId="3" fontId="87" fillId="3" borderId="203" xfId="11" applyNumberFormat="1" applyFont="1" applyBorder="1" applyAlignment="1">
      <alignment horizontal="right" vertical="top" wrapText="1"/>
    </xf>
    <xf numFmtId="0" fontId="87" fillId="3" borderId="202" xfId="11" applyFont="1" applyBorder="1" applyAlignment="1">
      <alignment horizontal="right" vertical="top" wrapText="1"/>
    </xf>
    <xf numFmtId="0" fontId="87" fillId="3" borderId="203" xfId="11" applyFont="1" applyBorder="1" applyAlignment="1">
      <alignment horizontal="right" vertical="top" wrapText="1"/>
    </xf>
    <xf numFmtId="0" fontId="13" fillId="5" borderId="204" xfId="14" applyNumberFormat="1" applyBorder="1" applyAlignment="1">
      <alignment horizontal="right" vertical="center"/>
    </xf>
    <xf numFmtId="167" fontId="13" fillId="5" borderId="205" xfId="14" applyNumberFormat="1" applyBorder="1" applyAlignment="1">
      <alignment horizontal="right" vertical="center"/>
    </xf>
    <xf numFmtId="0" fontId="13" fillId="5" borderId="206" xfId="14" applyNumberFormat="1" applyBorder="1" applyAlignment="1">
      <alignment horizontal="right" vertical="center"/>
    </xf>
    <xf numFmtId="0" fontId="13" fillId="5" borderId="207" xfId="14" applyNumberFormat="1" applyBorder="1" applyAlignment="1">
      <alignment horizontal="right" vertical="center"/>
    </xf>
    <xf numFmtId="0" fontId="8" fillId="4" borderId="208" xfId="13" applyBorder="1" applyAlignment="1">
      <alignment horizontal="right" vertical="center"/>
    </xf>
    <xf numFmtId="167" fontId="13" fillId="5" borderId="209" xfId="14" applyNumberFormat="1" applyBorder="1" applyAlignment="1">
      <alignment horizontal="right" vertical="center"/>
    </xf>
    <xf numFmtId="0" fontId="117" fillId="3" borderId="210" xfId="11" applyFont="1" applyBorder="1" applyAlignment="1">
      <alignment horizontal="left" vertical="top"/>
    </xf>
    <xf numFmtId="0" fontId="117" fillId="3" borderId="211" xfId="11" applyFont="1" applyBorder="1" applyAlignment="1">
      <alignment horizontal="left" vertical="top"/>
    </xf>
    <xf numFmtId="0" fontId="27" fillId="3" borderId="211" xfId="11" applyBorder="1" applyAlignment="1">
      <alignment horizontal="left" vertical="top"/>
    </xf>
    <xf numFmtId="0" fontId="27" fillId="3" borderId="212" xfId="11" applyBorder="1" applyAlignment="1">
      <alignment horizontal="left" vertical="top"/>
    </xf>
    <xf numFmtId="0" fontId="14" fillId="3" borderId="0" xfId="11" applyFont="1" applyAlignment="1">
      <alignment horizontal="center" vertical="top" wrapText="1"/>
    </xf>
    <xf numFmtId="3" fontId="13" fillId="3" borderId="1" xfId="16" applyNumberFormat="1" applyAlignment="1">
      <alignment horizontal="right" vertical="top" wrapText="1"/>
    </xf>
    <xf numFmtId="3" fontId="169" fillId="4" borderId="0" xfId="13" applyNumberFormat="1" applyFont="1" applyAlignment="1">
      <alignment horizontal="right" vertical="top" wrapText="1"/>
    </xf>
    <xf numFmtId="3" fontId="60" fillId="3" borderId="1" xfId="16" applyNumberFormat="1" applyFont="1" applyAlignment="1">
      <alignment horizontal="right" vertical="top" wrapText="1"/>
    </xf>
    <xf numFmtId="3" fontId="117" fillId="3" borderId="1" xfId="16" applyNumberFormat="1" applyFont="1" applyAlignment="1">
      <alignment horizontal="right" vertical="top" wrapText="1"/>
    </xf>
    <xf numFmtId="3" fontId="170" fillId="0" borderId="0" xfId="0" applyNumberFormat="1" applyFont="1" applyAlignment="1">
      <alignment horizontal="left" vertical="top" wrapText="1"/>
    </xf>
    <xf numFmtId="3" fontId="60" fillId="3" borderId="0" xfId="11" applyNumberFormat="1" applyFont="1" applyAlignment="1">
      <alignment horizontal="center" vertical="top" wrapText="1"/>
    </xf>
    <xf numFmtId="3" fontId="13" fillId="3" borderId="1" xfId="16" applyNumberFormat="1" applyAlignment="1">
      <alignment horizontal="right" vertical="top"/>
    </xf>
    <xf numFmtId="167" fontId="13" fillId="3" borderId="1" xfId="16" applyNumberFormat="1" applyAlignment="1">
      <alignment horizontal="right" vertical="top"/>
    </xf>
    <xf numFmtId="1" fontId="8" fillId="4" borderId="0" xfId="20" applyNumberFormat="1" applyFont="1" applyFill="1" applyAlignment="1">
      <alignment horizontal="right"/>
    </xf>
    <xf numFmtId="0" fontId="28" fillId="2" borderId="1" xfId="17" applyAlignment="1">
      <alignment horizontal="right" vertical="center"/>
    </xf>
    <xf numFmtId="0" fontId="8" fillId="2" borderId="1" xfId="13" applyFill="1" applyBorder="1" applyAlignment="1">
      <alignment horizontal="right"/>
    </xf>
    <xf numFmtId="1" fontId="8" fillId="2" borderId="1" xfId="20" applyNumberFormat="1" applyFont="1" applyFill="1" applyBorder="1" applyAlignment="1">
      <alignment horizontal="right"/>
    </xf>
    <xf numFmtId="0" fontId="27" fillId="3" borderId="0" xfId="11" applyAlignment="1">
      <alignment horizontal="right"/>
    </xf>
    <xf numFmtId="0" fontId="55" fillId="0" borderId="0" xfId="0" applyFont="1" applyAlignment="1">
      <alignment horizontal="right" vertical="center"/>
    </xf>
    <xf numFmtId="0" fontId="121" fillId="4" borderId="0" xfId="13" applyFont="1" applyAlignment="1">
      <alignment horizontal="center"/>
    </xf>
    <xf numFmtId="0" fontId="104" fillId="2" borderId="1" xfId="17" applyFont="1" applyAlignment="1">
      <alignment horizontal="left" vertical="center" indent="1"/>
    </xf>
    <xf numFmtId="0" fontId="77" fillId="3" borderId="1" xfId="16" applyFont="1" applyAlignment="1">
      <alignment horizontal="right" vertical="top" wrapText="1"/>
    </xf>
    <xf numFmtId="167" fontId="77" fillId="3" borderId="4" xfId="16" applyNumberFormat="1" applyFont="1" applyBorder="1" applyAlignment="1">
      <alignment horizontal="right" vertical="top" wrapText="1"/>
    </xf>
    <xf numFmtId="167" fontId="77" fillId="3" borderId="6" xfId="16" applyNumberFormat="1" applyFont="1" applyBorder="1" applyAlignment="1">
      <alignment horizontal="right" vertical="top" wrapText="1"/>
    </xf>
    <xf numFmtId="3" fontId="117" fillId="3" borderId="5" xfId="16" applyNumberFormat="1" applyFont="1" applyBorder="1" applyAlignment="1">
      <alignment horizontal="right" vertical="top" wrapText="1"/>
    </xf>
    <xf numFmtId="0" fontId="57" fillId="0" borderId="0" xfId="0" applyFont="1" applyAlignment="1">
      <alignment horizontal="center" vertical="center"/>
    </xf>
    <xf numFmtId="0" fontId="41" fillId="3" borderId="1" xfId="16" applyFont="1" applyAlignment="1">
      <alignment horizontal="right" vertical="top" wrapText="1"/>
    </xf>
    <xf numFmtId="0" fontId="29" fillId="3" borderId="0" xfId="11" applyFont="1" applyAlignment="1">
      <alignment horizontal="center" vertical="top" wrapText="1"/>
    </xf>
    <xf numFmtId="2" fontId="41" fillId="3" borderId="1" xfId="16" applyNumberFormat="1" applyFont="1" applyAlignment="1">
      <alignment horizontal="right" vertical="top" wrapText="1"/>
    </xf>
    <xf numFmtId="0" fontId="41" fillId="3" borderId="0" xfId="11" applyFont="1" applyAlignment="1">
      <alignment horizontal="center" vertical="top" wrapText="1"/>
    </xf>
    <xf numFmtId="0" fontId="41" fillId="3" borderId="0" xfId="11" applyFont="1" applyAlignment="1">
      <alignment horizontal="right" vertical="center"/>
    </xf>
    <xf numFmtId="0" fontId="41" fillId="3" borderId="0" xfId="11" applyFont="1" applyAlignment="1">
      <alignment horizontal="center" vertical="center"/>
    </xf>
    <xf numFmtId="167" fontId="13" fillId="18" borderId="1" xfId="16" applyNumberFormat="1" applyFill="1" applyAlignment="1">
      <alignment horizontal="right" vertical="top" wrapText="1"/>
    </xf>
    <xf numFmtId="0" fontId="13" fillId="5" borderId="0" xfId="14" applyBorder="1" applyAlignment="1">
      <alignment horizontal="left" vertical="center"/>
    </xf>
    <xf numFmtId="0" fontId="37" fillId="5" borderId="0" xfId="14" applyFont="1" applyBorder="1" applyAlignment="1">
      <alignment horizontal="right" vertical="center"/>
    </xf>
    <xf numFmtId="2" fontId="37" fillId="5" borderId="0" xfId="14" applyNumberFormat="1" applyFont="1" applyBorder="1" applyAlignment="1">
      <alignment horizontal="right" vertical="center"/>
    </xf>
    <xf numFmtId="0" fontId="1" fillId="0" borderId="0" xfId="39" applyAlignment="1">
      <alignment vertical="top"/>
    </xf>
    <xf numFmtId="0" fontId="1" fillId="0" borderId="0" xfId="39" applyAlignment="1">
      <alignment vertical="center"/>
    </xf>
    <xf numFmtId="0" fontId="175" fillId="0" borderId="0" xfId="39" applyFont="1" applyAlignment="1">
      <alignment vertical="center"/>
    </xf>
    <xf numFmtId="0" fontId="176" fillId="0" borderId="0" xfId="39" applyFont="1" applyAlignment="1">
      <alignment vertical="center"/>
    </xf>
    <xf numFmtId="0" fontId="177" fillId="33" borderId="0" xfId="39" applyFont="1" applyFill="1" applyAlignment="1">
      <alignment vertical="center"/>
    </xf>
    <xf numFmtId="0" fontId="173" fillId="33" borderId="0" xfId="39" applyFont="1" applyFill="1" applyAlignment="1">
      <alignment vertical="center"/>
    </xf>
    <xf numFmtId="0" fontId="173" fillId="33" borderId="0" xfId="39" applyFont="1" applyFill="1" applyAlignment="1">
      <alignment horizontal="right" vertical="center" indent="1"/>
    </xf>
    <xf numFmtId="0" fontId="178" fillId="18" borderId="213" xfId="39" applyFont="1" applyFill="1" applyBorder="1" applyAlignment="1">
      <alignment vertical="center"/>
    </xf>
    <xf numFmtId="0" fontId="178" fillId="18" borderId="214" xfId="39" applyFont="1" applyFill="1" applyBorder="1" applyAlignment="1">
      <alignment vertical="center"/>
    </xf>
    <xf numFmtId="0" fontId="179" fillId="18" borderId="214" xfId="39" applyFont="1" applyFill="1" applyBorder="1" applyAlignment="1">
      <alignment horizontal="right" vertical="center"/>
    </xf>
    <xf numFmtId="0" fontId="178" fillId="18" borderId="214" xfId="39" applyFont="1" applyFill="1" applyBorder="1" applyAlignment="1">
      <alignment horizontal="right" vertical="center" indent="1"/>
    </xf>
    <xf numFmtId="0" fontId="178" fillId="18" borderId="215" xfId="39" applyFont="1" applyFill="1" applyBorder="1" applyAlignment="1">
      <alignment vertical="center"/>
    </xf>
    <xf numFmtId="0" fontId="178" fillId="0" borderId="0" xfId="39" applyFont="1" applyAlignment="1">
      <alignment vertical="top"/>
    </xf>
    <xf numFmtId="0" fontId="1" fillId="18" borderId="216" xfId="39" applyFill="1" applyBorder="1" applyAlignment="1">
      <alignment vertical="center"/>
    </xf>
    <xf numFmtId="0" fontId="1" fillId="18" borderId="0" xfId="39" applyFill="1" applyAlignment="1">
      <alignment vertical="center"/>
    </xf>
    <xf numFmtId="0" fontId="176" fillId="18" borderId="0" xfId="39" applyFont="1" applyFill="1" applyAlignment="1">
      <alignment horizontal="right" vertical="center" indent="1"/>
    </xf>
    <xf numFmtId="0" fontId="1" fillId="18" borderId="217" xfId="39" applyFill="1" applyBorder="1" applyAlignment="1">
      <alignment vertical="center"/>
    </xf>
    <xf numFmtId="190" fontId="1" fillId="4" borderId="2" xfId="39" applyNumberFormat="1" applyFill="1" applyBorder="1" applyAlignment="1" applyProtection="1">
      <alignment horizontal="center" vertical="center"/>
      <protection locked="0"/>
    </xf>
    <xf numFmtId="191" fontId="1" fillId="4" borderId="2" xfId="39" applyNumberFormat="1" applyFill="1" applyBorder="1" applyAlignment="1" applyProtection="1">
      <alignment horizontal="center" vertical="center"/>
      <protection locked="0"/>
    </xf>
    <xf numFmtId="0" fontId="178" fillId="18" borderId="218" xfId="39" applyFont="1" applyFill="1" applyBorder="1" applyAlignment="1">
      <alignment vertical="center"/>
    </xf>
    <xf numFmtId="0" fontId="178" fillId="18" borderId="219" xfId="39" applyFont="1" applyFill="1" applyBorder="1" applyAlignment="1">
      <alignment vertical="center"/>
    </xf>
    <xf numFmtId="0" fontId="179" fillId="18" borderId="219" xfId="39" applyFont="1" applyFill="1" applyBorder="1" applyAlignment="1">
      <alignment horizontal="right" vertical="center"/>
    </xf>
    <xf numFmtId="0" fontId="178" fillId="18" borderId="219" xfId="39" applyFont="1" applyFill="1" applyBorder="1" applyAlignment="1">
      <alignment horizontal="right" vertical="center" indent="1"/>
    </xf>
    <xf numFmtId="0" fontId="178" fillId="18" borderId="220" xfId="39" applyFont="1" applyFill="1" applyBorder="1" applyAlignment="1">
      <alignment vertical="center"/>
    </xf>
    <xf numFmtId="0" fontId="180" fillId="0" borderId="0" xfId="39" applyFont="1" applyAlignment="1">
      <alignment vertical="center"/>
    </xf>
    <xf numFmtId="0" fontId="181" fillId="0" borderId="0" xfId="39" applyFont="1" applyAlignment="1">
      <alignment horizontal="right" vertical="center"/>
    </xf>
    <xf numFmtId="0" fontId="180" fillId="0" borderId="0" xfId="39" applyFont="1" applyAlignment="1">
      <alignment horizontal="right" vertical="center" indent="1"/>
    </xf>
    <xf numFmtId="0" fontId="180" fillId="0" borderId="0" xfId="39" applyFont="1" applyAlignment="1">
      <alignment vertical="top"/>
    </xf>
    <xf numFmtId="0" fontId="177" fillId="34" borderId="0" xfId="39" applyFont="1" applyFill="1" applyAlignment="1">
      <alignment vertical="center"/>
    </xf>
    <xf numFmtId="0" fontId="173" fillId="34" borderId="0" xfId="39" applyFont="1" applyFill="1" applyAlignment="1">
      <alignment horizontal="right" vertical="center" indent="1"/>
    </xf>
    <xf numFmtId="3" fontId="171" fillId="34" borderId="0" xfId="39" applyNumberFormat="1" applyFont="1" applyFill="1" applyAlignment="1">
      <alignment horizontal="right" vertical="center" indent="1"/>
    </xf>
    <xf numFmtId="3" fontId="173" fillId="34" borderId="0" xfId="39" applyNumberFormat="1" applyFont="1" applyFill="1" applyAlignment="1">
      <alignment horizontal="right" vertical="center" indent="1"/>
    </xf>
    <xf numFmtId="0" fontId="178" fillId="35" borderId="221" xfId="39" applyFont="1" applyFill="1" applyBorder="1" applyAlignment="1">
      <alignment vertical="center"/>
    </xf>
    <xf numFmtId="0" fontId="178" fillId="35" borderId="222" xfId="39" applyFont="1" applyFill="1" applyBorder="1" applyAlignment="1">
      <alignment vertical="center"/>
    </xf>
    <xf numFmtId="0" fontId="179" fillId="35" borderId="222" xfId="39" applyFont="1" applyFill="1" applyBorder="1" applyAlignment="1">
      <alignment horizontal="right" vertical="center" indent="1"/>
    </xf>
    <xf numFmtId="3" fontId="178" fillId="35" borderId="222" xfId="39" applyNumberFormat="1" applyFont="1" applyFill="1" applyBorder="1" applyAlignment="1">
      <alignment horizontal="right" vertical="center" indent="1"/>
    </xf>
    <xf numFmtId="0" fontId="178" fillId="35" borderId="223" xfId="39" applyFont="1" applyFill="1" applyBorder="1" applyAlignment="1">
      <alignment vertical="center"/>
    </xf>
    <xf numFmtId="0" fontId="182" fillId="35" borderId="224" xfId="39" applyFont="1" applyFill="1" applyBorder="1" applyAlignment="1">
      <alignment vertical="center"/>
    </xf>
    <xf numFmtId="0" fontId="182" fillId="35" borderId="0" xfId="39" applyFont="1" applyFill="1" applyAlignment="1">
      <alignment vertical="center"/>
    </xf>
    <xf numFmtId="0" fontId="182" fillId="35" borderId="0" xfId="39" applyFont="1" applyFill="1" applyAlignment="1">
      <alignment horizontal="right" vertical="center" indent="1"/>
    </xf>
    <xf numFmtId="3" fontId="182" fillId="35" borderId="0" xfId="39" applyNumberFormat="1" applyFont="1" applyFill="1" applyAlignment="1">
      <alignment horizontal="right" vertical="center" indent="1"/>
    </xf>
    <xf numFmtId="0" fontId="182" fillId="35" borderId="225" xfId="39" applyFont="1" applyFill="1" applyBorder="1" applyAlignment="1">
      <alignment vertical="center"/>
    </xf>
    <xf numFmtId="0" fontId="183" fillId="0" borderId="0" xfId="39" applyFont="1" applyAlignment="1">
      <alignment horizontal="center" vertical="top"/>
    </xf>
    <xf numFmtId="0" fontId="173" fillId="34" borderId="0" xfId="39" applyFont="1" applyFill="1" applyAlignment="1">
      <alignment horizontal="center" vertical="top"/>
    </xf>
    <xf numFmtId="0" fontId="173" fillId="36" borderId="0" xfId="39" applyFont="1" applyFill="1" applyAlignment="1">
      <alignment horizontal="center" vertical="top"/>
    </xf>
    <xf numFmtId="0" fontId="173" fillId="37" borderId="0" xfId="39" applyFont="1" applyFill="1" applyAlignment="1">
      <alignment horizontal="center" vertical="top"/>
    </xf>
    <xf numFmtId="0" fontId="1" fillId="0" borderId="0" xfId="39" applyAlignment="1">
      <alignment horizontal="center" vertical="top"/>
    </xf>
    <xf numFmtId="0" fontId="173" fillId="21" borderId="0" xfId="39" applyFont="1" applyFill="1" applyAlignment="1">
      <alignment horizontal="center" vertical="top"/>
    </xf>
    <xf numFmtId="3" fontId="182" fillId="4" borderId="226" xfId="39" applyNumberFormat="1" applyFont="1" applyFill="1" applyBorder="1" applyAlignment="1" applyProtection="1">
      <alignment horizontal="right" vertical="center" indent="1"/>
      <protection locked="0"/>
    </xf>
    <xf numFmtId="3" fontId="184" fillId="38" borderId="219" xfId="39" applyNumberFormat="1" applyFont="1" applyFill="1" applyBorder="1" applyAlignment="1">
      <alignment horizontal="center" vertical="center"/>
    </xf>
    <xf numFmtId="1" fontId="185" fillId="39" borderId="0" xfId="39" applyNumberFormat="1" applyFont="1" applyFill="1" applyAlignment="1">
      <alignment horizontal="center" vertical="center"/>
    </xf>
    <xf numFmtId="1" fontId="1" fillId="31" borderId="0" xfId="39" applyNumberFormat="1" applyFill="1" applyAlignment="1">
      <alignment horizontal="center" vertical="center"/>
    </xf>
    <xf numFmtId="0" fontId="1" fillId="0" borderId="0" xfId="39" applyAlignment="1">
      <alignment horizontal="center" vertical="center"/>
    </xf>
    <xf numFmtId="3" fontId="186" fillId="25" borderId="0" xfId="39" applyNumberFormat="1" applyFont="1" applyFill="1" applyAlignment="1">
      <alignment horizontal="center" vertical="center"/>
    </xf>
    <xf numFmtId="0" fontId="178" fillId="35" borderId="227" xfId="39" applyFont="1" applyFill="1" applyBorder="1" applyAlignment="1">
      <alignment vertical="center"/>
    </xf>
    <xf numFmtId="0" fontId="178" fillId="35" borderId="228" xfId="39" applyFont="1" applyFill="1" applyBorder="1" applyAlignment="1">
      <alignment vertical="center"/>
    </xf>
    <xf numFmtId="0" fontId="179" fillId="35" borderId="228" xfId="39" applyFont="1" applyFill="1" applyBorder="1" applyAlignment="1">
      <alignment horizontal="right" vertical="center" indent="1"/>
    </xf>
    <xf numFmtId="3" fontId="178" fillId="35" borderId="228" xfId="39" applyNumberFormat="1" applyFont="1" applyFill="1" applyBorder="1" applyAlignment="1">
      <alignment horizontal="right" vertical="center" indent="1"/>
    </xf>
    <xf numFmtId="0" fontId="178" fillId="35" borderId="229" xfId="39" applyFont="1" applyFill="1" applyBorder="1" applyAlignment="1">
      <alignment vertical="center"/>
    </xf>
    <xf numFmtId="0" fontId="181" fillId="0" borderId="0" xfId="39" applyFont="1" applyAlignment="1">
      <alignment horizontal="right" vertical="center" indent="1"/>
    </xf>
    <xf numFmtId="3" fontId="187" fillId="0" borderId="0" xfId="39" applyNumberFormat="1" applyFont="1" applyAlignment="1">
      <alignment horizontal="right" vertical="center" indent="1"/>
    </xf>
    <xf numFmtId="0" fontId="188" fillId="0" borderId="0" xfId="39" applyFont="1" applyAlignment="1">
      <alignment vertical="top"/>
    </xf>
    <xf numFmtId="0" fontId="177" fillId="36" borderId="0" xfId="39" applyFont="1" applyFill="1" applyAlignment="1">
      <alignment vertical="center"/>
    </xf>
    <xf numFmtId="0" fontId="173" fillId="36" borderId="0" xfId="39" applyFont="1" applyFill="1" applyAlignment="1">
      <alignment horizontal="right" vertical="center" indent="1"/>
    </xf>
    <xf numFmtId="3" fontId="171" fillId="36" borderId="0" xfId="39" applyNumberFormat="1" applyFont="1" applyFill="1" applyAlignment="1">
      <alignment horizontal="right" vertical="center" indent="1"/>
    </xf>
    <xf numFmtId="3" fontId="173" fillId="36" borderId="0" xfId="39" applyNumberFormat="1" applyFont="1" applyFill="1" applyAlignment="1">
      <alignment horizontal="right" vertical="center" indent="1"/>
    </xf>
    <xf numFmtId="0" fontId="178" fillId="32" borderId="230" xfId="39" applyFont="1" applyFill="1" applyBorder="1" applyAlignment="1">
      <alignment vertical="center"/>
    </xf>
    <xf numFmtId="0" fontId="178" fillId="32" borderId="231" xfId="39" applyFont="1" applyFill="1" applyBorder="1" applyAlignment="1">
      <alignment vertical="center"/>
    </xf>
    <xf numFmtId="0" fontId="179" fillId="32" borderId="231" xfId="39" applyFont="1" applyFill="1" applyBorder="1" applyAlignment="1">
      <alignment horizontal="right" vertical="center" indent="1"/>
    </xf>
    <xf numFmtId="3" fontId="178" fillId="32" borderId="231" xfId="39" applyNumberFormat="1" applyFont="1" applyFill="1" applyBorder="1" applyAlignment="1">
      <alignment horizontal="right" vertical="center" indent="1"/>
    </xf>
    <xf numFmtId="0" fontId="178" fillId="32" borderId="232" xfId="39" applyFont="1" applyFill="1" applyBorder="1" applyAlignment="1">
      <alignment vertical="center"/>
    </xf>
    <xf numFmtId="0" fontId="189" fillId="32" borderId="233" xfId="39" applyFont="1" applyFill="1" applyBorder="1" applyAlignment="1">
      <alignment vertical="center"/>
    </xf>
    <xf numFmtId="0" fontId="189" fillId="32" borderId="0" xfId="39" applyFont="1" applyFill="1" applyAlignment="1">
      <alignment vertical="center"/>
    </xf>
    <xf numFmtId="0" fontId="189" fillId="32" borderId="0" xfId="39" applyFont="1" applyFill="1" applyAlignment="1">
      <alignment horizontal="right" vertical="center" indent="1"/>
    </xf>
    <xf numFmtId="3" fontId="189" fillId="32" borderId="0" xfId="39" applyNumberFormat="1" applyFont="1" applyFill="1" applyAlignment="1">
      <alignment horizontal="right" vertical="center" indent="1"/>
    </xf>
    <xf numFmtId="0" fontId="189" fillId="32" borderId="234" xfId="39" applyFont="1" applyFill="1" applyBorder="1" applyAlignment="1">
      <alignment vertical="center"/>
    </xf>
    <xf numFmtId="3" fontId="189" fillId="4" borderId="6" xfId="39" applyNumberFormat="1" applyFont="1" applyFill="1" applyBorder="1" applyAlignment="1" applyProtection="1">
      <alignment horizontal="right" vertical="center" indent="1"/>
      <protection locked="0"/>
    </xf>
    <xf numFmtId="0" fontId="178" fillId="32" borderId="235" xfId="39" applyFont="1" applyFill="1" applyBorder="1" applyAlignment="1">
      <alignment vertical="center"/>
    </xf>
    <xf numFmtId="0" fontId="178" fillId="32" borderId="236" xfId="39" applyFont="1" applyFill="1" applyBorder="1" applyAlignment="1">
      <alignment vertical="center"/>
    </xf>
    <xf numFmtId="0" fontId="179" fillId="32" borderId="236" xfId="39" applyFont="1" applyFill="1" applyBorder="1" applyAlignment="1">
      <alignment horizontal="right" vertical="center" indent="1"/>
    </xf>
    <xf numFmtId="3" fontId="178" fillId="32" borderId="236" xfId="39" applyNumberFormat="1" applyFont="1" applyFill="1" applyBorder="1" applyAlignment="1">
      <alignment horizontal="right" vertical="center" indent="1"/>
    </xf>
    <xf numFmtId="0" fontId="178" fillId="32" borderId="237" xfId="39" applyFont="1" applyFill="1" applyBorder="1" applyAlignment="1">
      <alignment vertical="center"/>
    </xf>
    <xf numFmtId="0" fontId="177" fillId="40" borderId="0" xfId="39" applyFont="1" applyFill="1" applyAlignment="1">
      <alignment vertical="center"/>
    </xf>
    <xf numFmtId="0" fontId="173" fillId="40" borderId="0" xfId="39" applyFont="1" applyFill="1" applyAlignment="1">
      <alignment horizontal="right" vertical="center" indent="1"/>
    </xf>
    <xf numFmtId="3" fontId="171" fillId="40" borderId="0" xfId="39" applyNumberFormat="1" applyFont="1" applyFill="1" applyAlignment="1">
      <alignment horizontal="right" vertical="center" indent="1"/>
    </xf>
    <xf numFmtId="3" fontId="173" fillId="40" borderId="0" xfId="39" applyNumberFormat="1" applyFont="1" applyFill="1" applyAlignment="1">
      <alignment horizontal="right" vertical="center" indent="1"/>
    </xf>
    <xf numFmtId="0" fontId="181" fillId="0" borderId="0" xfId="39" applyFont="1" applyAlignment="1">
      <alignment vertical="center"/>
    </xf>
    <xf numFmtId="0" fontId="177" fillId="23" borderId="0" xfId="39" applyFont="1" applyFill="1" applyAlignment="1">
      <alignment vertical="center"/>
    </xf>
    <xf numFmtId="0" fontId="173" fillId="23" borderId="0" xfId="39" applyFont="1" applyFill="1" applyAlignment="1">
      <alignment horizontal="right" vertical="center" indent="1"/>
    </xf>
    <xf numFmtId="3" fontId="171" fillId="23" borderId="0" xfId="39" applyNumberFormat="1" applyFont="1" applyFill="1" applyAlignment="1">
      <alignment horizontal="right" vertical="center" indent="1"/>
    </xf>
    <xf numFmtId="3" fontId="173" fillId="23" borderId="0" xfId="39" applyNumberFormat="1" applyFont="1" applyFill="1" applyAlignment="1">
      <alignment horizontal="right" vertical="center" indent="1"/>
    </xf>
    <xf numFmtId="0" fontId="178" fillId="25" borderId="238" xfId="39" applyFont="1" applyFill="1" applyBorder="1" applyAlignment="1">
      <alignment vertical="center"/>
    </xf>
    <xf numFmtId="0" fontId="178" fillId="25" borderId="239" xfId="39" applyFont="1" applyFill="1" applyBorder="1" applyAlignment="1">
      <alignment vertical="center"/>
    </xf>
    <xf numFmtId="0" fontId="179" fillId="25" borderId="239" xfId="39" applyFont="1" applyFill="1" applyBorder="1" applyAlignment="1">
      <alignment horizontal="right" vertical="center" indent="1"/>
    </xf>
    <xf numFmtId="3" fontId="178" fillId="25" borderId="239" xfId="39" applyNumberFormat="1" applyFont="1" applyFill="1" applyBorder="1" applyAlignment="1">
      <alignment horizontal="right" vertical="center" indent="1"/>
    </xf>
    <xf numFmtId="0" fontId="178" fillId="25" borderId="240" xfId="39" applyFont="1" applyFill="1" applyBorder="1" applyAlignment="1">
      <alignment vertical="center"/>
    </xf>
    <xf numFmtId="0" fontId="188" fillId="0" borderId="0" xfId="39" applyFont="1" applyAlignment="1">
      <alignment vertical="center"/>
    </xf>
    <xf numFmtId="0" fontId="191" fillId="25" borderId="241" xfId="39" applyFont="1" applyFill="1" applyBorder="1" applyAlignment="1">
      <alignment vertical="center"/>
    </xf>
    <xf numFmtId="0" fontId="191" fillId="25" borderId="0" xfId="39" applyFont="1" applyFill="1" applyAlignment="1">
      <alignment vertical="center"/>
    </xf>
    <xf numFmtId="0" fontId="191" fillId="25" borderId="0" xfId="39" applyFont="1" applyFill="1" applyAlignment="1">
      <alignment vertical="center" wrapText="1"/>
    </xf>
    <xf numFmtId="0" fontId="191" fillId="25" borderId="0" xfId="39" applyFont="1" applyFill="1" applyAlignment="1">
      <alignment horizontal="right" vertical="center" indent="1"/>
    </xf>
    <xf numFmtId="3" fontId="191" fillId="25" borderId="0" xfId="39" applyNumberFormat="1" applyFont="1" applyFill="1" applyAlignment="1">
      <alignment horizontal="right" vertical="center" indent="1"/>
    </xf>
    <xf numFmtId="3" fontId="191" fillId="25" borderId="242" xfId="39" applyNumberFormat="1" applyFont="1" applyFill="1" applyBorder="1" applyAlignment="1">
      <alignment horizontal="right" vertical="center" indent="1"/>
    </xf>
    <xf numFmtId="3" fontId="191" fillId="4" borderId="188" xfId="39" applyNumberFormat="1" applyFont="1" applyFill="1" applyBorder="1" applyAlignment="1" applyProtection="1">
      <alignment horizontal="right" vertical="center" indent="1"/>
      <protection locked="0"/>
    </xf>
    <xf numFmtId="0" fontId="191" fillId="25" borderId="243" xfId="39" applyFont="1" applyFill="1" applyBorder="1" applyAlignment="1">
      <alignment vertical="center"/>
    </xf>
    <xf numFmtId="0" fontId="178" fillId="25" borderId="244" xfId="39" applyFont="1" applyFill="1" applyBorder="1" applyAlignment="1">
      <alignment vertical="center"/>
    </xf>
    <xf numFmtId="0" fontId="178" fillId="25" borderId="245" xfId="39" applyFont="1" applyFill="1" applyBorder="1" applyAlignment="1">
      <alignment vertical="center"/>
    </xf>
    <xf numFmtId="0" fontId="179" fillId="25" borderId="245" xfId="39" applyFont="1" applyFill="1" applyBorder="1" applyAlignment="1">
      <alignment horizontal="right" vertical="center"/>
    </xf>
    <xf numFmtId="0" fontId="178" fillId="25" borderId="245" xfId="39" applyFont="1" applyFill="1" applyBorder="1" applyAlignment="1">
      <alignment horizontal="right" vertical="center"/>
    </xf>
    <xf numFmtId="0" fontId="178" fillId="25" borderId="246" xfId="39" applyFont="1" applyFill="1" applyBorder="1" applyAlignment="1">
      <alignment vertical="center"/>
    </xf>
    <xf numFmtId="0" fontId="176" fillId="0" borderId="0" xfId="39" applyFont="1" applyAlignment="1">
      <alignment vertical="top"/>
    </xf>
    <xf numFmtId="0" fontId="193" fillId="0" borderId="0" xfId="39" applyFont="1" applyAlignment="1">
      <alignment vertical="center"/>
    </xf>
    <xf numFmtId="0" fontId="174" fillId="0" borderId="0" xfId="39" applyFont="1" applyAlignment="1">
      <alignment vertical="top"/>
    </xf>
    <xf numFmtId="0" fontId="194" fillId="0" borderId="0" xfId="10" applyFont="1" applyAlignment="1">
      <alignment vertical="top"/>
    </xf>
    <xf numFmtId="0" fontId="1" fillId="41" borderId="73" xfId="39" applyFill="1" applyBorder="1" applyAlignment="1">
      <alignment vertical="center"/>
    </xf>
    <xf numFmtId="0" fontId="176" fillId="41" borderId="73" xfId="39" applyFont="1" applyFill="1" applyBorder="1" applyAlignment="1">
      <alignment vertical="center"/>
    </xf>
    <xf numFmtId="9" fontId="0" fillId="20" borderId="73" xfId="40" applyFont="1" applyFill="1" applyBorder="1" applyAlignment="1">
      <alignment vertical="center"/>
    </xf>
    <xf numFmtId="0" fontId="1" fillId="0" borderId="0" xfId="39" applyAlignment="1">
      <alignment horizontal="left" vertical="center"/>
    </xf>
    <xf numFmtId="0" fontId="1" fillId="41" borderId="73" xfId="39" applyFill="1" applyBorder="1" applyAlignment="1">
      <alignment vertical="center" wrapText="1"/>
    </xf>
    <xf numFmtId="0" fontId="176" fillId="41" borderId="73" xfId="39" applyFont="1" applyFill="1" applyBorder="1" applyAlignment="1">
      <alignment vertical="center" wrapText="1"/>
    </xf>
    <xf numFmtId="0" fontId="1" fillId="0" borderId="0" xfId="39" applyAlignment="1">
      <alignment horizontal="right" vertical="center"/>
    </xf>
    <xf numFmtId="0" fontId="186" fillId="0" borderId="0" xfId="39" applyFont="1" applyAlignment="1">
      <alignment horizontal="right" vertical="center"/>
    </xf>
    <xf numFmtId="0" fontId="195" fillId="0" borderId="0" xfId="39" applyFont="1" applyAlignment="1">
      <alignment vertical="top"/>
    </xf>
    <xf numFmtId="0" fontId="186" fillId="0" borderId="0" xfId="39" applyFont="1" applyAlignment="1">
      <alignment horizontal="right" vertical="top"/>
    </xf>
    <xf numFmtId="0" fontId="1" fillId="0" borderId="247" xfId="39" applyBorder="1" applyAlignment="1">
      <alignment horizontal="left" vertical="center"/>
    </xf>
    <xf numFmtId="0" fontId="172" fillId="42" borderId="247" xfId="39" applyFont="1" applyFill="1" applyBorder="1" applyAlignment="1">
      <alignment horizontal="left" vertical="center"/>
    </xf>
    <xf numFmtId="0" fontId="172" fillId="42" borderId="247" xfId="39" applyFont="1" applyFill="1" applyBorder="1" applyAlignment="1">
      <alignment horizontal="right" vertical="center"/>
    </xf>
    <xf numFmtId="0" fontId="174" fillId="27" borderId="247" xfId="39" applyFont="1" applyFill="1" applyBorder="1" applyAlignment="1">
      <alignment horizontal="right" vertical="center"/>
    </xf>
    <xf numFmtId="0" fontId="172" fillId="27" borderId="247" xfId="39" applyFont="1" applyFill="1" applyBorder="1" applyAlignment="1">
      <alignment horizontal="right" vertical="center"/>
    </xf>
    <xf numFmtId="0" fontId="1" fillId="0" borderId="247" xfId="39" applyBorder="1" applyAlignment="1">
      <alignment horizontal="right" vertical="center"/>
    </xf>
    <xf numFmtId="0" fontId="1" fillId="0" borderId="214" xfId="39" applyBorder="1" applyAlignment="1">
      <alignment horizontal="left" vertical="center"/>
    </xf>
    <xf numFmtId="0" fontId="1" fillId="0" borderId="214" xfId="39" applyBorder="1" applyAlignment="1">
      <alignment horizontal="right" vertical="center"/>
    </xf>
    <xf numFmtId="9" fontId="196" fillId="27" borderId="214" xfId="40" applyFont="1" applyFill="1" applyBorder="1" applyAlignment="1">
      <alignment horizontal="right" vertical="center"/>
    </xf>
    <xf numFmtId="164" fontId="1" fillId="27" borderId="214" xfId="39" applyNumberFormat="1" applyFill="1" applyBorder="1" applyAlignment="1">
      <alignment horizontal="right" vertical="center"/>
    </xf>
    <xf numFmtId="9" fontId="182" fillId="0" borderId="0" xfId="40" applyFont="1" applyAlignment="1">
      <alignment horizontal="right" vertical="center"/>
    </xf>
    <xf numFmtId="164" fontId="182" fillId="0" borderId="0" xfId="39" applyNumberFormat="1" applyFont="1" applyAlignment="1">
      <alignment horizontal="right" vertical="center"/>
    </xf>
    <xf numFmtId="0" fontId="172" fillId="42" borderId="0" xfId="39" applyFont="1" applyFill="1" applyAlignment="1">
      <alignment horizontal="left" vertical="center"/>
    </xf>
    <xf numFmtId="0" fontId="172" fillId="42" borderId="0" xfId="39" applyFont="1" applyFill="1" applyAlignment="1">
      <alignment horizontal="right" vertical="center"/>
    </xf>
    <xf numFmtId="9" fontId="182" fillId="4" borderId="0" xfId="40" applyFont="1" applyFill="1" applyAlignment="1">
      <alignment horizontal="right" vertical="center"/>
    </xf>
    <xf numFmtId="164" fontId="182" fillId="4" borderId="0" xfId="39" applyNumberFormat="1" applyFont="1" applyFill="1" applyAlignment="1">
      <alignment horizontal="right" vertical="center"/>
    </xf>
    <xf numFmtId="0" fontId="1" fillId="0" borderId="219" xfId="39" applyBorder="1" applyAlignment="1">
      <alignment horizontal="left" vertical="center"/>
    </xf>
    <xf numFmtId="0" fontId="1" fillId="0" borderId="219" xfId="39" applyBorder="1" applyAlignment="1">
      <alignment horizontal="right" vertical="center"/>
    </xf>
    <xf numFmtId="9" fontId="182" fillId="0" borderId="219" xfId="40" applyFont="1" applyBorder="1" applyAlignment="1">
      <alignment horizontal="right" vertical="center"/>
    </xf>
    <xf numFmtId="164" fontId="182" fillId="0" borderId="219" xfId="39" applyNumberFormat="1" applyFont="1" applyBorder="1" applyAlignment="1">
      <alignment horizontal="right" vertical="center"/>
    </xf>
    <xf numFmtId="0" fontId="1" fillId="0" borderId="0" xfId="39" applyAlignment="1">
      <alignment horizontal="right" vertical="top"/>
    </xf>
    <xf numFmtId="0" fontId="1" fillId="41" borderId="73" xfId="39" applyFill="1" applyBorder="1" applyAlignment="1">
      <alignment vertical="top"/>
    </xf>
    <xf numFmtId="1" fontId="1" fillId="20" borderId="73" xfId="39" applyNumberFormat="1" applyFill="1" applyBorder="1" applyAlignment="1">
      <alignment horizontal="right" vertical="top"/>
    </xf>
    <xf numFmtId="1" fontId="1" fillId="0" borderId="0" xfId="39" applyNumberFormat="1" applyAlignment="1">
      <alignment horizontal="right" vertical="top"/>
    </xf>
    <xf numFmtId="0" fontId="1" fillId="41" borderId="73" xfId="39" applyFill="1" applyBorder="1" applyAlignment="1">
      <alignment vertical="top" wrapText="1"/>
    </xf>
    <xf numFmtId="9" fontId="0" fillId="20" borderId="73" xfId="40" applyFont="1" applyFill="1" applyBorder="1" applyAlignment="1">
      <alignment vertical="top"/>
    </xf>
    <xf numFmtId="3" fontId="14" fillId="4" borderId="1" xfId="15" applyNumberFormat="1" applyAlignment="1">
      <alignment horizontal="left" vertical="center"/>
      <protection locked="0"/>
    </xf>
    <xf numFmtId="169" fontId="14" fillId="4" borderId="1" xfId="15" applyNumberFormat="1" applyAlignment="1">
      <alignment horizontal="left" vertical="center"/>
      <protection locked="0"/>
    </xf>
    <xf numFmtId="186" fontId="40" fillId="4" borderId="4" xfId="13" applyNumberFormat="1" applyFont="1" applyBorder="1" applyAlignment="1">
      <alignment horizontal="left" vertical="center"/>
    </xf>
    <xf numFmtId="186" fontId="0" fillId="0" borderId="4" xfId="0" applyNumberFormat="1" applyBorder="1" applyAlignment="1">
      <alignment horizontal="left" vertical="center"/>
    </xf>
    <xf numFmtId="0" fontId="119" fillId="3" borderId="187" xfId="11" applyFont="1" applyBorder="1" applyAlignment="1">
      <alignment horizontal="left" vertical="top"/>
    </xf>
    <xf numFmtId="0" fontId="153" fillId="0" borderId="187" xfId="0" applyFont="1" applyBorder="1" applyAlignment="1">
      <alignment horizontal="left" vertical="top"/>
    </xf>
    <xf numFmtId="3" fontId="13" fillId="5" borderId="1" xfId="14" applyNumberFormat="1" applyAlignment="1">
      <alignment horizontal="left" vertical="center"/>
    </xf>
    <xf numFmtId="0" fontId="48" fillId="3" borderId="0" xfId="11" applyFont="1" applyBorder="1" applyAlignment="1">
      <alignment wrapText="1"/>
    </xf>
    <xf numFmtId="0" fontId="0" fillId="0" borderId="0" xfId="0" applyAlignment="1">
      <alignment wrapText="1"/>
    </xf>
    <xf numFmtId="0" fontId="48" fillId="3" borderId="0" xfId="11" applyFont="1" applyBorder="1" applyAlignment="1">
      <alignment horizontal="center" wrapText="1"/>
    </xf>
    <xf numFmtId="0" fontId="0" fillId="0" borderId="0" xfId="0" applyAlignment="1">
      <alignment horizontal="center" wrapText="1"/>
    </xf>
    <xf numFmtId="0" fontId="37" fillId="4" borderId="1" xfId="15" applyNumberFormat="1" applyFont="1" applyAlignment="1">
      <alignment horizontal="left" vertical="center"/>
      <protection locked="0"/>
    </xf>
    <xf numFmtId="0" fontId="161" fillId="4" borderId="1" xfId="0" applyFont="1" applyFill="1" applyBorder="1" applyAlignment="1">
      <alignment vertical="center"/>
    </xf>
    <xf numFmtId="0" fontId="0" fillId="0" borderId="1" xfId="0" applyBorder="1" applyAlignment="1">
      <alignment horizontal="left" vertical="center"/>
    </xf>
    <xf numFmtId="169" fontId="13" fillId="5" borderId="1" xfId="14" applyNumberFormat="1" applyAlignment="1">
      <alignment horizontal="left" vertical="center"/>
    </xf>
    <xf numFmtId="0" fontId="0" fillId="0" borderId="1" xfId="0" applyBorder="1" applyAlignment="1">
      <alignment vertical="center"/>
    </xf>
    <xf numFmtId="0" fontId="0" fillId="0" borderId="1" xfId="0" applyBorder="1" applyAlignment="1" applyProtection="1">
      <alignment horizontal="left" vertical="center"/>
      <protection locked="0"/>
    </xf>
    <xf numFmtId="0" fontId="14" fillId="4" borderId="1" xfId="15" applyNumberFormat="1" applyAlignment="1">
      <alignment horizontal="left" vertical="center"/>
      <protection locked="0"/>
    </xf>
    <xf numFmtId="0" fontId="14" fillId="4" borderId="4" xfId="15" applyNumberFormat="1" applyBorder="1" applyAlignment="1">
      <alignment horizontal="left" vertical="center"/>
      <protection locked="0"/>
    </xf>
    <xf numFmtId="0" fontId="0" fillId="0" borderId="4" xfId="0" applyBorder="1" applyAlignment="1" applyProtection="1">
      <alignment horizontal="left" vertical="center"/>
      <protection locked="0"/>
    </xf>
    <xf numFmtId="0" fontId="13" fillId="5" borderId="1" xfId="14" applyAlignment="1">
      <alignment horizontal="left" vertical="center"/>
    </xf>
    <xf numFmtId="0" fontId="161" fillId="0" borderId="0" xfId="33" applyFont="1" applyAlignment="1">
      <alignment vertical="center"/>
    </xf>
    <xf numFmtId="0" fontId="0" fillId="0" borderId="0" xfId="0" applyAlignment="1">
      <alignment vertical="center"/>
    </xf>
    <xf numFmtId="1" fontId="1" fillId="4" borderId="2" xfId="39" applyNumberFormat="1" applyFill="1" applyBorder="1" applyAlignment="1" applyProtection="1">
      <alignment horizontal="right" vertical="center" indent="1"/>
      <protection locked="0"/>
    </xf>
    <xf numFmtId="192" fontId="1" fillId="4" borderId="2" xfId="39" applyNumberFormat="1" applyFill="1" applyBorder="1" applyAlignment="1" applyProtection="1">
      <alignment horizontal="right" vertical="center" indent="1"/>
      <protection locked="0"/>
    </xf>
    <xf numFmtId="0" fontId="190" fillId="0" borderId="0" xfId="39" applyFont="1" applyAlignment="1">
      <alignment horizontal="left" vertical="center"/>
    </xf>
    <xf numFmtId="49" fontId="14" fillId="4" borderId="1" xfId="15" applyNumberFormat="1" applyAlignment="1">
      <alignment horizontal="left" vertical="center"/>
      <protection locked="0"/>
    </xf>
    <xf numFmtId="49" fontId="0" fillId="0" borderId="1" xfId="0" applyNumberFormat="1" applyBorder="1" applyAlignment="1" applyProtection="1">
      <alignment horizontal="left" vertical="center"/>
      <protection locked="0"/>
    </xf>
    <xf numFmtId="0" fontId="0" fillId="0" borderId="4" xfId="0" applyBorder="1" applyAlignment="1">
      <alignment horizontal="left" vertical="center"/>
    </xf>
    <xf numFmtId="165" fontId="16" fillId="5" borderId="1" xfId="14" applyNumberFormat="1" applyFont="1" applyAlignment="1">
      <alignment horizontal="left" vertical="top" wrapText="1"/>
    </xf>
    <xf numFmtId="0" fontId="107" fillId="0" borderId="1" xfId="0" applyFont="1" applyBorder="1"/>
    <xf numFmtId="0" fontId="13" fillId="5" borderId="0" xfId="14" applyBorder="1" applyAlignment="1">
      <alignment horizontal="left" vertical="center"/>
    </xf>
    <xf numFmtId="0" fontId="0" fillId="0" borderId="0" xfId="0" applyAlignment="1">
      <alignment horizontal="left"/>
    </xf>
    <xf numFmtId="0" fontId="16" fillId="5" borderId="113" xfId="14" applyFont="1" applyBorder="1" applyAlignment="1">
      <alignment horizontal="left" vertical="top" wrapText="1"/>
    </xf>
    <xf numFmtId="0" fontId="0" fillId="0" borderId="114" xfId="0" applyBorder="1" applyAlignment="1">
      <alignment horizontal="left" vertical="top" wrapText="1"/>
    </xf>
    <xf numFmtId="3" fontId="14" fillId="4" borderId="1" xfId="15" applyNumberFormat="1" applyAlignment="1">
      <alignment horizontal="left" vertical="center" wrapText="1"/>
      <protection locked="0"/>
    </xf>
    <xf numFmtId="165" fontId="13" fillId="5" borderId="113" xfId="14" applyNumberFormat="1" applyBorder="1" applyAlignment="1">
      <alignment horizontal="left" vertical="top" wrapText="1"/>
    </xf>
    <xf numFmtId="3" fontId="14" fillId="4" borderId="113" xfId="15" applyNumberFormat="1" applyBorder="1" applyAlignment="1">
      <alignment horizontal="left" vertical="center" wrapText="1"/>
      <protection locked="0"/>
    </xf>
    <xf numFmtId="0" fontId="0" fillId="0" borderId="114" xfId="0" applyBorder="1" applyAlignment="1">
      <alignment vertical="center"/>
    </xf>
    <xf numFmtId="0" fontId="13" fillId="5" borderId="113" xfId="14" applyBorder="1" applyAlignment="1">
      <alignment horizontal="left" vertical="top" wrapText="1"/>
    </xf>
    <xf numFmtId="3" fontId="51" fillId="4" borderId="1" xfId="15" applyNumberFormat="1" applyFont="1" applyAlignment="1">
      <alignment horizontal="left" vertical="top" wrapText="1"/>
      <protection locked="0"/>
    </xf>
    <xf numFmtId="0" fontId="13" fillId="5" borderId="7" xfId="14" applyBorder="1" applyAlignment="1">
      <alignment horizontal="left" vertical="center"/>
    </xf>
    <xf numFmtId="0" fontId="3" fillId="0" borderId="114" xfId="35" applyBorder="1" applyAlignment="1">
      <alignment horizontal="left" vertical="top" wrapText="1"/>
    </xf>
    <xf numFmtId="0" fontId="107" fillId="0" borderId="1" xfId="35" applyFont="1" applyBorder="1"/>
    <xf numFmtId="0" fontId="3" fillId="0" borderId="1" xfId="35" applyBorder="1" applyAlignment="1">
      <alignment vertical="center"/>
    </xf>
    <xf numFmtId="0" fontId="3" fillId="0" borderId="114" xfId="35" applyBorder="1" applyAlignment="1">
      <alignment vertical="center"/>
    </xf>
    <xf numFmtId="186" fontId="3" fillId="0" borderId="4" xfId="35" applyNumberFormat="1" applyBorder="1" applyAlignment="1">
      <alignment horizontal="left" vertical="center"/>
    </xf>
    <xf numFmtId="0" fontId="3" fillId="0" borderId="4" xfId="35" applyBorder="1" applyAlignment="1">
      <alignment horizontal="left" vertical="center"/>
    </xf>
    <xf numFmtId="3" fontId="13" fillId="5" borderId="1" xfId="14" applyNumberFormat="1" applyAlignment="1">
      <alignment horizontal="center" vertical="center"/>
    </xf>
    <xf numFmtId="169" fontId="13" fillId="5" borderId="1" xfId="14" applyNumberFormat="1" applyAlignment="1">
      <alignment horizontal="center" vertical="center"/>
    </xf>
    <xf numFmtId="0" fontId="109" fillId="3" borderId="0" xfId="11" applyFont="1" applyAlignment="1">
      <alignment horizontal="right" textRotation="90"/>
    </xf>
    <xf numFmtId="0" fontId="13" fillId="5" borderId="4" xfId="14" applyBorder="1" applyAlignment="1">
      <alignment horizontal="left" vertical="center"/>
    </xf>
    <xf numFmtId="186" fontId="11" fillId="0" borderId="4" xfId="37" applyNumberFormat="1" applyBorder="1" applyAlignment="1">
      <alignment horizontal="left" vertical="center"/>
    </xf>
    <xf numFmtId="0" fontId="40" fillId="4" borderId="4" xfId="13" applyFont="1" applyBorder="1" applyAlignment="1">
      <alignment horizontal="left" vertical="center"/>
    </xf>
    <xf numFmtId="0" fontId="11" fillId="0" borderId="4" xfId="37" applyBorder="1" applyAlignment="1">
      <alignment horizontal="left" vertical="center"/>
    </xf>
    <xf numFmtId="0" fontId="14" fillId="4" borderId="1" xfId="15" applyNumberFormat="1" applyAlignment="1">
      <alignment horizontal="left" vertical="center" wrapText="1"/>
      <protection locked="0"/>
    </xf>
    <xf numFmtId="9" fontId="95" fillId="21" borderId="39" xfId="20" applyFont="1" applyFill="1" applyBorder="1" applyAlignment="1" applyProtection="1">
      <alignment horizontal="center" vertical="center"/>
    </xf>
    <xf numFmtId="9" fontId="13" fillId="3" borderId="0" xfId="16" applyNumberFormat="1" applyBorder="1" applyAlignment="1">
      <alignment horizontal="center" vertical="center"/>
    </xf>
    <xf numFmtId="0" fontId="13" fillId="3" borderId="0" xfId="16" applyBorder="1" applyAlignment="1">
      <alignment horizontal="center" vertical="center"/>
    </xf>
    <xf numFmtId="0" fontId="92" fillId="3" borderId="0" xfId="33" applyFill="1" applyAlignment="1">
      <alignment vertical="top"/>
    </xf>
    <xf numFmtId="0" fontId="92" fillId="0" borderId="0" xfId="33" applyAlignment="1">
      <alignment vertical="top"/>
    </xf>
    <xf numFmtId="0" fontId="100" fillId="26" borderId="55" xfId="0" applyFont="1" applyFill="1" applyBorder="1" applyAlignment="1">
      <alignment horizontal="center" vertical="top" wrapText="1"/>
    </xf>
    <xf numFmtId="0" fontId="100" fillId="26" borderId="74" xfId="0" applyFont="1" applyFill="1" applyBorder="1" applyAlignment="1">
      <alignment horizontal="center" vertical="top" wrapText="1"/>
    </xf>
    <xf numFmtId="0" fontId="100" fillId="26" borderId="56" xfId="0" applyFont="1" applyFill="1" applyBorder="1" applyAlignment="1">
      <alignment horizontal="center" vertical="center"/>
    </xf>
    <xf numFmtId="0" fontId="100" fillId="26" borderId="58" xfId="0" applyFont="1" applyFill="1" applyBorder="1" applyAlignment="1">
      <alignment horizontal="center" vertical="center"/>
    </xf>
    <xf numFmtId="0" fontId="100" fillId="26" borderId="63" xfId="0" applyFont="1" applyFill="1" applyBorder="1" applyAlignment="1">
      <alignment horizontal="center" vertical="center"/>
    </xf>
    <xf numFmtId="0" fontId="100" fillId="26" borderId="65" xfId="0" applyFont="1" applyFill="1" applyBorder="1" applyAlignment="1">
      <alignment horizontal="center" vertical="center"/>
    </xf>
    <xf numFmtId="0" fontId="100" fillId="26" borderId="59" xfId="0" applyFont="1" applyFill="1" applyBorder="1" applyAlignment="1">
      <alignment horizontal="center" vertical="top" wrapText="1"/>
    </xf>
    <xf numFmtId="0" fontId="100" fillId="26" borderId="56" xfId="0" applyFont="1" applyFill="1" applyBorder="1" applyAlignment="1">
      <alignment horizontal="center" vertical="center" wrapText="1"/>
    </xf>
    <xf numFmtId="0" fontId="100" fillId="26" borderId="57" xfId="0" applyFont="1" applyFill="1" applyBorder="1" applyAlignment="1">
      <alignment horizontal="center" vertical="center" wrapText="1"/>
    </xf>
    <xf numFmtId="0" fontId="100" fillId="26" borderId="58" xfId="0" applyFont="1" applyFill="1" applyBorder="1" applyAlignment="1">
      <alignment horizontal="center" vertical="center" wrapText="1"/>
    </xf>
    <xf numFmtId="0" fontId="100" fillId="26" borderId="66" xfId="0" applyFont="1" applyFill="1" applyBorder="1" applyAlignment="1">
      <alignment horizontal="center" vertical="center" wrapText="1"/>
    </xf>
    <xf numFmtId="0" fontId="100" fillId="26" borderId="61" xfId="0" applyFont="1" applyFill="1" applyBorder="1" applyAlignment="1">
      <alignment horizontal="center" vertical="center" wrapText="1"/>
    </xf>
    <xf numFmtId="0" fontId="100" fillId="26" borderId="67" xfId="0" applyFont="1" applyFill="1" applyBorder="1" applyAlignment="1">
      <alignment horizontal="center" vertical="center" wrapText="1"/>
    </xf>
    <xf numFmtId="0" fontId="99" fillId="26" borderId="15" xfId="0" applyFont="1" applyFill="1" applyBorder="1" applyAlignment="1">
      <alignment horizontal="right" vertical="center" wrapText="1"/>
    </xf>
    <xf numFmtId="0" fontId="99" fillId="26" borderId="53" xfId="0" applyFont="1" applyFill="1" applyBorder="1" applyAlignment="1">
      <alignment horizontal="right" vertical="center" wrapText="1"/>
    </xf>
    <xf numFmtId="0" fontId="99" fillId="26" borderId="60" xfId="0" applyFont="1" applyFill="1" applyBorder="1" applyAlignment="1">
      <alignment horizontal="right" vertical="center" wrapText="1"/>
    </xf>
    <xf numFmtId="0" fontId="99" fillId="26" borderId="61" xfId="0" applyFont="1" applyFill="1" applyBorder="1" applyAlignment="1">
      <alignment horizontal="right" vertical="center" wrapText="1"/>
    </xf>
    <xf numFmtId="0" fontId="100" fillId="26" borderId="15" xfId="0" applyFont="1" applyFill="1" applyBorder="1" applyAlignment="1">
      <alignment horizontal="center" vertical="top" wrapText="1"/>
    </xf>
    <xf numFmtId="0" fontId="100" fillId="26" borderId="53" xfId="0" applyFont="1" applyFill="1" applyBorder="1" applyAlignment="1">
      <alignment horizontal="center" vertical="top" wrapText="1"/>
    </xf>
    <xf numFmtId="0" fontId="100" fillId="26" borderId="54" xfId="0" applyFont="1" applyFill="1" applyBorder="1" applyAlignment="1">
      <alignment horizontal="center" vertical="top" wrapText="1"/>
    </xf>
    <xf numFmtId="0" fontId="100" fillId="26" borderId="60" xfId="0" applyFont="1" applyFill="1" applyBorder="1" applyAlignment="1">
      <alignment horizontal="center" vertical="top" wrapText="1"/>
    </xf>
    <xf numFmtId="0" fontId="100" fillId="26" borderId="61" xfId="0" applyFont="1" applyFill="1" applyBorder="1" applyAlignment="1">
      <alignment horizontal="center" vertical="top" wrapText="1"/>
    </xf>
    <xf numFmtId="0" fontId="100" fillId="26" borderId="62" xfId="0" applyFont="1" applyFill="1" applyBorder="1" applyAlignment="1">
      <alignment horizontal="center" vertical="top" wrapText="1"/>
    </xf>
    <xf numFmtId="0" fontId="100" fillId="26" borderId="63" xfId="0" applyFont="1" applyFill="1" applyBorder="1" applyAlignment="1">
      <alignment horizontal="center" vertical="center" wrapText="1"/>
    </xf>
    <xf numFmtId="0" fontId="100" fillId="26" borderId="64" xfId="0" applyFont="1" applyFill="1" applyBorder="1" applyAlignment="1">
      <alignment horizontal="center" vertical="center" wrapText="1"/>
    </xf>
    <xf numFmtId="0" fontId="100" fillId="26" borderId="65" xfId="0" applyFont="1" applyFill="1" applyBorder="1" applyAlignment="1">
      <alignment horizontal="center" vertical="center" wrapText="1"/>
    </xf>
    <xf numFmtId="0" fontId="0" fillId="0" borderId="0" xfId="0" applyAlignment="1">
      <alignment vertical="top"/>
    </xf>
    <xf numFmtId="165" fontId="14" fillId="4" borderId="1" xfId="15" applyNumberFormat="1" applyAlignment="1">
      <alignment horizontal="center" vertical="center"/>
      <protection locked="0"/>
    </xf>
    <xf numFmtId="0" fontId="13" fillId="3" borderId="1" xfId="16" applyAlignment="1">
      <alignment horizontal="center" vertical="center"/>
    </xf>
    <xf numFmtId="167" fontId="13" fillId="5" borderId="1" xfId="14" applyNumberFormat="1" applyAlignment="1">
      <alignment horizontal="center" vertical="center"/>
    </xf>
    <xf numFmtId="165" fontId="12" fillId="10" borderId="1" xfId="7" applyAlignment="1">
      <alignment horizontal="center" vertical="center"/>
    </xf>
    <xf numFmtId="0" fontId="38" fillId="3" borderId="0" xfId="12" applyAlignment="1">
      <alignment horizontal="left" vertical="center" wrapText="1"/>
    </xf>
  </cellXfs>
  <cellStyles count="41">
    <cellStyle name="basis" xfId="24" xr:uid="{26D07C1E-8B0F-4A26-BB08-5ECFF9311A4E}"/>
    <cellStyle name="CELHOOGTE" xfId="27" xr:uid="{CE49F4B5-B2CC-417C-ACDF-268727E87A67}"/>
    <cellStyle name="GPR HULP Invoer 'Bibliotheek'" xfId="18" xr:uid="{D6100638-5F0B-41AF-B260-CF5595C69E97}"/>
    <cellStyle name="GPR HULP Kop" xfId="19" xr:uid="{B23DFF25-BE90-4ACF-B7B0-ED295413AA56}"/>
    <cellStyle name="GPR HULP Lege Ruimte" xfId="13" xr:uid="{251651AC-68C4-4738-9DD2-0238C8D429B0}"/>
    <cellStyle name="GPR HULP Score" xfId="7" xr:uid="{06EFFFAE-3E5C-4760-B650-D4299A89A55F}"/>
    <cellStyle name="GPR HULP Symbool Helptekst" xfId="22" xr:uid="{E5DEBE15-8E70-4F33-92D9-5EC6FB00E0BB}"/>
    <cellStyle name="GPR HULP Tabel Kader" xfId="11" xr:uid="{BDE05E28-2A5F-4435-B2E4-167FEBC617AC}"/>
    <cellStyle name="GPR HULP Tabel Kader Voetnoot" xfId="12" xr:uid="{DE6FC087-F2BF-42A0-BC1B-547174F5C0D9}"/>
    <cellStyle name="GPR HULP Tabel Titelbalk" xfId="17" xr:uid="{C4469273-1C38-4018-BB74-D89FA37E1D51}"/>
    <cellStyle name="GPR HULP Tabelinvoer" xfId="15" xr:uid="{0E8E6F20-D2C2-4BC5-A876-7C8849DCB00D}"/>
    <cellStyle name="GPR HULP Tabeltekst" xfId="14" xr:uid="{1BBAB752-6348-4E60-A475-BF8D84834A0F}"/>
    <cellStyle name="GPR HULP Tabeltekst Koppen" xfId="16" xr:uid="{DF1E7A47-DDD6-4EFC-B644-06330564B12E}"/>
    <cellStyle name="Groen_kop" xfId="3" xr:uid="{1FB9D09D-294B-40BE-B312-E0F1DD91322E}"/>
    <cellStyle name="Hyperlink" xfId="33" builtinId="8"/>
    <cellStyle name="Hyperlink 2" xfId="2" xr:uid="{15787CC8-D8A0-49AA-9E1D-0D568C2649AD}"/>
    <cellStyle name="Hyperlink 3" xfId="10" xr:uid="{22F93AE2-94D3-465D-A8D4-9FB4C8AD2C9A}"/>
    <cellStyle name="info" xfId="25" xr:uid="{3D62092F-DD20-4920-95EE-BBBC2D7D6683}"/>
    <cellStyle name="Invoer 2" xfId="6" xr:uid="{EE84B278-25E2-4808-9F1B-DB0CAC662D8E}"/>
    <cellStyle name="Licht_oranje" xfId="4" xr:uid="{CA290F1D-D73E-45F5-BE5F-DCAF6B3653A7}"/>
    <cellStyle name="Normal" xfId="0" builtinId="0"/>
    <cellStyle name="onderschrift" xfId="28" xr:uid="{461AD8F8-E0B9-46FE-B147-3E554858BF92}"/>
    <cellStyle name="Percent" xfId="20" builtinId="5"/>
    <cellStyle name="Procent 2" xfId="9" xr:uid="{3D69BE2C-4C68-45DC-8BC8-3B334C281087}"/>
    <cellStyle name="Procent 3" xfId="36" xr:uid="{DC878562-146E-4525-9FEE-D193E3B1669D}"/>
    <cellStyle name="Procent 4" xfId="40" xr:uid="{EA0C42FC-76F8-486D-855A-FA1EC7DB530E}"/>
    <cellStyle name="Standaard 2" xfId="1" xr:uid="{85C8E762-6C2D-4A38-AFD8-6A6706E31FC6}"/>
    <cellStyle name="Standaard 2 2" xfId="37" xr:uid="{41FD149B-99AD-4C37-A93C-19D4BE31815A}"/>
    <cellStyle name="Standaard 3" xfId="8" xr:uid="{D475EA9D-0484-40CE-9381-723F7B1CC5C7}"/>
    <cellStyle name="Standaard 4" xfId="21" xr:uid="{2465B7DB-344A-48C9-A11C-04D74674579F}"/>
    <cellStyle name="Standaard 5" xfId="34" xr:uid="{0232149D-E011-411F-BB2E-429EF33830A8}"/>
    <cellStyle name="Standaard 6" xfId="35" xr:uid="{96D15A23-7814-433E-9319-1C6648E3D41B}"/>
    <cellStyle name="Standaard 7" xfId="38" xr:uid="{D519A0D3-4D64-4449-81B0-29798EBC11F8}"/>
    <cellStyle name="Standaard 8" xfId="39" xr:uid="{F06F37A0-CDED-433B-9713-44F7D80441A7}"/>
    <cellStyle name="Tabelkop_energiepost_tekst" xfId="32" xr:uid="{D6ADCC9B-D528-4F50-9179-BBA10F2A6886}"/>
    <cellStyle name="tabeltekst" xfId="29" xr:uid="{7A8A018F-F9E3-48C8-8B4D-18FDD4DF43A3}"/>
    <cellStyle name="tabeltekst - resultaat" xfId="30" xr:uid="{333ACBC0-914D-441E-A138-073FFD332FE5}"/>
    <cellStyle name="tabeltekst_toelichting_tabel" xfId="31" xr:uid="{4CE3AE2D-B61E-4B08-A88E-CD4767F503DF}"/>
    <cellStyle name="tekst selectie" xfId="26" xr:uid="{2FA8F26B-83FE-49A0-9A5F-114849EBFD6E}"/>
    <cellStyle name="Tekst_oranje" xfId="5" xr:uid="{EB75401C-6702-44D8-8CD0-ED954122C118}"/>
    <cellStyle name="TITELBALK" xfId="23" xr:uid="{C043E398-5EF4-41DA-9C3E-B6FDA8E4AD82}"/>
  </cellStyles>
  <dxfs count="218">
    <dxf>
      <font>
        <color rgb="FFC00000"/>
      </font>
    </dxf>
    <dxf>
      <font>
        <color theme="0" tint="-0.34998626667073579"/>
      </font>
    </dxf>
    <dxf>
      <font>
        <color rgb="FFEDF0F7"/>
      </font>
    </dxf>
    <dxf>
      <font>
        <color theme="0" tint="-0.34998626667073579"/>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E4E9F4"/>
      </font>
      <fill>
        <patternFill>
          <bgColor rgb="FFE4E9F4"/>
        </patternFill>
      </fill>
      <border>
        <bottom/>
      </border>
    </dxf>
    <dxf>
      <fill>
        <patternFill>
          <bgColor rgb="FFFF0000"/>
        </patternFill>
      </fill>
    </dxf>
    <dxf>
      <font>
        <color rgb="FFE4E9F4"/>
      </font>
      <fill>
        <patternFill>
          <bgColor rgb="FFE4E9F4"/>
        </patternFill>
      </fill>
      <border>
        <bottom/>
      </border>
    </dxf>
    <dxf>
      <fill>
        <patternFill>
          <bgColor rgb="FFFF0000"/>
        </patternFill>
      </fill>
    </dxf>
    <dxf>
      <font>
        <color theme="0"/>
      </font>
      <fill>
        <patternFill>
          <bgColor rgb="FFFF0000"/>
        </patternFill>
      </fill>
    </dxf>
    <dxf>
      <fill>
        <patternFill>
          <bgColor rgb="FFFF0000"/>
        </patternFill>
      </fill>
    </dxf>
    <dxf>
      <font>
        <color theme="0"/>
      </font>
      <fill>
        <patternFill>
          <bgColor rgb="FFFF0000"/>
        </patternFill>
      </fill>
    </dxf>
    <dxf>
      <font>
        <color theme="0"/>
      </font>
      <fill>
        <patternFill>
          <bgColor rgb="FFFF0000"/>
        </patternFill>
      </fill>
    </dxf>
    <dxf>
      <font>
        <color rgb="FFEDF0F7"/>
      </font>
      <fill>
        <patternFill>
          <bgColor rgb="FFEDF0F7"/>
        </patternFill>
      </fill>
      <border>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31313F"/>
      </font>
      <fill>
        <patternFill>
          <bgColor theme="0"/>
        </patternFill>
      </fill>
      <border>
        <vertical/>
        <horizontal/>
      </border>
    </dxf>
    <dxf>
      <fill>
        <patternFill>
          <bgColor rgb="FFFF0000"/>
        </patternFill>
      </fill>
    </dxf>
    <dxf>
      <font>
        <color theme="0" tint="-0.14996795556505021"/>
      </font>
    </dxf>
    <dxf>
      <font>
        <color theme="0" tint="-0.14996795556505021"/>
      </font>
      <fill>
        <patternFill>
          <bgColor rgb="FFFDEED9"/>
        </patternFill>
      </fill>
      <border>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31313F"/>
      </font>
      <fill>
        <patternFill>
          <bgColor theme="0"/>
        </patternFill>
      </fill>
      <border>
        <vertical/>
        <horizontal/>
      </border>
    </dxf>
    <dxf>
      <fill>
        <patternFill>
          <bgColor rgb="FFFF0000"/>
        </patternFill>
      </fill>
    </dxf>
    <dxf>
      <font>
        <color theme="0" tint="-0.14996795556505021"/>
      </font>
      <fill>
        <patternFill>
          <bgColor rgb="FFFDEED9"/>
        </patternFill>
      </fill>
      <border>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31313F"/>
      </font>
      <fill>
        <patternFill>
          <bgColor theme="0"/>
        </patternFill>
      </fill>
      <border>
        <vertical/>
        <horizontal/>
      </border>
    </dxf>
    <dxf>
      <fill>
        <patternFill>
          <bgColor rgb="FFFF0000"/>
        </patternFill>
      </fill>
    </dxf>
    <dxf>
      <font>
        <color theme="0" tint="-0.14996795556505021"/>
      </font>
    </dxf>
    <dxf>
      <font>
        <color theme="0" tint="-0.14996795556505021"/>
      </font>
      <fill>
        <patternFill>
          <bgColor rgb="FFFDEED9"/>
        </patternFill>
      </fill>
      <border>
        <left style="thin">
          <color theme="0" tint="-0.14996795556505021"/>
        </left>
        <right style="thin">
          <color theme="0" tint="-0.14996795556505021"/>
        </right>
        <top style="thin">
          <color theme="0" tint="-0.14996795556505021"/>
        </top>
        <bottom style="thin">
          <color theme="0" tint="-0.14996795556505021"/>
        </bottom>
        <vertical/>
        <horizontal/>
      </border>
    </dxf>
    <dxf>
      <font>
        <color rgb="FF31313F"/>
      </font>
      <fill>
        <patternFill>
          <bgColor theme="0"/>
        </patternFill>
      </fill>
      <border>
        <vertical/>
        <horizontal/>
      </border>
    </dxf>
    <dxf>
      <fill>
        <patternFill>
          <bgColor theme="9" tint="0.79998168889431442"/>
        </patternFill>
      </fill>
    </dxf>
    <dxf>
      <font>
        <color rgb="FFEDF0F7"/>
      </font>
      <fill>
        <patternFill>
          <bgColor rgb="FFEDF0F7"/>
        </patternFill>
      </fill>
    </dxf>
    <dxf>
      <font>
        <color rgb="FFEDF0F7"/>
      </font>
      <fill>
        <patternFill>
          <bgColor rgb="FFEDF0F7"/>
        </patternFill>
      </fill>
    </dxf>
    <dxf>
      <font>
        <color rgb="FFFF0000"/>
      </font>
    </dxf>
    <dxf>
      <font>
        <color rgb="FFFF0000"/>
      </font>
    </dxf>
    <dxf>
      <font>
        <color theme="0" tint="-0.24994659260841701"/>
      </font>
    </dxf>
    <dxf>
      <font>
        <color theme="0" tint="-0.24994659260841701"/>
      </font>
    </dxf>
    <dxf>
      <font>
        <color rgb="FF31313F"/>
      </font>
      <fill>
        <patternFill>
          <bgColor theme="0"/>
        </patternFill>
      </fill>
      <border>
        <vertical/>
        <horizontal/>
      </border>
    </dxf>
    <dxf>
      <fill>
        <patternFill>
          <bgColor rgb="FFFF0000"/>
        </patternFill>
      </fill>
    </dxf>
    <dxf>
      <font>
        <color theme="0"/>
      </font>
      <fill>
        <patternFill>
          <bgColor rgb="FFFF0000"/>
        </patternFill>
      </fill>
    </dxf>
    <dxf>
      <font>
        <color theme="0" tint="-0.24994659260841701"/>
      </font>
    </dxf>
    <dxf>
      <font>
        <color theme="0"/>
      </font>
      <fill>
        <patternFill>
          <bgColor rgb="FFFF0000"/>
        </patternFill>
      </fill>
    </dxf>
    <dxf>
      <font>
        <color theme="0" tint="-0.24994659260841701"/>
      </font>
    </dxf>
    <dxf>
      <font>
        <color rgb="FF31313F"/>
      </font>
      <fill>
        <patternFill>
          <bgColor theme="0"/>
        </patternFill>
      </fill>
      <border>
        <vertical/>
        <horizontal/>
      </border>
    </dxf>
    <dxf>
      <fill>
        <patternFill>
          <bgColor rgb="FFFF0000"/>
        </patternFill>
      </fill>
    </dxf>
    <dxf>
      <font>
        <color theme="0" tint="-0.24994659260841701"/>
      </font>
    </dxf>
    <dxf>
      <font>
        <color theme="0"/>
      </font>
      <fill>
        <patternFill>
          <bgColor rgb="FFFF0000"/>
        </patternFill>
      </fill>
    </dxf>
    <dxf>
      <font>
        <color rgb="FF31313F"/>
      </font>
      <fill>
        <patternFill>
          <bgColor theme="0"/>
        </patternFill>
      </fill>
    </dxf>
    <dxf>
      <font>
        <color theme="0"/>
      </font>
      <fill>
        <patternFill>
          <bgColor rgb="FFFF0000"/>
        </patternFill>
      </fill>
    </dxf>
    <dxf>
      <font>
        <color theme="0"/>
      </font>
      <fill>
        <patternFill>
          <bgColor rgb="FFFF0000"/>
        </patternFill>
      </fill>
    </dxf>
    <dxf>
      <font>
        <color rgb="FF31313F"/>
      </font>
      <fill>
        <patternFill>
          <bgColor theme="0"/>
        </patternFill>
      </fill>
    </dxf>
    <dxf>
      <font>
        <color rgb="FF31313F"/>
      </font>
      <fill>
        <patternFill>
          <bgColor theme="0"/>
        </patternFill>
      </fill>
    </dxf>
    <dxf>
      <font>
        <color rgb="FF31313F"/>
      </font>
      <fill>
        <patternFill>
          <bgColor theme="0"/>
        </patternFill>
      </fill>
    </dxf>
    <dxf>
      <font>
        <color rgb="FF31313F"/>
      </font>
      <fill>
        <patternFill>
          <bgColor theme="0"/>
        </patternFill>
      </fill>
    </dxf>
    <dxf>
      <font>
        <color theme="0"/>
      </font>
      <fill>
        <patternFill>
          <bgColor rgb="FFFF0000"/>
        </patternFill>
      </fill>
    </dxf>
    <dxf>
      <font>
        <color rgb="FF31313F"/>
      </font>
      <fill>
        <patternFill>
          <bgColor theme="0"/>
        </patternFill>
      </fill>
    </dxf>
    <dxf>
      <font>
        <color theme="0"/>
      </font>
      <fill>
        <patternFill>
          <bgColor rgb="FFFF0000"/>
        </patternFill>
      </fill>
    </dxf>
    <dxf>
      <font>
        <color rgb="FF31313F"/>
      </font>
      <fill>
        <patternFill>
          <bgColor theme="0"/>
        </patternFill>
      </fill>
    </dxf>
    <dxf>
      <font>
        <color theme="0"/>
      </font>
      <fill>
        <patternFill>
          <bgColor rgb="FFFF0000"/>
        </patternFill>
      </fill>
    </dxf>
    <dxf>
      <font>
        <color rgb="FF31313F"/>
      </font>
      <fill>
        <patternFill>
          <bgColor theme="0"/>
        </patternFill>
      </fill>
    </dxf>
    <dxf>
      <font>
        <color theme="0"/>
      </font>
      <fill>
        <patternFill>
          <bgColor rgb="FFFF0000"/>
        </patternFill>
      </fill>
    </dxf>
    <dxf>
      <font>
        <color rgb="FF31313F"/>
      </font>
      <fill>
        <patternFill>
          <bgColor theme="0"/>
        </patternFill>
      </fill>
    </dxf>
    <dxf>
      <font>
        <color theme="0"/>
      </font>
      <fill>
        <patternFill>
          <bgColor rgb="FFFF0000"/>
        </patternFill>
      </fill>
    </dxf>
    <dxf>
      <font>
        <color theme="0"/>
      </font>
      <fill>
        <patternFill>
          <bgColor rgb="FFFF0000"/>
        </patternFill>
      </fill>
    </dxf>
    <dxf>
      <font>
        <color rgb="FF31313F"/>
      </font>
      <fill>
        <patternFill>
          <bgColor theme="0"/>
        </patternFill>
      </fill>
    </dxf>
    <dxf>
      <font>
        <color rgb="FF31313F"/>
      </font>
      <fill>
        <patternFill>
          <bgColor theme="0"/>
        </patternFill>
      </fill>
    </dxf>
    <dxf>
      <font>
        <color theme="0"/>
      </font>
      <fill>
        <patternFill>
          <bgColor rgb="FFFF0000"/>
        </patternFill>
      </fill>
    </dxf>
    <dxf>
      <font>
        <color rgb="FF31313F"/>
      </font>
      <fill>
        <patternFill>
          <bgColor theme="0"/>
        </patternFill>
      </fill>
    </dxf>
    <dxf>
      <font>
        <color theme="0"/>
      </font>
      <fill>
        <patternFill>
          <bgColor rgb="FFFF0000"/>
        </patternFill>
      </fill>
    </dxf>
    <dxf>
      <font>
        <color rgb="FF31313F"/>
      </font>
      <fill>
        <patternFill>
          <bgColor theme="0"/>
        </patternFill>
      </fill>
    </dxf>
    <dxf>
      <font>
        <color theme="0"/>
      </font>
      <fill>
        <patternFill>
          <bgColor rgb="FFFF0000"/>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font>
      <fill>
        <patternFill>
          <bgColor rgb="FFFF0000"/>
        </patternFill>
      </fill>
    </dxf>
    <dxf>
      <font>
        <color rgb="FFE4E9F4"/>
      </font>
      <fill>
        <patternFill>
          <bgColor rgb="FFE4E9F4"/>
        </patternFill>
      </fill>
    </dxf>
    <dxf>
      <border>
        <left style="thin">
          <color theme="5"/>
        </left>
        <right style="thin">
          <color theme="5"/>
        </right>
        <top style="thin">
          <color theme="5"/>
        </top>
        <bottom style="thin">
          <color theme="5"/>
        </bottom>
        <vertical/>
        <horizontal/>
      </border>
    </dxf>
    <dxf>
      <font>
        <color rgb="FFFF0000"/>
      </font>
    </dxf>
    <dxf>
      <font>
        <color rgb="FFFF0000"/>
      </font>
    </dxf>
    <dxf>
      <font>
        <color rgb="FFFF0000"/>
      </font>
    </dxf>
    <dxf>
      <border>
        <left style="thin">
          <color theme="5"/>
        </left>
        <right style="thin">
          <color theme="5"/>
        </right>
        <top style="thin">
          <color theme="5"/>
        </top>
        <bottom style="thin">
          <color theme="5"/>
        </bottom>
        <vertical/>
        <horizontal/>
      </border>
    </dxf>
    <dxf>
      <font>
        <b val="0"/>
        <i val="0"/>
        <color auto="1"/>
      </font>
      <fill>
        <patternFill>
          <bgColor theme="0"/>
        </patternFill>
      </fill>
    </dxf>
    <dxf>
      <font>
        <color rgb="FFD0D9EC"/>
      </font>
      <fill>
        <patternFill>
          <bgColor rgb="FFD0D9E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theme="5"/>
        </left>
        <right style="thin">
          <color theme="5"/>
        </right>
        <top style="thin">
          <color theme="5"/>
        </top>
        <bottom style="thin">
          <color theme="5"/>
        </bottom>
        <vertical/>
        <horizontal/>
      </border>
    </dxf>
    <dxf>
      <border>
        <left style="thin">
          <color theme="5"/>
        </left>
        <right style="thin">
          <color theme="5"/>
        </right>
        <top style="thin">
          <color theme="5"/>
        </top>
        <bottom style="thin">
          <color theme="5"/>
        </bottom>
        <vertical/>
        <horizontal/>
      </border>
    </dxf>
    <dxf>
      <border>
        <left style="thin">
          <color theme="5"/>
        </left>
        <right style="thin">
          <color theme="5"/>
        </right>
        <top style="thin">
          <color theme="5"/>
        </top>
        <bottom style="thin">
          <color theme="5"/>
        </bottom>
        <vertical/>
        <horizontal/>
      </border>
    </dxf>
    <dxf>
      <fill>
        <patternFill>
          <bgColor rgb="FFFF0000"/>
        </patternFill>
      </fill>
    </dxf>
    <dxf>
      <border>
        <left style="thin">
          <color theme="5"/>
        </left>
        <right style="thin">
          <color theme="5"/>
        </right>
        <top style="thin">
          <color theme="5"/>
        </top>
        <bottom style="thin">
          <color theme="5"/>
        </bottom>
        <vertical/>
        <horizontal/>
      </border>
    </dxf>
    <dxf>
      <font>
        <color theme="0"/>
      </font>
      <fill>
        <patternFill>
          <bgColor rgb="FFFF0000"/>
        </patternFill>
      </fill>
    </dxf>
    <dxf>
      <border>
        <left style="thin">
          <color theme="5"/>
        </left>
        <right style="thin">
          <color theme="5"/>
        </right>
        <top style="thin">
          <color theme="5"/>
        </top>
        <bottom style="thin">
          <color theme="5"/>
        </bottom>
        <vertical/>
        <horizontal/>
      </border>
    </dxf>
    <dxf>
      <fill>
        <patternFill>
          <bgColor rgb="FFFF0000"/>
        </patternFill>
      </fill>
    </dxf>
    <dxf>
      <font>
        <color rgb="FFC00000"/>
      </font>
    </dxf>
    <dxf>
      <border>
        <left style="thin">
          <color theme="5"/>
        </left>
        <right style="thin">
          <color theme="5"/>
        </right>
        <top style="thin">
          <color theme="5"/>
        </top>
        <bottom style="thin">
          <color theme="5"/>
        </bottom>
        <vertical/>
        <horizontal/>
      </border>
    </dxf>
    <dxf>
      <border>
        <left style="thin">
          <color theme="5"/>
        </left>
        <right style="thin">
          <color theme="5"/>
        </right>
        <top style="thin">
          <color theme="5"/>
        </top>
        <bottom style="thin">
          <color theme="5"/>
        </bottom>
        <vertical/>
        <horizontal/>
      </border>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font>
      <fill>
        <patternFill>
          <bgColor rgb="FFFF0000"/>
        </patternFill>
      </fill>
    </dxf>
    <dxf>
      <font>
        <color rgb="FFE4E9F4"/>
      </font>
      <fill>
        <patternFill>
          <bgColor rgb="FFE4E9F4"/>
        </patternFill>
      </fill>
    </dxf>
    <dxf>
      <border>
        <left style="thin">
          <color theme="5"/>
        </left>
        <right style="thin">
          <color theme="5"/>
        </right>
        <top style="thin">
          <color theme="5"/>
        </top>
        <bottom style="thin">
          <color theme="5"/>
        </bottom>
        <vertical/>
        <horizontal/>
      </border>
    </dxf>
    <dxf>
      <font>
        <color rgb="FFFF0000"/>
      </font>
    </dxf>
    <dxf>
      <font>
        <color rgb="FFFF0000"/>
      </font>
    </dxf>
    <dxf>
      <font>
        <color rgb="FFFF0000"/>
      </font>
    </dxf>
    <dxf>
      <border>
        <left style="thin">
          <color theme="5"/>
        </left>
        <right style="thin">
          <color theme="5"/>
        </right>
        <top style="thin">
          <color theme="5"/>
        </top>
        <bottom style="thin">
          <color theme="5"/>
        </bottom>
        <vertical/>
        <horizontal/>
      </border>
    </dxf>
    <dxf>
      <font>
        <b val="0"/>
        <i val="0"/>
        <color auto="1"/>
      </font>
      <fill>
        <patternFill>
          <bgColor theme="0"/>
        </patternFill>
      </fill>
    </dxf>
    <dxf>
      <font>
        <color rgb="FFD0D9EC"/>
      </font>
      <fill>
        <patternFill>
          <bgColor rgb="FFD0D9E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theme="5"/>
        </left>
        <right style="thin">
          <color theme="5"/>
        </right>
        <top style="thin">
          <color theme="5"/>
        </top>
        <bottom style="thin">
          <color theme="5"/>
        </bottom>
        <vertical/>
        <horizontal/>
      </border>
    </dxf>
    <dxf>
      <border>
        <left style="thin">
          <color theme="5"/>
        </left>
        <right style="thin">
          <color theme="5"/>
        </right>
        <top style="thin">
          <color theme="5"/>
        </top>
        <bottom style="thin">
          <color theme="5"/>
        </bottom>
        <vertical/>
        <horizontal/>
      </border>
    </dxf>
    <dxf>
      <border>
        <left style="thin">
          <color theme="5"/>
        </left>
        <right style="thin">
          <color theme="5"/>
        </right>
        <top style="thin">
          <color theme="5"/>
        </top>
        <bottom style="thin">
          <color theme="5"/>
        </bottom>
        <vertical/>
        <horizontal/>
      </border>
    </dxf>
    <dxf>
      <fill>
        <patternFill>
          <bgColor rgb="FFFF0000"/>
        </patternFill>
      </fill>
    </dxf>
    <dxf>
      <border>
        <left style="thin">
          <color theme="5"/>
        </left>
        <right style="thin">
          <color theme="5"/>
        </right>
        <top style="thin">
          <color theme="5"/>
        </top>
        <bottom style="thin">
          <color theme="5"/>
        </bottom>
        <vertical/>
        <horizontal/>
      </border>
    </dxf>
    <dxf>
      <font>
        <color theme="0"/>
      </font>
      <fill>
        <patternFill>
          <bgColor rgb="FFFF0000"/>
        </patternFill>
      </fill>
    </dxf>
    <dxf>
      <border>
        <left style="thin">
          <color theme="5"/>
        </left>
        <right style="thin">
          <color theme="5"/>
        </right>
        <top style="thin">
          <color theme="5"/>
        </top>
        <bottom style="thin">
          <color theme="5"/>
        </bottom>
        <vertical/>
        <horizontal/>
      </border>
    </dxf>
    <dxf>
      <fill>
        <patternFill>
          <bgColor rgb="FFFF0000"/>
        </patternFill>
      </fill>
    </dxf>
    <dxf>
      <font>
        <color rgb="FFC00000"/>
      </font>
    </dxf>
    <dxf>
      <border>
        <left style="thin">
          <color theme="5"/>
        </left>
        <right style="thin">
          <color theme="5"/>
        </right>
        <top style="thin">
          <color theme="5"/>
        </top>
        <bottom style="thin">
          <color theme="5"/>
        </bottom>
        <vertical/>
        <horizontal/>
      </border>
    </dxf>
    <dxf>
      <border>
        <left style="thin">
          <color theme="5"/>
        </left>
        <right style="thin">
          <color theme="5"/>
        </right>
        <top style="thin">
          <color theme="5"/>
        </top>
        <bottom style="thin">
          <color theme="5"/>
        </bottom>
        <vertical/>
        <horizontal/>
      </border>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font>
      <fill>
        <patternFill>
          <bgColor rgb="FFFF0000"/>
        </patternFill>
      </fill>
    </dxf>
    <dxf>
      <font>
        <color rgb="FFE4E9F4"/>
      </font>
      <fill>
        <patternFill>
          <bgColor rgb="FFE4E9F4"/>
        </patternFill>
      </fill>
    </dxf>
    <dxf>
      <border>
        <left style="thin">
          <color theme="5"/>
        </left>
        <right style="thin">
          <color theme="5"/>
        </right>
        <top style="thin">
          <color theme="5"/>
        </top>
        <bottom style="thin">
          <color theme="5"/>
        </bottom>
        <vertical/>
        <horizontal/>
      </border>
    </dxf>
    <dxf>
      <font>
        <color rgb="FFFF0000"/>
      </font>
    </dxf>
    <dxf>
      <font>
        <color rgb="FFFF0000"/>
      </font>
    </dxf>
    <dxf>
      <font>
        <color rgb="FFFF0000"/>
      </font>
    </dxf>
    <dxf>
      <border>
        <left style="thin">
          <color theme="5"/>
        </left>
        <right style="thin">
          <color theme="5"/>
        </right>
        <top style="thin">
          <color theme="5"/>
        </top>
        <bottom style="thin">
          <color theme="5"/>
        </bottom>
        <vertical/>
        <horizontal/>
      </border>
    </dxf>
    <dxf>
      <font>
        <b val="0"/>
        <i val="0"/>
        <color auto="1"/>
      </font>
      <fill>
        <patternFill>
          <bgColor theme="0"/>
        </patternFill>
      </fill>
    </dxf>
    <dxf>
      <font>
        <color rgb="FFD0D9EC"/>
      </font>
      <fill>
        <patternFill>
          <bgColor rgb="FFD0D9E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theme="5"/>
        </left>
        <right style="thin">
          <color theme="5"/>
        </right>
        <top style="thin">
          <color theme="5"/>
        </top>
        <bottom style="thin">
          <color theme="5"/>
        </bottom>
        <vertical/>
        <horizontal/>
      </border>
    </dxf>
    <dxf>
      <border>
        <left style="thin">
          <color theme="5"/>
        </left>
        <right style="thin">
          <color theme="5"/>
        </right>
        <top style="thin">
          <color theme="5"/>
        </top>
        <bottom style="thin">
          <color theme="5"/>
        </bottom>
        <vertical/>
        <horizontal/>
      </border>
    </dxf>
    <dxf>
      <border>
        <left style="thin">
          <color theme="5"/>
        </left>
        <right style="thin">
          <color theme="5"/>
        </right>
        <top style="thin">
          <color theme="5"/>
        </top>
        <bottom style="thin">
          <color theme="5"/>
        </bottom>
        <vertical/>
        <horizontal/>
      </border>
    </dxf>
    <dxf>
      <fill>
        <patternFill>
          <bgColor rgb="FFFF0000"/>
        </patternFill>
      </fill>
    </dxf>
    <dxf>
      <border>
        <left style="thin">
          <color theme="5"/>
        </left>
        <right style="thin">
          <color theme="5"/>
        </right>
        <top style="thin">
          <color theme="5"/>
        </top>
        <bottom style="thin">
          <color theme="5"/>
        </bottom>
        <vertical/>
        <horizontal/>
      </border>
    </dxf>
    <dxf>
      <font>
        <color theme="0"/>
      </font>
      <fill>
        <patternFill>
          <bgColor rgb="FFFF0000"/>
        </patternFill>
      </fill>
    </dxf>
    <dxf>
      <border>
        <left style="thin">
          <color theme="5"/>
        </left>
        <right style="thin">
          <color theme="5"/>
        </right>
        <top style="thin">
          <color theme="5"/>
        </top>
        <bottom style="thin">
          <color theme="5"/>
        </bottom>
        <vertical/>
        <horizontal/>
      </border>
    </dxf>
    <dxf>
      <fill>
        <patternFill>
          <bgColor rgb="FFFF0000"/>
        </patternFill>
      </fill>
    </dxf>
    <dxf>
      <font>
        <color rgb="FFC00000"/>
      </font>
    </dxf>
    <dxf>
      <border>
        <left style="thin">
          <color theme="5"/>
        </left>
        <right style="thin">
          <color theme="5"/>
        </right>
        <top style="thin">
          <color theme="5"/>
        </top>
        <bottom style="thin">
          <color theme="5"/>
        </bottom>
        <vertical/>
        <horizontal/>
      </border>
    </dxf>
    <dxf>
      <border>
        <left style="thin">
          <color theme="5"/>
        </left>
        <right style="thin">
          <color theme="5"/>
        </right>
        <top style="thin">
          <color theme="5"/>
        </top>
        <bottom style="thin">
          <color theme="5"/>
        </bottom>
        <vertical/>
        <horizontal/>
      </border>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font>
      <fill>
        <patternFill>
          <bgColor rgb="FFFF0000"/>
        </patternFill>
      </fill>
    </dxf>
    <dxf>
      <font>
        <color rgb="FFE4E9F4"/>
      </font>
      <fill>
        <patternFill>
          <bgColor rgb="FFE4E9F4"/>
        </patternFill>
      </fill>
    </dxf>
    <dxf>
      <border>
        <left style="thin">
          <color theme="5"/>
        </left>
        <right style="thin">
          <color theme="5"/>
        </right>
        <top style="thin">
          <color theme="5"/>
        </top>
        <bottom style="thin">
          <color theme="5"/>
        </bottom>
        <vertical/>
        <horizontal/>
      </border>
    </dxf>
    <dxf>
      <font>
        <color rgb="FFFF0000"/>
      </font>
    </dxf>
    <dxf>
      <font>
        <color rgb="FFFF0000"/>
      </font>
    </dxf>
    <dxf>
      <font>
        <color rgb="FFFF0000"/>
      </font>
    </dxf>
    <dxf>
      <border>
        <left style="thin">
          <color theme="5"/>
        </left>
        <right style="thin">
          <color theme="5"/>
        </right>
        <top style="thin">
          <color theme="5"/>
        </top>
        <bottom style="thin">
          <color theme="5"/>
        </bottom>
        <vertical/>
        <horizontal/>
      </border>
    </dxf>
    <dxf>
      <font>
        <b val="0"/>
        <i val="0"/>
        <color auto="1"/>
      </font>
      <fill>
        <patternFill>
          <bgColor theme="0"/>
        </patternFill>
      </fill>
    </dxf>
    <dxf>
      <font>
        <color rgb="FFD0D9EC"/>
      </font>
      <fill>
        <patternFill>
          <bgColor rgb="FFD0D9E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theme="5"/>
        </left>
        <right style="thin">
          <color theme="5"/>
        </right>
        <top style="thin">
          <color theme="5"/>
        </top>
        <bottom style="thin">
          <color theme="5"/>
        </bottom>
        <vertical/>
        <horizontal/>
      </border>
    </dxf>
    <dxf>
      <border>
        <left style="thin">
          <color theme="5"/>
        </left>
        <right style="thin">
          <color theme="5"/>
        </right>
        <top style="thin">
          <color theme="5"/>
        </top>
        <bottom style="thin">
          <color theme="5"/>
        </bottom>
        <vertical/>
        <horizontal/>
      </border>
    </dxf>
    <dxf>
      <border>
        <left style="thin">
          <color theme="5"/>
        </left>
        <right style="thin">
          <color theme="5"/>
        </right>
        <top style="thin">
          <color theme="5"/>
        </top>
        <bottom style="thin">
          <color theme="5"/>
        </bottom>
        <vertical/>
        <horizontal/>
      </border>
    </dxf>
    <dxf>
      <fill>
        <patternFill>
          <bgColor rgb="FFFF0000"/>
        </patternFill>
      </fill>
    </dxf>
    <dxf>
      <border>
        <left style="thin">
          <color theme="5"/>
        </left>
        <right style="thin">
          <color theme="5"/>
        </right>
        <top style="thin">
          <color theme="5"/>
        </top>
        <bottom style="thin">
          <color theme="5"/>
        </bottom>
        <vertical/>
        <horizontal/>
      </border>
    </dxf>
    <dxf>
      <font>
        <color theme="0"/>
      </font>
      <fill>
        <patternFill>
          <bgColor rgb="FFFF0000"/>
        </patternFill>
      </fill>
    </dxf>
    <dxf>
      <border>
        <left style="thin">
          <color theme="5"/>
        </left>
        <right style="thin">
          <color theme="5"/>
        </right>
        <top style="thin">
          <color theme="5"/>
        </top>
        <bottom style="thin">
          <color theme="5"/>
        </bottom>
        <vertical/>
        <horizontal/>
      </border>
    </dxf>
    <dxf>
      <fill>
        <patternFill>
          <bgColor rgb="FFFF0000"/>
        </patternFill>
      </fill>
    </dxf>
    <dxf>
      <font>
        <color rgb="FFC00000"/>
      </font>
    </dxf>
    <dxf>
      <border>
        <left style="thin">
          <color theme="5"/>
        </left>
        <right style="thin">
          <color theme="5"/>
        </right>
        <top style="thin">
          <color theme="5"/>
        </top>
        <bottom style="thin">
          <color theme="5"/>
        </bottom>
        <vertical/>
        <horizontal/>
      </border>
    </dxf>
    <dxf>
      <border>
        <left style="thin">
          <color theme="5"/>
        </left>
        <right style="thin">
          <color theme="5"/>
        </right>
        <top style="thin">
          <color theme="5"/>
        </top>
        <bottom style="thin">
          <color theme="5"/>
        </bottom>
        <vertical/>
        <horizontal/>
      </border>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s>
  <tableStyles count="1" defaultTableStyle="TableStyleMedium2" defaultPivotStyle="PivotStyleLight16">
    <tableStyle name="Invisible" pivot="0" table="0" count="0" xr9:uid="{FE13EFEF-8784-44AB-9C7D-23FA22330618}"/>
  </tableStyles>
  <colors>
    <mruColors>
      <color rgb="FFA50021"/>
      <color rgb="FFD0D9EC"/>
      <color rgb="FFE4E9F4"/>
      <color rgb="FFEDF0F7"/>
      <color rgb="FF4D4D63"/>
      <color rgb="FF9696AE"/>
      <color rgb="FFCC0000"/>
      <color rgb="FF31313F"/>
      <color rgb="FFBABACA"/>
      <color rgb="FFDDE9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tabellen_EMD!$AE$56</c:f>
          <c:strCache>
            <c:ptCount val="1"/>
            <c:pt idx="0">
              <c:v>Inijking GPR 4.4 | NTA 8800</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1"/>
          <c:order val="0"/>
          <c:tx>
            <c:strRef>
              <c:f>tabellen_EMD!$AK$59</c:f>
              <c:strCache>
                <c:ptCount val="1"/>
                <c:pt idx="0">
                  <c:v>woongebouw  117/-33.35</c:v>
                </c:pt>
              </c:strCache>
            </c:strRef>
          </c:tx>
          <c:spPr>
            <a:ln w="25400" cap="rnd">
              <a:noFill/>
              <a:round/>
            </a:ln>
            <a:effectLst/>
          </c:spPr>
          <c:marker>
            <c:symbol val="circle"/>
            <c:size val="9"/>
            <c:spPr>
              <a:solidFill>
                <a:schemeClr val="accent2"/>
              </a:solidFill>
              <a:ln w="9525">
                <a:solidFill>
                  <a:schemeClr val="accent2"/>
                </a:solidFill>
              </a:ln>
              <a:effectLst/>
            </c:spPr>
          </c:marker>
          <c:trendline>
            <c:spPr>
              <a:ln w="31750" cap="rnd">
                <a:solidFill>
                  <a:schemeClr val="accent2"/>
                </a:solidFill>
                <a:prstDash val="solid"/>
              </a:ln>
              <a:effectLst/>
            </c:spPr>
            <c:trendlineType val="exp"/>
            <c:forward val="1000"/>
            <c:backward val="500"/>
            <c:dispRSqr val="0"/>
            <c:dispEq val="0"/>
          </c:trendline>
          <c:xVal>
            <c:numRef>
              <c:f>tabellen_EMD!$AH$59:$AI$59</c:f>
              <c:numCache>
                <c:formatCode>#,##0</c:formatCode>
                <c:ptCount val="2"/>
                <c:pt idx="0">
                  <c:v>117</c:v>
                </c:pt>
                <c:pt idx="1">
                  <c:v>-33.35</c:v>
                </c:pt>
              </c:numCache>
            </c:numRef>
          </c:xVal>
          <c:yVal>
            <c:numRef>
              <c:f>tabellen_EMD!$AH$57:$AI$57</c:f>
              <c:numCache>
                <c:formatCode>#,##0</c:formatCode>
                <c:ptCount val="2"/>
                <c:pt idx="0">
                  <c:v>6</c:v>
                </c:pt>
                <c:pt idx="1">
                  <c:v>10</c:v>
                </c:pt>
              </c:numCache>
            </c:numRef>
          </c:yVal>
          <c:smooth val="0"/>
          <c:extLst>
            <c:ext xmlns:c16="http://schemas.microsoft.com/office/drawing/2014/chart" uri="{C3380CC4-5D6E-409C-BE32-E72D297353CC}">
              <c16:uniqueId val="{0000000C-67AC-4889-82F8-2D91108CEF2D}"/>
            </c:ext>
          </c:extLst>
        </c:ser>
        <c:ser>
          <c:idx val="2"/>
          <c:order val="1"/>
          <c:tx>
            <c:strRef>
              <c:f>tabellen_EMD!$AK$60</c:f>
              <c:strCache>
                <c:ptCount val="1"/>
                <c:pt idx="0">
                  <c:v>kantoor  180/-50</c:v>
                </c:pt>
              </c:strCache>
            </c:strRef>
          </c:tx>
          <c:spPr>
            <a:ln w="25400" cap="rnd">
              <a:noFill/>
              <a:round/>
            </a:ln>
            <a:effectLst/>
          </c:spPr>
          <c:marker>
            <c:symbol val="circle"/>
            <c:size val="9"/>
            <c:spPr>
              <a:solidFill>
                <a:schemeClr val="accent3"/>
              </a:solidFill>
              <a:ln w="9525">
                <a:solidFill>
                  <a:schemeClr val="accent3"/>
                </a:solidFill>
              </a:ln>
              <a:effectLst/>
            </c:spPr>
          </c:marker>
          <c:trendline>
            <c:spPr>
              <a:ln w="31750" cap="rnd">
                <a:solidFill>
                  <a:schemeClr val="accent3"/>
                </a:solidFill>
                <a:prstDash val="solid"/>
              </a:ln>
              <a:effectLst/>
            </c:spPr>
            <c:trendlineType val="exp"/>
            <c:forward val="1000"/>
            <c:backward val="200"/>
            <c:dispRSqr val="0"/>
            <c:dispEq val="0"/>
          </c:trendline>
          <c:xVal>
            <c:numRef>
              <c:f>tabellen_EMD!$AH$60:$AI$60</c:f>
              <c:numCache>
                <c:formatCode>#,##0</c:formatCode>
                <c:ptCount val="2"/>
                <c:pt idx="0">
                  <c:v>180</c:v>
                </c:pt>
                <c:pt idx="1">
                  <c:v>-50</c:v>
                </c:pt>
              </c:numCache>
            </c:numRef>
          </c:xVal>
          <c:yVal>
            <c:numRef>
              <c:f>tabellen_EMD!$AH$57:$AI$57</c:f>
              <c:numCache>
                <c:formatCode>#,##0</c:formatCode>
                <c:ptCount val="2"/>
                <c:pt idx="0">
                  <c:v>6</c:v>
                </c:pt>
                <c:pt idx="1">
                  <c:v>10</c:v>
                </c:pt>
              </c:numCache>
            </c:numRef>
          </c:yVal>
          <c:smooth val="0"/>
          <c:extLst>
            <c:ext xmlns:c16="http://schemas.microsoft.com/office/drawing/2014/chart" uri="{C3380CC4-5D6E-409C-BE32-E72D297353CC}">
              <c16:uniqueId val="{0000000D-67AC-4889-82F8-2D91108CEF2D}"/>
            </c:ext>
          </c:extLst>
        </c:ser>
        <c:ser>
          <c:idx val="3"/>
          <c:order val="2"/>
          <c:tx>
            <c:strRef>
              <c:f>tabellen_EMD!$AK$61</c:f>
              <c:strCache>
                <c:ptCount val="1"/>
                <c:pt idx="0">
                  <c:v>bijeenkomst overig  230/-15</c:v>
                </c:pt>
              </c:strCache>
            </c:strRef>
          </c:tx>
          <c:spPr>
            <a:ln w="25400" cap="rnd">
              <a:noFill/>
              <a:round/>
            </a:ln>
            <a:effectLst/>
          </c:spPr>
          <c:marker>
            <c:symbol val="circle"/>
            <c:size val="9"/>
            <c:spPr>
              <a:solidFill>
                <a:schemeClr val="accent4"/>
              </a:solidFill>
              <a:ln w="9525">
                <a:solidFill>
                  <a:schemeClr val="accent4"/>
                </a:solidFill>
              </a:ln>
              <a:effectLst/>
            </c:spPr>
          </c:marker>
          <c:trendline>
            <c:spPr>
              <a:ln w="31750" cap="rnd">
                <a:solidFill>
                  <a:schemeClr val="accent4"/>
                </a:solidFill>
                <a:prstDash val="solid"/>
              </a:ln>
              <a:effectLst/>
            </c:spPr>
            <c:trendlineType val="exp"/>
            <c:forward val="1000"/>
            <c:backward val="500"/>
            <c:dispRSqr val="0"/>
            <c:dispEq val="0"/>
          </c:trendline>
          <c:xVal>
            <c:numRef>
              <c:f>tabellen_EMD!$AH$61:$AI$61</c:f>
              <c:numCache>
                <c:formatCode>#,##0</c:formatCode>
                <c:ptCount val="2"/>
                <c:pt idx="0">
                  <c:v>229.99999999999997</c:v>
                </c:pt>
                <c:pt idx="1">
                  <c:v>-15</c:v>
                </c:pt>
              </c:numCache>
            </c:numRef>
          </c:xVal>
          <c:yVal>
            <c:numRef>
              <c:f>tabellen_EMD!$AH$57:$AI$57</c:f>
              <c:numCache>
                <c:formatCode>#,##0</c:formatCode>
                <c:ptCount val="2"/>
                <c:pt idx="0">
                  <c:v>6</c:v>
                </c:pt>
                <c:pt idx="1">
                  <c:v>10</c:v>
                </c:pt>
              </c:numCache>
            </c:numRef>
          </c:yVal>
          <c:smooth val="0"/>
          <c:extLst>
            <c:ext xmlns:c16="http://schemas.microsoft.com/office/drawing/2014/chart" uri="{C3380CC4-5D6E-409C-BE32-E72D297353CC}">
              <c16:uniqueId val="{0000000E-67AC-4889-82F8-2D91108CEF2D}"/>
            </c:ext>
          </c:extLst>
        </c:ser>
        <c:ser>
          <c:idx val="5"/>
          <c:order val="3"/>
          <c:tx>
            <c:strRef>
              <c:f>tabellen_EMD!$AK$63</c:f>
              <c:strCache>
                <c:ptCount val="1"/>
                <c:pt idx="0">
                  <c:v>onderwijs  235/-25</c:v>
                </c:pt>
              </c:strCache>
            </c:strRef>
          </c:tx>
          <c:spPr>
            <a:ln w="25400" cap="rnd">
              <a:noFill/>
              <a:round/>
            </a:ln>
            <a:effectLst/>
          </c:spPr>
          <c:marker>
            <c:symbol val="circle"/>
            <c:size val="9"/>
            <c:spPr>
              <a:solidFill>
                <a:schemeClr val="accent6"/>
              </a:solidFill>
              <a:ln w="9525">
                <a:solidFill>
                  <a:schemeClr val="accent6"/>
                </a:solidFill>
              </a:ln>
              <a:effectLst/>
            </c:spPr>
          </c:marker>
          <c:trendline>
            <c:spPr>
              <a:ln w="31750" cap="rnd">
                <a:solidFill>
                  <a:schemeClr val="accent6"/>
                </a:solidFill>
                <a:prstDash val="solid"/>
              </a:ln>
              <a:effectLst/>
            </c:spPr>
            <c:trendlineType val="exp"/>
            <c:forward val="1000"/>
            <c:backward val="500"/>
            <c:dispRSqr val="0"/>
            <c:dispEq val="0"/>
          </c:trendline>
          <c:xVal>
            <c:numRef>
              <c:f>tabellen_EMD!$AH$63:$AI$63</c:f>
              <c:numCache>
                <c:formatCode>#,##0</c:formatCode>
                <c:ptCount val="2"/>
                <c:pt idx="0">
                  <c:v>235</c:v>
                </c:pt>
                <c:pt idx="1">
                  <c:v>-25</c:v>
                </c:pt>
              </c:numCache>
            </c:numRef>
          </c:xVal>
          <c:yVal>
            <c:numRef>
              <c:f>tabellen_EMD!$AH$57:$AI$57</c:f>
              <c:numCache>
                <c:formatCode>#,##0</c:formatCode>
                <c:ptCount val="2"/>
                <c:pt idx="0">
                  <c:v>6</c:v>
                </c:pt>
                <c:pt idx="1">
                  <c:v>10</c:v>
                </c:pt>
              </c:numCache>
            </c:numRef>
          </c:yVal>
          <c:smooth val="0"/>
          <c:extLst>
            <c:ext xmlns:c16="http://schemas.microsoft.com/office/drawing/2014/chart" uri="{C3380CC4-5D6E-409C-BE32-E72D297353CC}">
              <c16:uniqueId val="{00000010-67AC-4889-82F8-2D91108CEF2D}"/>
            </c:ext>
          </c:extLst>
        </c:ser>
        <c:ser>
          <c:idx val="4"/>
          <c:order val="4"/>
          <c:tx>
            <c:strRef>
              <c:f>tabellen_EMD!$AK$66</c:f>
              <c:strCache>
                <c:ptCount val="1"/>
                <c:pt idx="0">
                  <c:v>winkel  285/-40</c:v>
                </c:pt>
              </c:strCache>
            </c:strRef>
          </c:tx>
          <c:spPr>
            <a:ln w="25400" cap="rnd">
              <a:noFill/>
              <a:round/>
            </a:ln>
            <a:effectLst/>
          </c:spPr>
          <c:marker>
            <c:symbol val="circle"/>
            <c:size val="9"/>
            <c:spPr>
              <a:solidFill>
                <a:schemeClr val="accent5"/>
              </a:solidFill>
              <a:ln w="9525">
                <a:solidFill>
                  <a:schemeClr val="accent5"/>
                </a:solidFill>
              </a:ln>
              <a:effectLst/>
            </c:spPr>
          </c:marker>
          <c:trendline>
            <c:spPr>
              <a:ln w="31750" cap="rnd">
                <a:solidFill>
                  <a:schemeClr val="accent5"/>
                </a:solidFill>
                <a:prstDash val="solid"/>
              </a:ln>
              <a:effectLst/>
            </c:spPr>
            <c:trendlineType val="exp"/>
            <c:forward val="1000"/>
            <c:backward val="500"/>
            <c:dispRSqr val="0"/>
            <c:dispEq val="0"/>
          </c:trendline>
          <c:xVal>
            <c:numRef>
              <c:f>tabellen_EMD!$AH$66:$AI$66</c:f>
              <c:numCache>
                <c:formatCode>#,##0</c:formatCode>
                <c:ptCount val="2"/>
                <c:pt idx="0">
                  <c:v>285</c:v>
                </c:pt>
                <c:pt idx="1">
                  <c:v>-40</c:v>
                </c:pt>
              </c:numCache>
            </c:numRef>
          </c:xVal>
          <c:yVal>
            <c:numRef>
              <c:f>tabellen_EMD!$AH$57:$AI$57</c:f>
              <c:numCache>
                <c:formatCode>#,##0</c:formatCode>
                <c:ptCount val="2"/>
                <c:pt idx="0">
                  <c:v>6</c:v>
                </c:pt>
                <c:pt idx="1">
                  <c:v>10</c:v>
                </c:pt>
              </c:numCache>
            </c:numRef>
          </c:yVal>
          <c:smooth val="0"/>
          <c:extLst>
            <c:ext xmlns:c16="http://schemas.microsoft.com/office/drawing/2014/chart" uri="{C3380CC4-5D6E-409C-BE32-E72D297353CC}">
              <c16:uniqueId val="{0000000F-67AC-4889-82F8-2D91108CEF2D}"/>
            </c:ext>
          </c:extLst>
        </c:ser>
        <c:ser>
          <c:idx val="0"/>
          <c:order val="5"/>
          <c:tx>
            <c:strRef>
              <c:f>tabellen_EMD!$AK$67</c:f>
              <c:strCache>
                <c:ptCount val="1"/>
                <c:pt idx="0">
                  <c:v>sport  155/-15</c:v>
                </c:pt>
              </c:strCache>
            </c:strRef>
          </c:tx>
          <c:spPr>
            <a:ln w="25400" cap="rnd">
              <a:noFill/>
              <a:round/>
            </a:ln>
            <a:effectLst/>
          </c:spPr>
          <c:marker>
            <c:symbol val="circle"/>
            <c:size val="9"/>
            <c:spPr>
              <a:solidFill>
                <a:schemeClr val="accent1"/>
              </a:solidFill>
              <a:ln w="9525">
                <a:solidFill>
                  <a:schemeClr val="accent1"/>
                </a:solidFill>
              </a:ln>
              <a:effectLst/>
            </c:spPr>
          </c:marker>
          <c:trendline>
            <c:spPr>
              <a:ln w="31750" cap="rnd">
                <a:solidFill>
                  <a:schemeClr val="accent1"/>
                </a:solidFill>
                <a:prstDash val="solid"/>
              </a:ln>
              <a:effectLst/>
            </c:spPr>
            <c:trendlineType val="exp"/>
            <c:forward val="1000"/>
            <c:backward val="1000"/>
            <c:dispRSqr val="0"/>
            <c:dispEq val="0"/>
          </c:trendline>
          <c:xVal>
            <c:numRef>
              <c:f>tabellen_EMD!$AH$67:$AI$67</c:f>
              <c:numCache>
                <c:formatCode>#,##0</c:formatCode>
                <c:ptCount val="2"/>
                <c:pt idx="0">
                  <c:v>155</c:v>
                </c:pt>
                <c:pt idx="1">
                  <c:v>-15</c:v>
                </c:pt>
              </c:numCache>
            </c:numRef>
          </c:xVal>
          <c:yVal>
            <c:numRef>
              <c:f>tabellen_EMD!$AH$57:$AI$57</c:f>
              <c:numCache>
                <c:formatCode>#,##0</c:formatCode>
                <c:ptCount val="2"/>
                <c:pt idx="0">
                  <c:v>6</c:v>
                </c:pt>
                <c:pt idx="1">
                  <c:v>10</c:v>
                </c:pt>
              </c:numCache>
            </c:numRef>
          </c:yVal>
          <c:smooth val="0"/>
          <c:extLst>
            <c:ext xmlns:c16="http://schemas.microsoft.com/office/drawing/2014/chart" uri="{C3380CC4-5D6E-409C-BE32-E72D297353CC}">
              <c16:uniqueId val="{00000005-9310-4A77-93C1-147BE833413F}"/>
            </c:ext>
          </c:extLst>
        </c:ser>
        <c:ser>
          <c:idx val="6"/>
          <c:order val="6"/>
          <c:tx>
            <c:strRef>
              <c:f>tabellen_EMD!$AK$68</c:f>
              <c:strCache>
                <c:ptCount val="1"/>
                <c:pt idx="0">
                  <c:v>logies in logiesgebouw  230/-25</c:v>
                </c:pt>
              </c:strCache>
            </c:strRef>
          </c:tx>
          <c:spPr>
            <a:ln w="25400" cap="rnd">
              <a:noFill/>
              <a:round/>
            </a:ln>
            <a:effectLst/>
          </c:spPr>
          <c:marker>
            <c:symbol val="circle"/>
            <c:size val="9"/>
            <c:spPr>
              <a:solidFill>
                <a:schemeClr val="accent1">
                  <a:lumMod val="60000"/>
                </a:schemeClr>
              </a:solidFill>
              <a:ln w="9525">
                <a:solidFill>
                  <a:schemeClr val="accent1">
                    <a:lumMod val="60000"/>
                  </a:schemeClr>
                </a:solidFill>
              </a:ln>
              <a:effectLst/>
            </c:spPr>
          </c:marker>
          <c:trendline>
            <c:spPr>
              <a:ln w="34925" cap="rnd">
                <a:solidFill>
                  <a:schemeClr val="accent1">
                    <a:lumMod val="60000"/>
                  </a:schemeClr>
                </a:solidFill>
                <a:prstDash val="solid"/>
              </a:ln>
              <a:effectLst/>
            </c:spPr>
            <c:trendlineType val="exp"/>
            <c:forward val="1000"/>
            <c:dispRSqr val="0"/>
            <c:dispEq val="0"/>
          </c:trendline>
          <c:xVal>
            <c:numRef>
              <c:f>tabellen_EMD!$AH$68:$AI$68</c:f>
              <c:numCache>
                <c:formatCode>#,##0</c:formatCode>
                <c:ptCount val="2"/>
                <c:pt idx="0">
                  <c:v>230</c:v>
                </c:pt>
                <c:pt idx="1">
                  <c:v>-25</c:v>
                </c:pt>
              </c:numCache>
            </c:numRef>
          </c:xVal>
          <c:yVal>
            <c:numRef>
              <c:f>tabellen_EMD!$AH$57:$AI$57</c:f>
              <c:numCache>
                <c:formatCode>#,##0</c:formatCode>
                <c:ptCount val="2"/>
                <c:pt idx="0">
                  <c:v>6</c:v>
                </c:pt>
                <c:pt idx="1">
                  <c:v>10</c:v>
                </c:pt>
              </c:numCache>
            </c:numRef>
          </c:yVal>
          <c:smooth val="0"/>
          <c:extLst>
            <c:ext xmlns:c16="http://schemas.microsoft.com/office/drawing/2014/chart" uri="{C3380CC4-5D6E-409C-BE32-E72D297353CC}">
              <c16:uniqueId val="{00000006-9310-4A77-93C1-147BE833413F}"/>
            </c:ext>
          </c:extLst>
        </c:ser>
        <c:dLbls>
          <c:showLegendKey val="0"/>
          <c:showVal val="0"/>
          <c:showCatName val="0"/>
          <c:showSerName val="0"/>
          <c:showPercent val="0"/>
          <c:showBubbleSize val="0"/>
        </c:dLbls>
        <c:axId val="598947200"/>
        <c:axId val="598944800"/>
      </c:scatterChart>
      <c:valAx>
        <c:axId val="598947200"/>
        <c:scaling>
          <c:orientation val="minMax"/>
          <c:max val="800"/>
          <c:min val="-100"/>
        </c:scaling>
        <c:delete val="0"/>
        <c:axPos val="b"/>
        <c:majorGridlines>
          <c:spPr>
            <a:ln w="9525" cap="flat" cmpd="sng" algn="ctr">
              <a:solidFill>
                <a:schemeClr val="tx1">
                  <a:lumMod val="15000"/>
                  <a:lumOff val="85000"/>
                </a:schemeClr>
              </a:solidFill>
              <a:round/>
            </a:ln>
            <a:effectLst/>
          </c:spPr>
        </c:majorGridlines>
        <c:title>
          <c:tx>
            <c:strRef>
              <c:f>tabellen_EMD!$AG$55</c:f>
              <c:strCache>
                <c:ptCount val="1"/>
                <c:pt idx="0">
                  <c:v>Primair energiegebruik [kWh/m2 Ag]</c:v>
                </c:pt>
              </c:strCache>
            </c:strRef>
          </c:tx>
          <c:overlay val="0"/>
          <c:spPr>
            <a:noFill/>
            <a:ln>
              <a:noFill/>
            </a:ln>
            <a:effectLst/>
          </c:spPr>
          <c:txPr>
            <a:bodyPr rot="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nl-NL"/>
          </a:p>
        </c:txPr>
        <c:crossAx val="598944800"/>
        <c:crosses val="autoZero"/>
        <c:crossBetween val="midCat"/>
        <c:majorUnit val="100"/>
      </c:valAx>
      <c:valAx>
        <c:axId val="598944800"/>
        <c:scaling>
          <c:orientation val="minMax"/>
          <c:max val="12"/>
        </c:scaling>
        <c:delete val="0"/>
        <c:axPos val="l"/>
        <c:majorGridlines>
          <c:spPr>
            <a:ln w="9525" cap="flat" cmpd="sng" algn="ctr">
              <a:solidFill>
                <a:schemeClr val="tx1">
                  <a:lumMod val="15000"/>
                  <a:lumOff val="85000"/>
                </a:schemeClr>
              </a:solidFill>
              <a:round/>
            </a:ln>
            <a:effectLst/>
          </c:spPr>
        </c:majorGridlines>
        <c:title>
          <c:tx>
            <c:strRef>
              <c:f>tabellen_EMD!$AG$54</c:f>
              <c:strCache>
                <c:ptCount val="1"/>
                <c:pt idx="0">
                  <c:v>Score op subthema 1.1 Energieprestatie</c:v>
                </c:pt>
              </c:strCache>
            </c:strRef>
          </c:tx>
          <c:layout>
            <c:manualLayout>
              <c:xMode val="edge"/>
              <c:yMode val="edge"/>
              <c:x val="8.4622221195600929E-3"/>
              <c:y val="0.1355214562824596"/>
            </c:manualLayout>
          </c:layout>
          <c:overlay val="0"/>
          <c:spPr>
            <a:noFill/>
            <a:ln>
              <a:noFill/>
            </a:ln>
            <a:effectLst/>
          </c:spPr>
          <c:txPr>
            <a:bodyPr rot="-540000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nl-NL"/>
          </a:p>
        </c:txPr>
        <c:crossAx val="598947200"/>
        <c:crosses val="autoZero"/>
        <c:crossBetween val="midCat"/>
      </c:valAx>
      <c:spPr>
        <a:noFill/>
        <a:ln>
          <a:noFill/>
        </a:ln>
        <a:effectLst/>
      </c:spPr>
    </c:plotArea>
    <c:legend>
      <c:legendPos val="r"/>
      <c:legendEntry>
        <c:idx val="7"/>
        <c:delete val="1"/>
      </c:legendEntry>
      <c:legendEntry>
        <c:idx val="8"/>
        <c:delete val="1"/>
      </c:legendEntry>
      <c:legendEntry>
        <c:idx val="9"/>
        <c:delete val="1"/>
      </c:legendEntry>
      <c:legendEntry>
        <c:idx val="10"/>
        <c:delete val="1"/>
      </c:legendEntry>
      <c:legendEntry>
        <c:idx val="11"/>
        <c:delete val="1"/>
      </c:legendEntry>
      <c:legendEntry>
        <c:idx val="12"/>
        <c:delete val="1"/>
      </c:legendEntry>
      <c:legendEntry>
        <c:idx val="13"/>
        <c:delete val="1"/>
      </c:legendEntry>
      <c:layout>
        <c:manualLayout>
          <c:xMode val="edge"/>
          <c:yMode val="edge"/>
          <c:x val="0.61559624921951916"/>
          <c:y val="9.7667144856378271E-2"/>
          <c:w val="0.3457488265998872"/>
          <c:h val="0.5060072472684265"/>
        </c:manualLayout>
      </c:layout>
      <c:overlay val="1"/>
      <c:spPr>
        <a:solidFill>
          <a:schemeClr val="bg2"/>
        </a:solidFill>
        <a:ln>
          <a:noFill/>
        </a:ln>
        <a:effectLst/>
      </c:spPr>
      <c:txPr>
        <a:bodyPr rot="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b="1"/>
      </a:pPr>
      <a:endParaRPr lang="nl-N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tabellen_EMD!$AE$72</c:f>
          <c:strCache>
            <c:ptCount val="1"/>
            <c:pt idx="0">
              <c:v>woning</c:v>
            </c:pt>
          </c:strCache>
        </c:strRef>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1"/>
          <c:order val="0"/>
          <c:tx>
            <c:strRef>
              <c:f>tabellen_EMD!$AK$75</c:f>
              <c:strCache>
                <c:ptCount val="1"/>
                <c:pt idx="0">
                  <c:v>GPR 4.3 | NEN 7120  438/0</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exp"/>
            <c:forward val="1000"/>
            <c:backward val="500"/>
            <c:dispRSqr val="0"/>
            <c:dispEq val="0"/>
          </c:trendline>
          <c:xVal>
            <c:numRef>
              <c:f>tabellen_EMD!$AH$75:$AI$75</c:f>
              <c:numCache>
                <c:formatCode>#,##0</c:formatCode>
                <c:ptCount val="2"/>
                <c:pt idx="0">
                  <c:v>438</c:v>
                </c:pt>
                <c:pt idx="1">
                  <c:v>0</c:v>
                </c:pt>
              </c:numCache>
            </c:numRef>
          </c:xVal>
          <c:yVal>
            <c:numRef>
              <c:f>tabellen_EMD!$AH$74:$AI$74</c:f>
              <c:numCache>
                <c:formatCode>#,##0</c:formatCode>
                <c:ptCount val="2"/>
                <c:pt idx="0">
                  <c:v>6</c:v>
                </c:pt>
                <c:pt idx="1">
                  <c:v>10</c:v>
                </c:pt>
              </c:numCache>
            </c:numRef>
          </c:yVal>
          <c:smooth val="0"/>
          <c:extLst>
            <c:ext xmlns:c16="http://schemas.microsoft.com/office/drawing/2014/chart" uri="{C3380CC4-5D6E-409C-BE32-E72D297353CC}">
              <c16:uniqueId val="{00000001-7CA6-4767-BC01-BA856C75DB04}"/>
            </c:ext>
          </c:extLst>
        </c:ser>
        <c:ser>
          <c:idx val="2"/>
          <c:order val="1"/>
          <c:tx>
            <c:strRef>
              <c:f>tabellen_EMD!$AK$76</c:f>
              <c:strCache>
                <c:ptCount val="1"/>
                <c:pt idx="0">
                  <c:v>GPR 4.3 | NTA 8800  117/0</c:v>
                </c:pt>
              </c:strCache>
            </c:strRef>
          </c:tx>
          <c:spPr>
            <a:ln w="25400" cap="rnd">
              <a:no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exp"/>
            <c:forward val="1000"/>
            <c:backward val="200"/>
            <c:dispRSqr val="0"/>
            <c:dispEq val="0"/>
          </c:trendline>
          <c:xVal>
            <c:numRef>
              <c:f>tabellen_EMD!$AH$76:$AI$76</c:f>
              <c:numCache>
                <c:formatCode>#,##0</c:formatCode>
                <c:ptCount val="2"/>
                <c:pt idx="0">
                  <c:v>117</c:v>
                </c:pt>
                <c:pt idx="1">
                  <c:v>0</c:v>
                </c:pt>
              </c:numCache>
            </c:numRef>
          </c:xVal>
          <c:yVal>
            <c:numRef>
              <c:f>tabellen_EMD!$AH$74:$AI$74</c:f>
              <c:numCache>
                <c:formatCode>#,##0</c:formatCode>
                <c:ptCount val="2"/>
                <c:pt idx="0">
                  <c:v>6</c:v>
                </c:pt>
                <c:pt idx="1">
                  <c:v>10</c:v>
                </c:pt>
              </c:numCache>
            </c:numRef>
          </c:yVal>
          <c:smooth val="0"/>
          <c:extLst>
            <c:ext xmlns:c16="http://schemas.microsoft.com/office/drawing/2014/chart" uri="{C3380CC4-5D6E-409C-BE32-E72D297353CC}">
              <c16:uniqueId val="{00000003-7CA6-4767-BC01-BA856C75DB04}"/>
            </c:ext>
          </c:extLst>
        </c:ser>
        <c:ser>
          <c:idx val="3"/>
          <c:order val="2"/>
          <c:tx>
            <c:strRef>
              <c:f>tabellen_EMD!$AK$77</c:f>
              <c:strCache>
                <c:ptCount val="1"/>
                <c:pt idx="0">
                  <c:v>GPR 4.4 | NEN 7120  438/-211.968</c:v>
                </c:pt>
              </c:strCache>
            </c:strRef>
          </c:tx>
          <c:spPr>
            <a:ln w="25400" cap="rnd">
              <a:noFill/>
              <a:round/>
            </a:ln>
            <a:effectLst/>
          </c:spPr>
          <c:marker>
            <c:symbol val="circle"/>
            <c:size val="5"/>
            <c:spPr>
              <a:solidFill>
                <a:schemeClr val="accent4"/>
              </a:solidFill>
              <a:ln w="9525">
                <a:solidFill>
                  <a:schemeClr val="accent4"/>
                </a:solidFill>
              </a:ln>
              <a:effectLst/>
            </c:spPr>
          </c:marker>
          <c:trendline>
            <c:spPr>
              <a:ln w="19050" cap="rnd">
                <a:solidFill>
                  <a:schemeClr val="accent4"/>
                </a:solidFill>
                <a:prstDash val="sysDot"/>
              </a:ln>
              <a:effectLst/>
            </c:spPr>
            <c:trendlineType val="exp"/>
            <c:forward val="1000"/>
            <c:backward val="500"/>
            <c:dispRSqr val="0"/>
            <c:dispEq val="0"/>
          </c:trendline>
          <c:xVal>
            <c:numRef>
              <c:f>tabellen_EMD!$AH$77:$AI$77</c:f>
              <c:numCache>
                <c:formatCode>#,##0</c:formatCode>
                <c:ptCount val="2"/>
                <c:pt idx="0">
                  <c:v>438</c:v>
                </c:pt>
                <c:pt idx="1">
                  <c:v>-211.96800000000002</c:v>
                </c:pt>
              </c:numCache>
            </c:numRef>
          </c:xVal>
          <c:yVal>
            <c:numRef>
              <c:f>tabellen_EMD!$AH$74:$AI$74</c:f>
              <c:numCache>
                <c:formatCode>#,##0</c:formatCode>
                <c:ptCount val="2"/>
                <c:pt idx="0">
                  <c:v>6</c:v>
                </c:pt>
                <c:pt idx="1">
                  <c:v>10</c:v>
                </c:pt>
              </c:numCache>
            </c:numRef>
          </c:yVal>
          <c:smooth val="0"/>
          <c:extLst>
            <c:ext xmlns:c16="http://schemas.microsoft.com/office/drawing/2014/chart" uri="{C3380CC4-5D6E-409C-BE32-E72D297353CC}">
              <c16:uniqueId val="{00000005-7CA6-4767-BC01-BA856C75DB04}"/>
            </c:ext>
          </c:extLst>
        </c:ser>
        <c:ser>
          <c:idx val="5"/>
          <c:order val="3"/>
          <c:tx>
            <c:strRef>
              <c:f>tabellen_EMD!$AK$78</c:f>
              <c:strCache>
                <c:ptCount val="1"/>
                <c:pt idx="0">
                  <c:v>GPR 4.4 | NTA 8800  117/-33.35</c:v>
                </c:pt>
              </c:strCache>
            </c:strRef>
          </c:tx>
          <c:spPr>
            <a:ln w="25400" cap="rnd">
              <a:noFill/>
              <a:round/>
            </a:ln>
            <a:effectLst/>
          </c:spPr>
          <c:marker>
            <c:symbol val="circle"/>
            <c:size val="5"/>
            <c:spPr>
              <a:solidFill>
                <a:schemeClr val="accent6"/>
              </a:solidFill>
              <a:ln w="9525">
                <a:solidFill>
                  <a:schemeClr val="accent6"/>
                </a:solidFill>
              </a:ln>
              <a:effectLst/>
            </c:spPr>
          </c:marker>
          <c:trendline>
            <c:spPr>
              <a:ln w="19050" cap="rnd">
                <a:solidFill>
                  <a:schemeClr val="accent6"/>
                </a:solidFill>
                <a:prstDash val="sysDot"/>
              </a:ln>
              <a:effectLst/>
            </c:spPr>
            <c:trendlineType val="exp"/>
            <c:forward val="1000"/>
            <c:backward val="500"/>
            <c:dispRSqr val="0"/>
            <c:dispEq val="0"/>
          </c:trendline>
          <c:xVal>
            <c:numRef>
              <c:f>tabellen_EMD!$AH$78:$AI$78</c:f>
              <c:numCache>
                <c:formatCode>#,##0</c:formatCode>
                <c:ptCount val="2"/>
                <c:pt idx="0">
                  <c:v>117</c:v>
                </c:pt>
                <c:pt idx="1">
                  <c:v>-33.35</c:v>
                </c:pt>
              </c:numCache>
            </c:numRef>
          </c:xVal>
          <c:yVal>
            <c:numRef>
              <c:f>tabellen_EMD!$AH$74:$AI$74</c:f>
              <c:numCache>
                <c:formatCode>#,##0</c:formatCode>
                <c:ptCount val="2"/>
                <c:pt idx="0">
                  <c:v>6</c:v>
                </c:pt>
                <c:pt idx="1">
                  <c:v>10</c:v>
                </c:pt>
              </c:numCache>
            </c:numRef>
          </c:yVal>
          <c:smooth val="0"/>
          <c:extLst>
            <c:ext xmlns:c16="http://schemas.microsoft.com/office/drawing/2014/chart" uri="{C3380CC4-5D6E-409C-BE32-E72D297353CC}">
              <c16:uniqueId val="{00000007-7CA6-4767-BC01-BA856C75DB04}"/>
            </c:ext>
          </c:extLst>
        </c:ser>
        <c:dLbls>
          <c:showLegendKey val="0"/>
          <c:showVal val="0"/>
          <c:showCatName val="0"/>
          <c:showSerName val="0"/>
          <c:showPercent val="0"/>
          <c:showBubbleSize val="0"/>
        </c:dLbls>
        <c:axId val="598947200"/>
        <c:axId val="598944800"/>
      </c:scatterChart>
      <c:valAx>
        <c:axId val="598947200"/>
        <c:scaling>
          <c:orientation val="minMax"/>
          <c:max val="1500"/>
          <c:min val="-100"/>
        </c:scaling>
        <c:delete val="0"/>
        <c:axPos val="b"/>
        <c:majorGridlines>
          <c:spPr>
            <a:ln w="9525" cap="flat" cmpd="sng" algn="ctr">
              <a:solidFill>
                <a:schemeClr val="tx1">
                  <a:lumMod val="15000"/>
                  <a:lumOff val="85000"/>
                </a:schemeClr>
              </a:solidFill>
              <a:round/>
            </a:ln>
            <a:effectLst/>
          </c:spPr>
        </c:majorGridlines>
        <c:title>
          <c:tx>
            <c:strRef>
              <c:f>tabellen_EMD!$AG$72</c:f>
              <c:strCache>
                <c:ptCount val="1"/>
                <c:pt idx="0">
                  <c:v>Primair energiegebruik</c:v>
                </c:pt>
              </c:strCache>
            </c:strRef>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nl-NL"/>
          </a:p>
        </c:txPr>
        <c:crossAx val="598944800"/>
        <c:crosses val="autoZero"/>
        <c:crossBetween val="midCat"/>
        <c:majorUnit val="100"/>
      </c:valAx>
      <c:valAx>
        <c:axId val="598944800"/>
        <c:scaling>
          <c:orientation val="minMax"/>
          <c:max val="12"/>
        </c:scaling>
        <c:delete val="0"/>
        <c:axPos val="l"/>
        <c:majorGridlines>
          <c:spPr>
            <a:ln w="9525" cap="flat" cmpd="sng" algn="ctr">
              <a:solidFill>
                <a:schemeClr val="tx1">
                  <a:lumMod val="15000"/>
                  <a:lumOff val="85000"/>
                </a:schemeClr>
              </a:solidFill>
              <a:round/>
            </a:ln>
            <a:effectLst/>
          </c:spPr>
        </c:majorGridlines>
        <c:title>
          <c:tx>
            <c:strRef>
              <c:f>tabellen_EMD!$AG$54</c:f>
              <c:strCache>
                <c:ptCount val="1"/>
                <c:pt idx="0">
                  <c:v>Score op subthema 1.1 Energieprestatie</c:v>
                </c:pt>
              </c:strCache>
            </c:strRef>
          </c:tx>
          <c:layout>
            <c:manualLayout>
              <c:xMode val="edge"/>
              <c:yMode val="edge"/>
              <c:x val="8.4622221195600929E-3"/>
              <c:y val="0.1355214562824596"/>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nl-NL"/>
          </a:p>
        </c:txPr>
        <c:crossAx val="598947200"/>
        <c:crosses val="autoZero"/>
        <c:crossBetween val="midCat"/>
      </c:valAx>
      <c:spPr>
        <a:noFill/>
        <a:ln>
          <a:noFill/>
        </a:ln>
        <a:effectLst/>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0.65635271341374368"/>
          <c:y val="0.13028845479089046"/>
          <c:w val="0.33929407993552002"/>
          <c:h val="0.70441199772430452"/>
        </c:manualLayout>
      </c:layout>
      <c:overlay val="1"/>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nl-N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tabellen_EMD!$AE$90</c:f>
          <c:strCache>
            <c:ptCount val="1"/>
            <c:pt idx="0">
              <c:v>GPR 4.3 NMD 2.3</c:v>
            </c:pt>
          </c:strCache>
        </c:strRef>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1"/>
          <c:order val="0"/>
          <c:tx>
            <c:strRef>
              <c:f>tabellen_EMD!$AK$94</c:f>
              <c:strCache>
                <c:ptCount val="1"/>
                <c:pt idx="0">
                  <c:v>woongebouw  0.69 / 0.34</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og"/>
            <c:dispRSqr val="0"/>
            <c:dispEq val="0"/>
          </c:trendline>
          <c:xVal>
            <c:numRef>
              <c:f>tabellen_EMD!$AH$94:$AI$94</c:f>
              <c:numCache>
                <c:formatCode>#,##0.0000</c:formatCode>
                <c:ptCount val="2"/>
                <c:pt idx="0">
                  <c:v>0.68712543101769019</c:v>
                </c:pt>
                <c:pt idx="1">
                  <c:v>0.34340665483741845</c:v>
                </c:pt>
              </c:numCache>
            </c:numRef>
          </c:xVal>
          <c:yVal>
            <c:numRef>
              <c:f>tabellen_EMD!$AH$92:$AI$92</c:f>
              <c:numCache>
                <c:formatCode>#,##0.0</c:formatCode>
                <c:ptCount val="2"/>
                <c:pt idx="0" formatCode="#,##0">
                  <c:v>6</c:v>
                </c:pt>
                <c:pt idx="1">
                  <c:v>10</c:v>
                </c:pt>
              </c:numCache>
            </c:numRef>
          </c:yVal>
          <c:smooth val="0"/>
          <c:extLst>
            <c:ext xmlns:c16="http://schemas.microsoft.com/office/drawing/2014/chart" uri="{C3380CC4-5D6E-409C-BE32-E72D297353CC}">
              <c16:uniqueId val="{00000001-D35A-4373-AFA6-9C7872A21D82}"/>
            </c:ext>
          </c:extLst>
        </c:ser>
        <c:ser>
          <c:idx val="2"/>
          <c:order val="1"/>
          <c:tx>
            <c:strRef>
              <c:f>tabellen_EMD!$AK$95</c:f>
              <c:strCache>
                <c:ptCount val="1"/>
                <c:pt idx="0">
                  <c:v>kantoor  0.72 / 0.34</c:v>
                </c:pt>
              </c:strCache>
            </c:strRef>
          </c:tx>
          <c:spPr>
            <a:ln w="25400" cap="rnd">
              <a:no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og"/>
            <c:dispRSqr val="0"/>
            <c:dispEq val="0"/>
          </c:trendline>
          <c:xVal>
            <c:numRef>
              <c:f>tabellen_EMD!$AH$95:$AI$95</c:f>
              <c:numCache>
                <c:formatCode>#,##0.0000</c:formatCode>
                <c:ptCount val="2"/>
                <c:pt idx="0">
                  <c:v>0.72170845019163166</c:v>
                </c:pt>
                <c:pt idx="1">
                  <c:v>0.34204238783910956</c:v>
                </c:pt>
              </c:numCache>
            </c:numRef>
          </c:xVal>
          <c:yVal>
            <c:numRef>
              <c:f>tabellen_EMD!$AH$92:$AI$92</c:f>
              <c:numCache>
                <c:formatCode>#,##0.0</c:formatCode>
                <c:ptCount val="2"/>
                <c:pt idx="0" formatCode="#,##0">
                  <c:v>6</c:v>
                </c:pt>
                <c:pt idx="1">
                  <c:v>10</c:v>
                </c:pt>
              </c:numCache>
            </c:numRef>
          </c:yVal>
          <c:smooth val="0"/>
          <c:extLst>
            <c:ext xmlns:c16="http://schemas.microsoft.com/office/drawing/2014/chart" uri="{C3380CC4-5D6E-409C-BE32-E72D297353CC}">
              <c16:uniqueId val="{00000003-D35A-4373-AFA6-9C7872A21D82}"/>
            </c:ext>
          </c:extLst>
        </c:ser>
        <c:ser>
          <c:idx val="3"/>
          <c:order val="2"/>
          <c:tx>
            <c:strRef>
              <c:f>tabellen_EMD!$AK$96</c:f>
              <c:strCache>
                <c:ptCount val="1"/>
                <c:pt idx="0">
                  <c:v>bijeenkomst overig  0.91 / 0.45</c:v>
                </c:pt>
              </c:strCache>
            </c:strRef>
          </c:tx>
          <c:spPr>
            <a:ln w="25400" cap="rnd">
              <a:noFill/>
              <a:round/>
            </a:ln>
            <a:effectLst/>
          </c:spPr>
          <c:marker>
            <c:symbol val="circle"/>
            <c:size val="5"/>
            <c:spPr>
              <a:solidFill>
                <a:schemeClr val="accent4"/>
              </a:solidFill>
              <a:ln w="9525">
                <a:solidFill>
                  <a:schemeClr val="accent4"/>
                </a:solidFill>
              </a:ln>
              <a:effectLst/>
            </c:spPr>
          </c:marker>
          <c:trendline>
            <c:spPr>
              <a:ln w="19050" cap="rnd">
                <a:solidFill>
                  <a:schemeClr val="accent4"/>
                </a:solidFill>
                <a:prstDash val="sysDot"/>
              </a:ln>
              <a:effectLst/>
            </c:spPr>
            <c:trendlineType val="log"/>
            <c:dispRSqr val="0"/>
            <c:dispEq val="0"/>
          </c:trendline>
          <c:xVal>
            <c:numRef>
              <c:f>tabellen_EMD!$AH$96:$AI$96</c:f>
              <c:numCache>
                <c:formatCode>#,##0.0000</c:formatCode>
                <c:ptCount val="2"/>
                <c:pt idx="0">
                  <c:v>0.90997518582080561</c:v>
                </c:pt>
                <c:pt idx="1">
                  <c:v>0.44739513718418583</c:v>
                </c:pt>
              </c:numCache>
            </c:numRef>
          </c:xVal>
          <c:yVal>
            <c:numRef>
              <c:f>tabellen_EMD!$AH$92:$AI$92</c:f>
              <c:numCache>
                <c:formatCode>#,##0.0</c:formatCode>
                <c:ptCount val="2"/>
                <c:pt idx="0" formatCode="#,##0">
                  <c:v>6</c:v>
                </c:pt>
                <c:pt idx="1">
                  <c:v>10</c:v>
                </c:pt>
              </c:numCache>
            </c:numRef>
          </c:yVal>
          <c:smooth val="0"/>
          <c:extLst>
            <c:ext xmlns:c16="http://schemas.microsoft.com/office/drawing/2014/chart" uri="{C3380CC4-5D6E-409C-BE32-E72D297353CC}">
              <c16:uniqueId val="{00000005-D35A-4373-AFA6-9C7872A21D82}"/>
            </c:ext>
          </c:extLst>
        </c:ser>
        <c:ser>
          <c:idx val="5"/>
          <c:order val="3"/>
          <c:tx>
            <c:strRef>
              <c:f>tabellen_EMD!$AK$98</c:f>
              <c:strCache>
                <c:ptCount val="1"/>
                <c:pt idx="0">
                  <c:v>onderwijs  0.86 / 0.42</c:v>
                </c:pt>
              </c:strCache>
            </c:strRef>
          </c:tx>
          <c:spPr>
            <a:ln w="25400" cap="rnd">
              <a:noFill/>
              <a:round/>
            </a:ln>
            <a:effectLst/>
          </c:spPr>
          <c:marker>
            <c:symbol val="circle"/>
            <c:size val="5"/>
            <c:spPr>
              <a:solidFill>
                <a:schemeClr val="accent6"/>
              </a:solidFill>
              <a:ln w="9525">
                <a:solidFill>
                  <a:schemeClr val="accent6"/>
                </a:solidFill>
              </a:ln>
              <a:effectLst/>
            </c:spPr>
          </c:marker>
          <c:trendline>
            <c:spPr>
              <a:ln w="19050" cap="rnd">
                <a:solidFill>
                  <a:schemeClr val="accent6"/>
                </a:solidFill>
                <a:prstDash val="sysDot"/>
              </a:ln>
              <a:effectLst/>
            </c:spPr>
            <c:trendlineType val="log"/>
            <c:dispRSqr val="0"/>
            <c:dispEq val="0"/>
          </c:trendline>
          <c:xVal>
            <c:numRef>
              <c:f>tabellen_EMD!$AH$98:$AI$98</c:f>
              <c:numCache>
                <c:formatCode>#,##0.0000</c:formatCode>
                <c:ptCount val="2"/>
                <c:pt idx="0">
                  <c:v>0.86109507242772054</c:v>
                </c:pt>
                <c:pt idx="1">
                  <c:v>0.41938127016959614</c:v>
                </c:pt>
              </c:numCache>
            </c:numRef>
          </c:xVal>
          <c:yVal>
            <c:numRef>
              <c:f>tabellen_EMD!$AH$92:$AI$92</c:f>
              <c:numCache>
                <c:formatCode>#,##0.0</c:formatCode>
                <c:ptCount val="2"/>
                <c:pt idx="0" formatCode="#,##0">
                  <c:v>6</c:v>
                </c:pt>
                <c:pt idx="1">
                  <c:v>10</c:v>
                </c:pt>
              </c:numCache>
            </c:numRef>
          </c:yVal>
          <c:smooth val="0"/>
          <c:extLst>
            <c:ext xmlns:c16="http://schemas.microsoft.com/office/drawing/2014/chart" uri="{C3380CC4-5D6E-409C-BE32-E72D297353CC}">
              <c16:uniqueId val="{00000007-D35A-4373-AFA6-9C7872A21D82}"/>
            </c:ext>
          </c:extLst>
        </c:ser>
        <c:ser>
          <c:idx val="4"/>
          <c:order val="4"/>
          <c:tx>
            <c:strRef>
              <c:f>tabellen_EMD!$AK$101</c:f>
              <c:strCache>
                <c:ptCount val="1"/>
                <c:pt idx="0">
                  <c:v>winkel  1.03 / 0.48</c:v>
                </c:pt>
              </c:strCache>
            </c:strRef>
          </c:tx>
          <c:spPr>
            <a:ln w="25400" cap="rnd">
              <a:noFill/>
              <a:round/>
            </a:ln>
            <a:effectLst/>
          </c:spPr>
          <c:marker>
            <c:symbol val="circle"/>
            <c:size val="5"/>
            <c:spPr>
              <a:solidFill>
                <a:schemeClr val="accent5"/>
              </a:solidFill>
              <a:ln w="9525">
                <a:solidFill>
                  <a:schemeClr val="accent5"/>
                </a:solidFill>
              </a:ln>
              <a:effectLst/>
            </c:spPr>
          </c:marker>
          <c:trendline>
            <c:spPr>
              <a:ln w="19050" cap="rnd">
                <a:solidFill>
                  <a:schemeClr val="accent5"/>
                </a:solidFill>
                <a:prstDash val="sysDot"/>
              </a:ln>
              <a:effectLst/>
            </c:spPr>
            <c:trendlineType val="log"/>
            <c:dispRSqr val="0"/>
            <c:dispEq val="0"/>
          </c:trendline>
          <c:xVal>
            <c:numRef>
              <c:f>tabellen_EMD!$AH$101:$AI$101</c:f>
              <c:numCache>
                <c:formatCode>#,##0.0000</c:formatCode>
                <c:ptCount val="2"/>
                <c:pt idx="0">
                  <c:v>1.0341007852256354</c:v>
                </c:pt>
                <c:pt idx="1">
                  <c:v>0.47881600260440521</c:v>
                </c:pt>
              </c:numCache>
            </c:numRef>
          </c:xVal>
          <c:yVal>
            <c:numRef>
              <c:f>tabellen_EMD!$AH$92:$AI$92</c:f>
              <c:numCache>
                <c:formatCode>#,##0.0</c:formatCode>
                <c:ptCount val="2"/>
                <c:pt idx="0" formatCode="#,##0">
                  <c:v>6</c:v>
                </c:pt>
                <c:pt idx="1">
                  <c:v>10</c:v>
                </c:pt>
              </c:numCache>
            </c:numRef>
          </c:yVal>
          <c:smooth val="0"/>
          <c:extLst>
            <c:ext xmlns:c16="http://schemas.microsoft.com/office/drawing/2014/chart" uri="{C3380CC4-5D6E-409C-BE32-E72D297353CC}">
              <c16:uniqueId val="{00000009-D35A-4373-AFA6-9C7872A21D82}"/>
            </c:ext>
          </c:extLst>
        </c:ser>
        <c:ser>
          <c:idx val="0"/>
          <c:order val="5"/>
          <c:tx>
            <c:strRef>
              <c:f>tabellen_EMD!$AK$102</c:f>
              <c:strCache>
                <c:ptCount val="1"/>
                <c:pt idx="0">
                  <c:v>sport  1.11 / 0.53</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og"/>
            <c:dispRSqr val="0"/>
            <c:dispEq val="0"/>
          </c:trendline>
          <c:xVal>
            <c:numRef>
              <c:f>tabellen_EMD!$AH$102:$AI$102</c:f>
              <c:numCache>
                <c:formatCode>#,##0.0000</c:formatCode>
                <c:ptCount val="2"/>
                <c:pt idx="0">
                  <c:v>1.1099038021523646</c:v>
                </c:pt>
                <c:pt idx="1">
                  <c:v>0.53125635775881819</c:v>
                </c:pt>
              </c:numCache>
            </c:numRef>
          </c:xVal>
          <c:yVal>
            <c:numRef>
              <c:f>tabellen_EMD!$AH$92:$AI$92</c:f>
              <c:numCache>
                <c:formatCode>#,##0.0</c:formatCode>
                <c:ptCount val="2"/>
                <c:pt idx="0" formatCode="#,##0">
                  <c:v>6</c:v>
                </c:pt>
                <c:pt idx="1">
                  <c:v>10</c:v>
                </c:pt>
              </c:numCache>
            </c:numRef>
          </c:yVal>
          <c:smooth val="0"/>
          <c:extLst>
            <c:ext xmlns:c16="http://schemas.microsoft.com/office/drawing/2014/chart" uri="{C3380CC4-5D6E-409C-BE32-E72D297353CC}">
              <c16:uniqueId val="{0000000B-D35A-4373-AFA6-9C7872A21D82}"/>
            </c:ext>
          </c:extLst>
        </c:ser>
        <c:ser>
          <c:idx val="6"/>
          <c:order val="6"/>
          <c:tx>
            <c:strRef>
              <c:f>tabellen_EMD!$AK$103</c:f>
              <c:strCache>
                <c:ptCount val="1"/>
                <c:pt idx="0">
                  <c:v>logies in logiesgebouw  0.76 / 0.38</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trendline>
            <c:spPr>
              <a:ln w="19050" cap="rnd">
                <a:solidFill>
                  <a:schemeClr val="accent1">
                    <a:lumMod val="60000"/>
                  </a:schemeClr>
                </a:solidFill>
                <a:prstDash val="sysDot"/>
              </a:ln>
              <a:effectLst/>
            </c:spPr>
            <c:trendlineType val="log"/>
            <c:dispRSqr val="0"/>
            <c:dispEq val="0"/>
          </c:trendline>
          <c:xVal>
            <c:numRef>
              <c:f>tabellen_EMD!$AH$103:$AI$103</c:f>
              <c:numCache>
                <c:formatCode>#,##0.0000</c:formatCode>
                <c:ptCount val="2"/>
                <c:pt idx="0">
                  <c:v>0.76435676674654418</c:v>
                </c:pt>
                <c:pt idx="1">
                  <c:v>0.38099148928121052</c:v>
                </c:pt>
              </c:numCache>
            </c:numRef>
          </c:xVal>
          <c:yVal>
            <c:numRef>
              <c:f>tabellen_EMD!$AH$92:$AI$92</c:f>
              <c:numCache>
                <c:formatCode>#,##0.0</c:formatCode>
                <c:ptCount val="2"/>
                <c:pt idx="0" formatCode="#,##0">
                  <c:v>6</c:v>
                </c:pt>
                <c:pt idx="1">
                  <c:v>10</c:v>
                </c:pt>
              </c:numCache>
            </c:numRef>
          </c:yVal>
          <c:smooth val="0"/>
          <c:extLst>
            <c:ext xmlns:c16="http://schemas.microsoft.com/office/drawing/2014/chart" uri="{C3380CC4-5D6E-409C-BE32-E72D297353CC}">
              <c16:uniqueId val="{0000000D-D35A-4373-AFA6-9C7872A21D82}"/>
            </c:ext>
          </c:extLst>
        </c:ser>
        <c:dLbls>
          <c:showLegendKey val="0"/>
          <c:showVal val="0"/>
          <c:showCatName val="0"/>
          <c:showSerName val="0"/>
          <c:showPercent val="0"/>
          <c:showBubbleSize val="0"/>
        </c:dLbls>
        <c:axId val="598947200"/>
        <c:axId val="598944800"/>
      </c:scatterChart>
      <c:valAx>
        <c:axId val="598947200"/>
        <c:scaling>
          <c:orientation val="minMax"/>
        </c:scaling>
        <c:delete val="0"/>
        <c:axPos val="b"/>
        <c:majorGridlines>
          <c:spPr>
            <a:ln w="9525" cap="flat" cmpd="sng" algn="ctr">
              <a:solidFill>
                <a:schemeClr val="tx1">
                  <a:lumMod val="15000"/>
                  <a:lumOff val="85000"/>
                </a:schemeClr>
              </a:solidFill>
              <a:round/>
            </a:ln>
            <a:effectLst/>
          </c:spPr>
        </c:majorGridlines>
        <c:title>
          <c:tx>
            <c:strRef>
              <c:f>tabellen_EMD!$AG$90</c:f>
              <c:strCache>
                <c:ptCount val="1"/>
                <c:pt idx="0">
                  <c:v>Milieukosten [euro/m2 BVO]</c:v>
                </c:pt>
              </c:strCache>
            </c:strRef>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nl-NL"/>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nl-NL"/>
          </a:p>
        </c:txPr>
        <c:crossAx val="598944800"/>
        <c:crosses val="autoZero"/>
        <c:crossBetween val="midCat"/>
      </c:valAx>
      <c:valAx>
        <c:axId val="598944800"/>
        <c:scaling>
          <c:orientation val="minMax"/>
          <c:max val="12"/>
        </c:scaling>
        <c:delete val="0"/>
        <c:axPos val="l"/>
        <c:majorGridlines>
          <c:spPr>
            <a:ln w="9525" cap="flat" cmpd="sng" algn="ctr">
              <a:solidFill>
                <a:schemeClr val="tx1">
                  <a:lumMod val="15000"/>
                  <a:lumOff val="85000"/>
                </a:schemeClr>
              </a:solidFill>
              <a:round/>
            </a:ln>
            <a:effectLst/>
          </c:spPr>
        </c:majorGridlines>
        <c:title>
          <c:tx>
            <c:strRef>
              <c:f>tabellen_EMD!$AG$89</c:f>
              <c:strCache>
                <c:ptCount val="1"/>
                <c:pt idx="0">
                  <c:v>Score op Milieuprestatie</c:v>
                </c:pt>
              </c:strCache>
            </c:strRef>
          </c:tx>
          <c:layout>
            <c:manualLayout>
              <c:xMode val="edge"/>
              <c:yMode val="edge"/>
              <c:x val="8.4622221195600929E-3"/>
              <c:y val="0.1355214562824596"/>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nl-NL"/>
          </a:p>
        </c:txPr>
        <c:crossAx val="598947200"/>
        <c:crosses val="autoZero"/>
        <c:crossBetween val="midCat"/>
      </c:valAx>
      <c:spPr>
        <a:noFill/>
        <a:ln>
          <a:noFill/>
        </a:ln>
        <a:effectLst/>
      </c:spPr>
    </c:plotArea>
    <c:legend>
      <c:legendPos val="r"/>
      <c:legendEntry>
        <c:idx val="7"/>
        <c:delete val="1"/>
      </c:legendEntry>
      <c:legendEntry>
        <c:idx val="8"/>
        <c:delete val="1"/>
      </c:legendEntry>
      <c:legendEntry>
        <c:idx val="9"/>
        <c:delete val="1"/>
      </c:legendEntry>
      <c:legendEntry>
        <c:idx val="10"/>
        <c:delete val="1"/>
      </c:legendEntry>
      <c:legendEntry>
        <c:idx val="11"/>
        <c:delete val="1"/>
      </c:legendEntry>
      <c:legendEntry>
        <c:idx val="12"/>
        <c:delete val="1"/>
      </c:legendEntry>
      <c:legendEntry>
        <c:idx val="13"/>
        <c:delete val="1"/>
      </c:legendEntry>
      <c:layout>
        <c:manualLayout>
          <c:xMode val="edge"/>
          <c:yMode val="edge"/>
          <c:x val="0.65635271341374368"/>
          <c:y val="0.13028845479089046"/>
          <c:w val="0.33929407993552002"/>
          <c:h val="0.70441199772430452"/>
        </c:manualLayout>
      </c:layout>
      <c:overlay val="1"/>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nl-NL"/>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tabellen_EMD!$AE$108</c:f>
          <c:strCache>
            <c:ptCount val="1"/>
            <c:pt idx="0">
              <c:v>woning</c:v>
            </c:pt>
          </c:strCache>
        </c:strRef>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2"/>
          <c:order val="1"/>
          <c:tx>
            <c:strRef>
              <c:f>tabellen_EMD!$AK$112</c:f>
              <c:strCache>
                <c:ptCount val="1"/>
                <c:pt idx="0">
                  <c:v>GPR 4.3 NMD 2.3  0.69/0.34</c:v>
                </c:pt>
              </c:strCache>
            </c:strRef>
          </c:tx>
          <c:spPr>
            <a:ln w="25400" cap="rnd">
              <a:no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og"/>
            <c:dispRSqr val="0"/>
            <c:dispEq val="0"/>
          </c:trendline>
          <c:xVal>
            <c:numRef>
              <c:f>tabellen_EMD!$AH$112:$AI$112</c:f>
              <c:numCache>
                <c:formatCode>#,##0.0000</c:formatCode>
                <c:ptCount val="2"/>
                <c:pt idx="0">
                  <c:v>0.68712543101769019</c:v>
                </c:pt>
                <c:pt idx="1">
                  <c:v>0.34340665483741845</c:v>
                </c:pt>
              </c:numCache>
            </c:numRef>
          </c:xVal>
          <c:yVal>
            <c:numRef>
              <c:f>tabellen_EMD!$AH$110:$AI$110</c:f>
              <c:numCache>
                <c:formatCode>#,##0.0</c:formatCode>
                <c:ptCount val="2"/>
                <c:pt idx="0" formatCode="#,##0">
                  <c:v>6</c:v>
                </c:pt>
                <c:pt idx="1">
                  <c:v>10</c:v>
                </c:pt>
              </c:numCache>
            </c:numRef>
          </c:yVal>
          <c:smooth val="0"/>
          <c:extLst>
            <c:ext xmlns:c16="http://schemas.microsoft.com/office/drawing/2014/chart" uri="{C3380CC4-5D6E-409C-BE32-E72D297353CC}">
              <c16:uniqueId val="{00000003-C8CF-4BC3-A277-04BF1BCB1A3E}"/>
            </c:ext>
          </c:extLst>
        </c:ser>
        <c:ser>
          <c:idx val="3"/>
          <c:order val="2"/>
          <c:tx>
            <c:strRef>
              <c:f>tabellen_EMD!$AK$113</c:f>
              <c:strCache>
                <c:ptCount val="1"/>
                <c:pt idx="0">
                  <c:v>GPR 4.4 NMD 3.0  0.68/0.36</c:v>
                </c:pt>
              </c:strCache>
            </c:strRef>
          </c:tx>
          <c:spPr>
            <a:ln w="25400" cap="rnd">
              <a:noFill/>
              <a:round/>
            </a:ln>
            <a:effectLst/>
          </c:spPr>
          <c:marker>
            <c:symbol val="circle"/>
            <c:size val="5"/>
            <c:spPr>
              <a:solidFill>
                <a:schemeClr val="accent4"/>
              </a:solidFill>
              <a:ln w="9525">
                <a:solidFill>
                  <a:schemeClr val="accent4"/>
                </a:solidFill>
              </a:ln>
              <a:effectLst/>
            </c:spPr>
          </c:marker>
          <c:trendline>
            <c:spPr>
              <a:ln w="19050" cap="rnd">
                <a:solidFill>
                  <a:schemeClr val="accent4"/>
                </a:solidFill>
                <a:prstDash val="sysDot"/>
              </a:ln>
              <a:effectLst/>
            </c:spPr>
            <c:trendlineType val="log"/>
            <c:dispRSqr val="0"/>
            <c:dispEq val="0"/>
          </c:trendline>
          <c:xVal>
            <c:numRef>
              <c:f>tabellen_EMD!$AH$113:$AI$113</c:f>
              <c:numCache>
                <c:formatCode>#,##0.0000</c:formatCode>
                <c:ptCount val="2"/>
                <c:pt idx="0">
                  <c:v>0.68178082889248581</c:v>
                </c:pt>
                <c:pt idx="1">
                  <c:v>0.35872303168018571</c:v>
                </c:pt>
              </c:numCache>
            </c:numRef>
          </c:xVal>
          <c:yVal>
            <c:numRef>
              <c:f>tabellen_EMD!$AH$110:$AI$110</c:f>
              <c:numCache>
                <c:formatCode>#,##0.0</c:formatCode>
                <c:ptCount val="2"/>
                <c:pt idx="0" formatCode="#,##0">
                  <c:v>6</c:v>
                </c:pt>
                <c:pt idx="1">
                  <c:v>10</c:v>
                </c:pt>
              </c:numCache>
            </c:numRef>
          </c:yVal>
          <c:smooth val="0"/>
          <c:extLst>
            <c:ext xmlns:c16="http://schemas.microsoft.com/office/drawing/2014/chart" uri="{C3380CC4-5D6E-409C-BE32-E72D297353CC}">
              <c16:uniqueId val="{00000005-C8CF-4BC3-A277-04BF1BCB1A3E}"/>
            </c:ext>
          </c:extLst>
        </c:ser>
        <c:ser>
          <c:idx val="5"/>
          <c:order val="3"/>
          <c:tx>
            <c:strRef>
              <c:f>tabellen_EMD!$AK$114</c:f>
              <c:strCache>
                <c:ptCount val="1"/>
                <c:pt idx="0">
                  <c:v>GPR 4.4 NMD 3.0  0.68/0.36</c:v>
                </c:pt>
              </c:strCache>
            </c:strRef>
          </c:tx>
          <c:spPr>
            <a:ln w="25400" cap="rnd">
              <a:noFill/>
              <a:round/>
            </a:ln>
            <a:effectLst/>
          </c:spPr>
          <c:marker>
            <c:symbol val="circle"/>
            <c:size val="5"/>
            <c:spPr>
              <a:solidFill>
                <a:schemeClr val="accent6"/>
              </a:solidFill>
              <a:ln w="9525">
                <a:solidFill>
                  <a:schemeClr val="accent6"/>
                </a:solidFill>
              </a:ln>
              <a:effectLst/>
            </c:spPr>
          </c:marker>
          <c:trendline>
            <c:spPr>
              <a:ln w="19050" cap="rnd">
                <a:solidFill>
                  <a:schemeClr val="accent6"/>
                </a:solidFill>
                <a:prstDash val="sysDot"/>
              </a:ln>
              <a:effectLst/>
            </c:spPr>
            <c:trendlineType val="log"/>
            <c:dispRSqr val="0"/>
            <c:dispEq val="0"/>
          </c:trendline>
          <c:xVal>
            <c:numRef>
              <c:f>tabellen_EMD!$AH$114:$AI$114</c:f>
              <c:numCache>
                <c:formatCode>#,##0.0000</c:formatCode>
                <c:ptCount val="2"/>
                <c:pt idx="0">
                  <c:v>0.68178082889248581</c:v>
                </c:pt>
                <c:pt idx="1">
                  <c:v>0.35872303168018571</c:v>
                </c:pt>
              </c:numCache>
            </c:numRef>
          </c:xVal>
          <c:yVal>
            <c:numRef>
              <c:f>tabellen_EMD!$AH$110:$AI$110</c:f>
              <c:numCache>
                <c:formatCode>#,##0.0</c:formatCode>
                <c:ptCount val="2"/>
                <c:pt idx="0" formatCode="#,##0">
                  <c:v>6</c:v>
                </c:pt>
                <c:pt idx="1">
                  <c:v>10</c:v>
                </c:pt>
              </c:numCache>
            </c:numRef>
          </c:yVal>
          <c:smooth val="0"/>
          <c:extLst>
            <c:ext xmlns:c16="http://schemas.microsoft.com/office/drawing/2014/chart" uri="{C3380CC4-5D6E-409C-BE32-E72D297353CC}">
              <c16:uniqueId val="{00000007-C8CF-4BC3-A277-04BF1BCB1A3E}"/>
            </c:ext>
          </c:extLst>
        </c:ser>
        <c:dLbls>
          <c:showLegendKey val="0"/>
          <c:showVal val="0"/>
          <c:showCatName val="0"/>
          <c:showSerName val="0"/>
          <c:showPercent val="0"/>
          <c:showBubbleSize val="0"/>
        </c:dLbls>
        <c:axId val="598947200"/>
        <c:axId val="598944800"/>
        <c:extLst>
          <c:ext xmlns:c15="http://schemas.microsoft.com/office/drawing/2012/chart" uri="{02D57815-91ED-43cb-92C2-25804820EDAC}">
            <c15:filteredScatterSeries>
              <c15:ser>
                <c:idx val="1"/>
                <c:order val="0"/>
                <c:tx>
                  <c:strRef>
                    <c:extLst>
                      <c:ext uri="{02D57815-91ED-43cb-92C2-25804820EDAC}">
                        <c15:formulaRef>
                          <c15:sqref>tabellen_EMD!$AK$111</c15:sqref>
                        </c15:formulaRef>
                      </c:ext>
                    </c:extLst>
                    <c:strCache>
                      <c:ptCount val="1"/>
                      <c:pt idx="0">
                        <c:v>GPR 4.3 NMD 2.3  0.69/0.34</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og"/>
                  <c:dispRSqr val="0"/>
                  <c:dispEq val="0"/>
                </c:trendline>
                <c:xVal>
                  <c:numRef>
                    <c:extLst>
                      <c:ext uri="{02D57815-91ED-43cb-92C2-25804820EDAC}">
                        <c15:formulaRef>
                          <c15:sqref>tabellen_EMD!$AH$111:$AI$111</c15:sqref>
                        </c15:formulaRef>
                      </c:ext>
                    </c:extLst>
                    <c:numCache>
                      <c:formatCode>#,##0.0000</c:formatCode>
                      <c:ptCount val="2"/>
                      <c:pt idx="0">
                        <c:v>0.68712543101769019</c:v>
                      </c:pt>
                      <c:pt idx="1">
                        <c:v>0.34340665483741845</c:v>
                      </c:pt>
                    </c:numCache>
                  </c:numRef>
                </c:xVal>
                <c:yVal>
                  <c:numRef>
                    <c:extLst>
                      <c:ext uri="{02D57815-91ED-43cb-92C2-25804820EDAC}">
                        <c15:formulaRef>
                          <c15:sqref>tabellen_EMD!$AH$110:$AI$110</c15:sqref>
                        </c15:formulaRef>
                      </c:ext>
                    </c:extLst>
                    <c:numCache>
                      <c:formatCode>#,##0.0</c:formatCode>
                      <c:ptCount val="2"/>
                      <c:pt idx="0" formatCode="#,##0">
                        <c:v>6</c:v>
                      </c:pt>
                      <c:pt idx="1">
                        <c:v>10</c:v>
                      </c:pt>
                    </c:numCache>
                  </c:numRef>
                </c:yVal>
                <c:smooth val="0"/>
                <c:extLst>
                  <c:ext xmlns:c16="http://schemas.microsoft.com/office/drawing/2014/chart" uri="{C3380CC4-5D6E-409C-BE32-E72D297353CC}">
                    <c16:uniqueId val="{00000001-C8CF-4BC3-A277-04BF1BCB1A3E}"/>
                  </c:ext>
                </c:extLst>
              </c15:ser>
            </c15:filteredScatterSeries>
          </c:ext>
        </c:extLst>
      </c:scatterChart>
      <c:valAx>
        <c:axId val="598947200"/>
        <c:scaling>
          <c:orientation val="minMax"/>
        </c:scaling>
        <c:delete val="0"/>
        <c:axPos val="b"/>
        <c:majorGridlines>
          <c:spPr>
            <a:ln w="9525" cap="flat" cmpd="sng" algn="ctr">
              <a:solidFill>
                <a:schemeClr val="tx1">
                  <a:lumMod val="15000"/>
                  <a:lumOff val="85000"/>
                </a:schemeClr>
              </a:solidFill>
              <a:round/>
            </a:ln>
            <a:effectLst/>
          </c:spPr>
        </c:majorGridlines>
        <c:title>
          <c:tx>
            <c:strRef>
              <c:f>tabellen_EMD!$AG$108</c:f>
              <c:strCache>
                <c:ptCount val="1"/>
                <c:pt idx="0">
                  <c:v>Milieukosten [euro/m2 BVO]</c:v>
                </c:pt>
              </c:strCache>
            </c:strRef>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nl-NL"/>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nl-NL"/>
          </a:p>
        </c:txPr>
        <c:crossAx val="598944800"/>
        <c:crosses val="autoZero"/>
        <c:crossBetween val="midCat"/>
      </c:valAx>
      <c:valAx>
        <c:axId val="598944800"/>
        <c:scaling>
          <c:orientation val="minMax"/>
          <c:max val="12"/>
        </c:scaling>
        <c:delete val="0"/>
        <c:axPos val="l"/>
        <c:majorGridlines>
          <c:spPr>
            <a:ln w="9525" cap="flat" cmpd="sng" algn="ctr">
              <a:solidFill>
                <a:schemeClr val="tx1">
                  <a:lumMod val="15000"/>
                  <a:lumOff val="85000"/>
                </a:schemeClr>
              </a:solidFill>
              <a:round/>
            </a:ln>
            <a:effectLst/>
          </c:spPr>
        </c:majorGridlines>
        <c:title>
          <c:tx>
            <c:strRef>
              <c:f>tabellen_EMD!$AG$107</c:f>
              <c:strCache>
                <c:ptCount val="1"/>
                <c:pt idx="0">
                  <c:v>Score op Milieuprestatie</c:v>
                </c:pt>
              </c:strCache>
            </c:strRef>
          </c:tx>
          <c:layout>
            <c:manualLayout>
              <c:xMode val="edge"/>
              <c:yMode val="edge"/>
              <c:x val="8.4622221195600929E-3"/>
              <c:y val="0.1355214562824596"/>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nl-NL"/>
          </a:p>
        </c:txPr>
        <c:crossAx val="598947200"/>
        <c:crosses val="autoZero"/>
        <c:crossBetween val="midCat"/>
      </c:valAx>
      <c:spPr>
        <a:noFill/>
        <a:ln>
          <a:noFill/>
        </a:ln>
        <a:effectLst/>
      </c:spPr>
    </c:plotArea>
    <c:legend>
      <c:legendPos val="r"/>
      <c:legendEntry>
        <c:idx val="3"/>
        <c:delete val="1"/>
      </c:legendEntry>
      <c:legendEntry>
        <c:idx val="4"/>
        <c:delete val="1"/>
      </c:legendEntry>
      <c:legendEntry>
        <c:idx val="5"/>
        <c:delete val="1"/>
      </c:legendEntry>
      <c:layout>
        <c:manualLayout>
          <c:xMode val="edge"/>
          <c:yMode val="edge"/>
          <c:x val="0.65635271341374368"/>
          <c:y val="0.13028845479089046"/>
          <c:w val="0.33929407993552002"/>
          <c:h val="0.70441199772430452"/>
        </c:manualLayout>
      </c:layout>
      <c:overlay val="1"/>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nl-NL"/>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tabellen_EMD!$AE$156</c:f>
          <c:strCache>
            <c:ptCount val="1"/>
            <c:pt idx="0">
              <c:v>GPR 4.3 | NEN 7120</c:v>
            </c:pt>
          </c:strCache>
        </c:strRef>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1"/>
          <c:order val="0"/>
          <c:tx>
            <c:strRef>
              <c:f>tabellen_EMD!$AK$159</c:f>
              <c:strCache>
                <c:ptCount val="1"/>
                <c:pt idx="0">
                  <c:v>woongebouw  2.93/0.09</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exp"/>
            <c:dispRSqr val="0"/>
            <c:dispEq val="0"/>
          </c:trendline>
          <c:xVal>
            <c:numRef>
              <c:f>tabellen_EMD!$AH$159:$AI$159</c:f>
              <c:numCache>
                <c:formatCode>#,##0.0000</c:formatCode>
                <c:ptCount val="2"/>
                <c:pt idx="0">
                  <c:v>2.9310244865608079</c:v>
                </c:pt>
                <c:pt idx="1">
                  <c:v>9.3104354527526384E-2</c:v>
                </c:pt>
              </c:numCache>
            </c:numRef>
          </c:xVal>
          <c:yVal>
            <c:numRef>
              <c:f>tabellen_EMD!$AH$157:$AI$157</c:f>
              <c:numCache>
                <c:formatCode>#,##0</c:formatCode>
                <c:ptCount val="2"/>
                <c:pt idx="0">
                  <c:v>6</c:v>
                </c:pt>
                <c:pt idx="1">
                  <c:v>10</c:v>
                </c:pt>
              </c:numCache>
            </c:numRef>
          </c:yVal>
          <c:smooth val="0"/>
          <c:extLst>
            <c:ext xmlns:c16="http://schemas.microsoft.com/office/drawing/2014/chart" uri="{C3380CC4-5D6E-409C-BE32-E72D297353CC}">
              <c16:uniqueId val="{00000001-267E-4AF3-BE71-B7C87C4977C3}"/>
            </c:ext>
          </c:extLst>
        </c:ser>
        <c:ser>
          <c:idx val="2"/>
          <c:order val="1"/>
          <c:tx>
            <c:strRef>
              <c:f>tabellen_EMD!$AK$160</c:f>
              <c:strCache>
                <c:ptCount val="1"/>
                <c:pt idx="0">
                  <c:v>kantoor  3.88/0.12</c:v>
                </c:pt>
              </c:strCache>
            </c:strRef>
          </c:tx>
          <c:spPr>
            <a:ln w="25400" cap="rnd">
              <a:no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exp"/>
            <c:dispRSqr val="0"/>
            <c:dispEq val="0"/>
          </c:trendline>
          <c:xVal>
            <c:numRef>
              <c:f>tabellen_EMD!$AH$160:$AI$160</c:f>
              <c:numCache>
                <c:formatCode>#,##0.0000</c:formatCode>
                <c:ptCount val="2"/>
                <c:pt idx="0">
                  <c:v>3.8792971145657744</c:v>
                </c:pt>
                <c:pt idx="1">
                  <c:v>0.12322635158054962</c:v>
                </c:pt>
              </c:numCache>
            </c:numRef>
          </c:xVal>
          <c:yVal>
            <c:numRef>
              <c:f>tabellen_EMD!$AH$157:$AI$157</c:f>
              <c:numCache>
                <c:formatCode>#,##0</c:formatCode>
                <c:ptCount val="2"/>
                <c:pt idx="0">
                  <c:v>6</c:v>
                </c:pt>
                <c:pt idx="1">
                  <c:v>10</c:v>
                </c:pt>
              </c:numCache>
            </c:numRef>
          </c:yVal>
          <c:smooth val="0"/>
          <c:extLst>
            <c:ext xmlns:c16="http://schemas.microsoft.com/office/drawing/2014/chart" uri="{C3380CC4-5D6E-409C-BE32-E72D297353CC}">
              <c16:uniqueId val="{00000003-267E-4AF3-BE71-B7C87C4977C3}"/>
            </c:ext>
          </c:extLst>
        </c:ser>
        <c:ser>
          <c:idx val="3"/>
          <c:order val="2"/>
          <c:tx>
            <c:strRef>
              <c:f>tabellen_EMD!$AK$161</c:f>
              <c:strCache>
                <c:ptCount val="1"/>
                <c:pt idx="0">
                  <c:v>bijeenkomst overig  3.77/0.12</c:v>
                </c:pt>
              </c:strCache>
            </c:strRef>
          </c:tx>
          <c:spPr>
            <a:ln w="25400" cap="rnd">
              <a:noFill/>
              <a:round/>
            </a:ln>
            <a:effectLst/>
          </c:spPr>
          <c:marker>
            <c:symbol val="circle"/>
            <c:size val="5"/>
            <c:spPr>
              <a:solidFill>
                <a:schemeClr val="accent4"/>
              </a:solidFill>
              <a:ln w="9525">
                <a:solidFill>
                  <a:schemeClr val="accent4"/>
                </a:solidFill>
              </a:ln>
              <a:effectLst/>
            </c:spPr>
          </c:marker>
          <c:trendline>
            <c:spPr>
              <a:ln w="19050" cap="rnd">
                <a:solidFill>
                  <a:schemeClr val="accent4"/>
                </a:solidFill>
                <a:prstDash val="sysDot"/>
              </a:ln>
              <a:effectLst/>
            </c:spPr>
            <c:trendlineType val="exp"/>
            <c:dispRSqr val="0"/>
            <c:dispEq val="0"/>
          </c:trendline>
          <c:xVal>
            <c:numRef>
              <c:f>tabellen_EMD!$AH$161:$AI$161</c:f>
              <c:numCache>
                <c:formatCode>#,##0.0000</c:formatCode>
                <c:ptCount val="2"/>
                <c:pt idx="0">
                  <c:v>3.7698647458243135</c:v>
                </c:pt>
                <c:pt idx="1">
                  <c:v>0.12111029035295312</c:v>
                </c:pt>
              </c:numCache>
            </c:numRef>
          </c:xVal>
          <c:yVal>
            <c:numRef>
              <c:f>tabellen_EMD!$AH$157:$AI$157</c:f>
              <c:numCache>
                <c:formatCode>#,##0</c:formatCode>
                <c:ptCount val="2"/>
                <c:pt idx="0">
                  <c:v>6</c:v>
                </c:pt>
                <c:pt idx="1">
                  <c:v>10</c:v>
                </c:pt>
              </c:numCache>
            </c:numRef>
          </c:yVal>
          <c:smooth val="0"/>
          <c:extLst>
            <c:ext xmlns:c16="http://schemas.microsoft.com/office/drawing/2014/chart" uri="{C3380CC4-5D6E-409C-BE32-E72D297353CC}">
              <c16:uniqueId val="{00000005-267E-4AF3-BE71-B7C87C4977C3}"/>
            </c:ext>
          </c:extLst>
        </c:ser>
        <c:ser>
          <c:idx val="5"/>
          <c:order val="3"/>
          <c:tx>
            <c:strRef>
              <c:f>tabellen_EMD!$AK$163</c:f>
              <c:strCache>
                <c:ptCount val="1"/>
                <c:pt idx="0">
                  <c:v>onderwijs  5.41/0.09</c:v>
                </c:pt>
              </c:strCache>
            </c:strRef>
          </c:tx>
          <c:spPr>
            <a:ln w="25400" cap="rnd">
              <a:noFill/>
              <a:round/>
            </a:ln>
            <a:effectLst/>
          </c:spPr>
          <c:marker>
            <c:symbol val="circle"/>
            <c:size val="5"/>
            <c:spPr>
              <a:solidFill>
                <a:schemeClr val="accent6"/>
              </a:solidFill>
              <a:ln w="9525">
                <a:solidFill>
                  <a:schemeClr val="accent6"/>
                </a:solidFill>
              </a:ln>
              <a:effectLst/>
            </c:spPr>
          </c:marker>
          <c:trendline>
            <c:spPr>
              <a:ln w="19050" cap="rnd">
                <a:solidFill>
                  <a:schemeClr val="accent6"/>
                </a:solidFill>
                <a:prstDash val="sysDot"/>
              </a:ln>
              <a:effectLst/>
            </c:spPr>
            <c:trendlineType val="exp"/>
            <c:dispRSqr val="0"/>
            <c:dispEq val="0"/>
          </c:trendline>
          <c:xVal>
            <c:numRef>
              <c:f>tabellen_EMD!$AH$163:$AI$163</c:f>
              <c:numCache>
                <c:formatCode>#,##0.0000</c:formatCode>
                <c:ptCount val="2"/>
                <c:pt idx="0">
                  <c:v>5.4072017519064932</c:v>
                </c:pt>
                <c:pt idx="1">
                  <c:v>8.6101504344090099E-2</c:v>
                </c:pt>
              </c:numCache>
            </c:numRef>
          </c:xVal>
          <c:yVal>
            <c:numRef>
              <c:f>tabellen_EMD!$AH$157:$AI$157</c:f>
              <c:numCache>
                <c:formatCode>#,##0</c:formatCode>
                <c:ptCount val="2"/>
                <c:pt idx="0">
                  <c:v>6</c:v>
                </c:pt>
                <c:pt idx="1">
                  <c:v>10</c:v>
                </c:pt>
              </c:numCache>
            </c:numRef>
          </c:yVal>
          <c:smooth val="0"/>
          <c:extLst>
            <c:ext xmlns:c16="http://schemas.microsoft.com/office/drawing/2014/chart" uri="{C3380CC4-5D6E-409C-BE32-E72D297353CC}">
              <c16:uniqueId val="{00000007-267E-4AF3-BE71-B7C87C4977C3}"/>
            </c:ext>
          </c:extLst>
        </c:ser>
        <c:ser>
          <c:idx val="4"/>
          <c:order val="4"/>
          <c:tx>
            <c:strRef>
              <c:f>tabellen_EMD!$AK$166</c:f>
              <c:strCache>
                <c:ptCount val="1"/>
                <c:pt idx="0">
                  <c:v>winkel  7.69/0.18</c:v>
                </c:pt>
              </c:strCache>
            </c:strRef>
          </c:tx>
          <c:spPr>
            <a:ln w="25400" cap="rnd">
              <a:noFill/>
              <a:round/>
            </a:ln>
            <a:effectLst/>
          </c:spPr>
          <c:marker>
            <c:symbol val="circle"/>
            <c:size val="5"/>
            <c:spPr>
              <a:solidFill>
                <a:schemeClr val="accent5"/>
              </a:solidFill>
              <a:ln w="9525">
                <a:solidFill>
                  <a:schemeClr val="accent5"/>
                </a:solidFill>
              </a:ln>
              <a:effectLst/>
            </c:spPr>
          </c:marker>
          <c:trendline>
            <c:spPr>
              <a:ln w="19050" cap="rnd">
                <a:solidFill>
                  <a:schemeClr val="accent5"/>
                </a:solidFill>
                <a:prstDash val="sysDot"/>
              </a:ln>
              <a:effectLst/>
            </c:spPr>
            <c:trendlineType val="exp"/>
            <c:dispRSqr val="0"/>
            <c:dispEq val="0"/>
          </c:trendline>
          <c:xVal>
            <c:numRef>
              <c:f>tabellen_EMD!$AH$166:$AI$166</c:f>
              <c:numCache>
                <c:formatCode>#,##0.0000</c:formatCode>
                <c:ptCount val="2"/>
                <c:pt idx="0">
                  <c:v>7.6904676994681056</c:v>
                </c:pt>
                <c:pt idx="1">
                  <c:v>0.17832617349765473</c:v>
                </c:pt>
              </c:numCache>
            </c:numRef>
          </c:xVal>
          <c:yVal>
            <c:numRef>
              <c:f>tabellen_EMD!$AH$157:$AI$157</c:f>
              <c:numCache>
                <c:formatCode>#,##0</c:formatCode>
                <c:ptCount val="2"/>
                <c:pt idx="0">
                  <c:v>6</c:v>
                </c:pt>
                <c:pt idx="1">
                  <c:v>10</c:v>
                </c:pt>
              </c:numCache>
            </c:numRef>
          </c:yVal>
          <c:smooth val="0"/>
          <c:extLst>
            <c:ext xmlns:c16="http://schemas.microsoft.com/office/drawing/2014/chart" uri="{C3380CC4-5D6E-409C-BE32-E72D297353CC}">
              <c16:uniqueId val="{00000009-267E-4AF3-BE71-B7C87C4977C3}"/>
            </c:ext>
          </c:extLst>
        </c:ser>
        <c:ser>
          <c:idx val="0"/>
          <c:order val="5"/>
          <c:tx>
            <c:strRef>
              <c:f>tabellen_EMD!$AK$167</c:f>
              <c:strCache>
                <c:ptCount val="1"/>
                <c:pt idx="0">
                  <c:v>sport  4.50/0.10</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dispRSqr val="0"/>
            <c:dispEq val="0"/>
          </c:trendline>
          <c:xVal>
            <c:numRef>
              <c:f>tabellen_EMD!$AH$167:$AI$167</c:f>
              <c:numCache>
                <c:formatCode>#,##0.0000</c:formatCode>
                <c:ptCount val="2"/>
                <c:pt idx="0">
                  <c:v>4.4962734508439031</c:v>
                </c:pt>
                <c:pt idx="1">
                  <c:v>0.1</c:v>
                </c:pt>
              </c:numCache>
            </c:numRef>
          </c:xVal>
          <c:yVal>
            <c:numRef>
              <c:f>tabellen_EMD!$AH$157:$AI$157</c:f>
              <c:numCache>
                <c:formatCode>#,##0</c:formatCode>
                <c:ptCount val="2"/>
                <c:pt idx="0">
                  <c:v>6</c:v>
                </c:pt>
                <c:pt idx="1">
                  <c:v>10</c:v>
                </c:pt>
              </c:numCache>
            </c:numRef>
          </c:yVal>
          <c:smooth val="0"/>
          <c:extLst>
            <c:ext xmlns:c16="http://schemas.microsoft.com/office/drawing/2014/chart" uri="{C3380CC4-5D6E-409C-BE32-E72D297353CC}">
              <c16:uniqueId val="{0000000B-267E-4AF3-BE71-B7C87C4977C3}"/>
            </c:ext>
          </c:extLst>
        </c:ser>
        <c:ser>
          <c:idx val="6"/>
          <c:order val="6"/>
          <c:tx>
            <c:strRef>
              <c:f>tabellen_EMD!$AK$168</c:f>
              <c:strCache>
                <c:ptCount val="1"/>
                <c:pt idx="0">
                  <c:v>logies in logiesgebouw  4.03/0.04</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trendline>
            <c:spPr>
              <a:ln w="19050" cap="rnd">
                <a:solidFill>
                  <a:schemeClr val="accent1">
                    <a:lumMod val="60000"/>
                  </a:schemeClr>
                </a:solidFill>
                <a:prstDash val="sysDot"/>
              </a:ln>
              <a:effectLst/>
            </c:spPr>
            <c:trendlineType val="exp"/>
            <c:dispRSqr val="0"/>
            <c:dispEq val="0"/>
          </c:trendline>
          <c:xVal>
            <c:numRef>
              <c:f>tabellen_EMD!$AH$168:$AI$168</c:f>
              <c:numCache>
                <c:formatCode>#,##0.0000</c:formatCode>
                <c:ptCount val="2"/>
                <c:pt idx="0">
                  <c:v>4.0297903537267956</c:v>
                </c:pt>
                <c:pt idx="1">
                  <c:v>3.8965168054993456E-2</c:v>
                </c:pt>
              </c:numCache>
            </c:numRef>
          </c:xVal>
          <c:yVal>
            <c:numRef>
              <c:f>tabellen_EMD!$AH$157:$AI$157</c:f>
              <c:numCache>
                <c:formatCode>#,##0</c:formatCode>
                <c:ptCount val="2"/>
                <c:pt idx="0">
                  <c:v>6</c:v>
                </c:pt>
                <c:pt idx="1">
                  <c:v>10</c:v>
                </c:pt>
              </c:numCache>
            </c:numRef>
          </c:yVal>
          <c:smooth val="0"/>
          <c:extLst>
            <c:ext xmlns:c16="http://schemas.microsoft.com/office/drawing/2014/chart" uri="{C3380CC4-5D6E-409C-BE32-E72D297353CC}">
              <c16:uniqueId val="{0000000D-267E-4AF3-BE71-B7C87C4977C3}"/>
            </c:ext>
          </c:extLst>
        </c:ser>
        <c:dLbls>
          <c:showLegendKey val="0"/>
          <c:showVal val="0"/>
          <c:showCatName val="0"/>
          <c:showSerName val="0"/>
          <c:showPercent val="0"/>
          <c:showBubbleSize val="0"/>
        </c:dLbls>
        <c:axId val="598947200"/>
        <c:axId val="598944800"/>
      </c:scatterChart>
      <c:valAx>
        <c:axId val="598947200"/>
        <c:scaling>
          <c:orientation val="minMax"/>
        </c:scaling>
        <c:delete val="0"/>
        <c:axPos val="b"/>
        <c:majorGridlines>
          <c:spPr>
            <a:ln w="9525" cap="flat" cmpd="sng" algn="ctr">
              <a:solidFill>
                <a:schemeClr val="tx1">
                  <a:lumMod val="15000"/>
                  <a:lumOff val="85000"/>
                </a:schemeClr>
              </a:solidFill>
              <a:round/>
            </a:ln>
            <a:effectLst/>
          </c:spPr>
        </c:majorGridlines>
        <c:title>
          <c:tx>
            <c:strRef>
              <c:f>tabellen_EMD!$AG$55</c:f>
              <c:strCache>
                <c:ptCount val="1"/>
                <c:pt idx="0">
                  <c:v>Primair energiegebruik [kWh/m2 Ag]</c:v>
                </c:pt>
              </c:strCache>
            </c:strRef>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nl-NL"/>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nl-NL"/>
          </a:p>
        </c:txPr>
        <c:crossAx val="598944800"/>
        <c:crosses val="autoZero"/>
        <c:crossBetween val="midCat"/>
      </c:valAx>
      <c:valAx>
        <c:axId val="598944800"/>
        <c:scaling>
          <c:orientation val="minMax"/>
          <c:max val="12"/>
        </c:scaling>
        <c:delete val="0"/>
        <c:axPos val="l"/>
        <c:majorGridlines>
          <c:spPr>
            <a:ln w="9525" cap="flat" cmpd="sng" algn="ctr">
              <a:solidFill>
                <a:schemeClr val="tx1">
                  <a:lumMod val="15000"/>
                  <a:lumOff val="85000"/>
                </a:schemeClr>
              </a:solidFill>
              <a:round/>
            </a:ln>
            <a:effectLst/>
          </c:spPr>
        </c:majorGridlines>
        <c:title>
          <c:tx>
            <c:strRef>
              <c:f>tabellen_EMD!$AG$155</c:f>
              <c:strCache>
                <c:ptCount val="1"/>
                <c:pt idx="0">
                  <c:v>Score op DPG</c:v>
                </c:pt>
              </c:strCache>
            </c:strRef>
          </c:tx>
          <c:layout>
            <c:manualLayout>
              <c:xMode val="edge"/>
              <c:yMode val="edge"/>
              <c:x val="8.4622221195600929E-3"/>
              <c:y val="0.1355214562824596"/>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nl-NL"/>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nl-NL"/>
          </a:p>
        </c:txPr>
        <c:crossAx val="598947200"/>
        <c:crosses val="autoZero"/>
        <c:crossBetween val="midCat"/>
      </c:valAx>
      <c:spPr>
        <a:noFill/>
        <a:ln>
          <a:noFill/>
        </a:ln>
        <a:effectLst/>
      </c:spPr>
    </c:plotArea>
    <c:legend>
      <c:legendPos val="r"/>
      <c:legendEntry>
        <c:idx val="7"/>
        <c:delete val="1"/>
      </c:legendEntry>
      <c:legendEntry>
        <c:idx val="8"/>
        <c:delete val="1"/>
      </c:legendEntry>
      <c:legendEntry>
        <c:idx val="9"/>
        <c:delete val="1"/>
      </c:legendEntry>
      <c:legendEntry>
        <c:idx val="10"/>
        <c:delete val="1"/>
      </c:legendEntry>
      <c:legendEntry>
        <c:idx val="11"/>
        <c:delete val="1"/>
      </c:legendEntry>
      <c:legendEntry>
        <c:idx val="12"/>
        <c:delete val="1"/>
      </c:legendEntry>
      <c:legendEntry>
        <c:idx val="13"/>
        <c:delete val="1"/>
      </c:legendEntry>
      <c:layout>
        <c:manualLayout>
          <c:xMode val="edge"/>
          <c:yMode val="edge"/>
          <c:x val="0.65635271341374368"/>
          <c:y val="0.13028845479089046"/>
          <c:w val="0.33929407993552002"/>
          <c:h val="0.70441199772430452"/>
        </c:manualLayout>
      </c:layout>
      <c:overlay val="1"/>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nl-NL"/>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r>
              <a:rPr lang="nl-NL" b="1">
                <a:solidFill>
                  <a:schemeClr val="accent6">
                    <a:lumMod val="50000"/>
                  </a:schemeClr>
                </a:solidFill>
              </a:rPr>
              <a:t> Quick Carbon Indicator  </a:t>
            </a:r>
            <a:r>
              <a:rPr lang="nl-NL" i="1">
                <a:solidFill>
                  <a:schemeClr val="accent6">
                    <a:lumMod val="50000"/>
                  </a:schemeClr>
                </a:solidFill>
              </a:rPr>
              <a:t>kg CO2eq/m</a:t>
            </a:r>
            <a:r>
              <a:rPr lang="nl-NL" i="1" baseline="30000">
                <a:solidFill>
                  <a:schemeClr val="accent6">
                    <a:lumMod val="50000"/>
                  </a:schemeClr>
                </a:solidFill>
              </a:rPr>
              <a:t>2</a:t>
            </a:r>
            <a:r>
              <a:rPr lang="nl-NL" i="1">
                <a:solidFill>
                  <a:schemeClr val="accent6">
                    <a:lumMod val="50000"/>
                  </a:schemeClr>
                </a:solidFill>
              </a:rPr>
              <a:t>GO </a:t>
            </a:r>
          </a:p>
        </c:rich>
      </c:tx>
      <c:layout>
        <c:manualLayout>
          <c:xMode val="edge"/>
          <c:yMode val="edge"/>
          <c:x val="0.11988377713604154"/>
          <c:y val="2.372645871042001E-2"/>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endParaRPr lang="nl-NL"/>
        </a:p>
      </c:txPr>
    </c:title>
    <c:autoTitleDeleted val="0"/>
    <c:plotArea>
      <c:layout>
        <c:manualLayout>
          <c:layoutTarget val="inner"/>
          <c:xMode val="edge"/>
          <c:yMode val="edge"/>
          <c:x val="0.11927071610179388"/>
          <c:y val="0.21489072630627717"/>
          <c:w val="0.84763266200498177"/>
          <c:h val="0.70176152678606118"/>
        </c:manualLayout>
      </c:layout>
      <c:barChart>
        <c:barDir val="col"/>
        <c:grouping val="clustered"/>
        <c:varyColors val="0"/>
        <c:ser>
          <c:idx val="0"/>
          <c:order val="0"/>
          <c:tx>
            <c:strRef>
              <c:f>'QCI 1.0'!$C$12</c:f>
              <c:strCache>
                <c:ptCount val="1"/>
                <c:pt idx="0">
                  <c:v>Materiaal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4710-4D62-A349-8AEC2D1E034F}"/>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4710-4D62-A349-8AEC2D1E034F}"/>
              </c:ext>
            </c:extLst>
          </c:dPt>
          <c:dPt>
            <c:idx val="2"/>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5-4710-4D62-A349-8AEC2D1E034F}"/>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7-4710-4D62-A349-8AEC2D1E034F}"/>
              </c:ext>
            </c:extLst>
          </c:dPt>
          <c:dLbls>
            <c:dLbl>
              <c:idx val="0"/>
              <c:tx>
                <c:rich>
                  <a:bodyPr rot="0" spcFirstLastPara="1" vertOverflow="ellipsis" vert="horz" wrap="square" lIns="38100" tIns="19050" rIns="38100" bIns="19050" anchor="ctr" anchorCtr="1">
                    <a:spAutoFit/>
                  </a:bodyPr>
                  <a:lstStyle/>
                  <a:p>
                    <a:pPr>
                      <a:defRPr sz="1100" b="0" i="0" u="none" strike="noStrike" kern="1200" baseline="0">
                        <a:solidFill>
                          <a:schemeClr val="accent1"/>
                        </a:solidFill>
                        <a:latin typeface="+mn-lt"/>
                        <a:ea typeface="+mn-ea"/>
                        <a:cs typeface="+mn-cs"/>
                      </a:defRPr>
                    </a:pPr>
                    <a:fld id="{3917E709-8E3E-4607-9EB9-59973CF0A156}" type="CATEGORYNAME">
                      <a:rPr lang="en-US"/>
                      <a:pPr>
                        <a:defRPr sz="1100">
                          <a:solidFill>
                            <a:schemeClr val="accent1"/>
                          </a:solidFill>
                        </a:defRPr>
                      </a:pPr>
                      <a:t>[CATEGORY NAME]</a:t>
                    </a:fld>
                    <a:endParaRPr lang="en-US" baseline="0"/>
                  </a:p>
                  <a:p>
                    <a:pPr>
                      <a:defRPr sz="1100">
                        <a:solidFill>
                          <a:schemeClr val="accent1"/>
                        </a:solidFill>
                      </a:defRPr>
                    </a:pPr>
                    <a:fld id="{DF1300C1-6FDC-4D86-AC52-A227B9459B99}" type="VALUE">
                      <a:rPr lang="en-US" b="1"/>
                      <a:pPr>
                        <a:defRPr sz="1100">
                          <a:solidFill>
                            <a:schemeClr val="accent1"/>
                          </a:solidFill>
                        </a:defRPr>
                      </a:pPr>
                      <a:t>[VALUE]</a:t>
                    </a:fld>
                    <a:endParaRPr lang="nl-NL"/>
                  </a:p>
                </c:rich>
              </c:tx>
              <c:spPr>
                <a:solidFill>
                  <a:schemeClr val="bg1"/>
                </a:solidFill>
                <a:ln>
                  <a:solidFill>
                    <a:schemeClr val="bg1">
                      <a:lumMod val="85000"/>
                    </a:schemeClr>
                  </a:solidFill>
                </a:ln>
                <a:effectLst>
                  <a:outerShdw blurRad="101600" dist="101600" dir="18900000" algn="bl" rotWithShape="0">
                    <a:schemeClr val="tx1">
                      <a:lumMod val="50000"/>
                      <a:lumOff val="50000"/>
                      <a:alpha val="40000"/>
                    </a:schemeClr>
                  </a:outerShdw>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1"/>
                      </a:solidFill>
                      <a:latin typeface="+mn-lt"/>
                      <a:ea typeface="+mn-ea"/>
                      <a:cs typeface="+mn-cs"/>
                    </a:defRPr>
                  </a:pPr>
                  <a:endParaRPr lang="nl-NL"/>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1-4710-4D62-A349-8AEC2D1E034F}"/>
                </c:ext>
              </c:extLst>
            </c:dLbl>
            <c:dLbl>
              <c:idx val="1"/>
              <c:tx>
                <c:rich>
                  <a:bodyPr rot="0" spcFirstLastPara="1" vertOverflow="ellipsis" vert="horz" wrap="square" lIns="38100" tIns="19050" rIns="38100" bIns="19050" anchor="ctr" anchorCtr="1">
                    <a:spAutoFit/>
                  </a:bodyPr>
                  <a:lstStyle/>
                  <a:p>
                    <a:pPr>
                      <a:defRPr sz="1100" b="0" i="0" u="none" strike="noStrike" kern="1200" baseline="0">
                        <a:solidFill>
                          <a:schemeClr val="accent2">
                            <a:lumMod val="75000"/>
                          </a:schemeClr>
                        </a:solidFill>
                        <a:latin typeface="+mn-lt"/>
                        <a:ea typeface="+mn-ea"/>
                        <a:cs typeface="+mn-cs"/>
                      </a:defRPr>
                    </a:pPr>
                    <a:fld id="{A8F7B92E-154C-47B2-9DA2-F33419A1DBD5}" type="CATEGORYNAME">
                      <a:rPr lang="en-US"/>
                      <a:pPr>
                        <a:defRPr sz="1100">
                          <a:solidFill>
                            <a:schemeClr val="accent2">
                              <a:lumMod val="75000"/>
                            </a:schemeClr>
                          </a:solidFill>
                        </a:defRPr>
                      </a:pPr>
                      <a:t>[CATEGORY NAME]</a:t>
                    </a:fld>
                    <a:endParaRPr lang="en-US" baseline="0"/>
                  </a:p>
                  <a:p>
                    <a:pPr>
                      <a:defRPr sz="1100">
                        <a:solidFill>
                          <a:schemeClr val="accent2">
                            <a:lumMod val="75000"/>
                          </a:schemeClr>
                        </a:solidFill>
                      </a:defRPr>
                    </a:pPr>
                    <a:fld id="{4CFC77B7-A856-4AC0-864D-DC8489649F14}" type="VALUE">
                      <a:rPr lang="en-US" b="1"/>
                      <a:pPr>
                        <a:defRPr sz="1100">
                          <a:solidFill>
                            <a:schemeClr val="accent2">
                              <a:lumMod val="75000"/>
                            </a:schemeClr>
                          </a:solidFill>
                        </a:defRPr>
                      </a:pPr>
                      <a:t>[VALUE]</a:t>
                    </a:fld>
                    <a:endParaRPr lang="nl-NL"/>
                  </a:p>
                </c:rich>
              </c:tx>
              <c:spPr>
                <a:solidFill>
                  <a:schemeClr val="bg1"/>
                </a:solidFill>
                <a:ln>
                  <a:solidFill>
                    <a:schemeClr val="bg1">
                      <a:lumMod val="85000"/>
                    </a:schemeClr>
                  </a:solidFill>
                </a:ln>
                <a:effectLst>
                  <a:outerShdw blurRad="101600" dist="101600" dir="18900000" algn="bl" rotWithShape="0">
                    <a:schemeClr val="tx1">
                      <a:lumMod val="50000"/>
                      <a:lumOff val="50000"/>
                      <a:alpha val="40000"/>
                    </a:schemeClr>
                  </a:outerShdw>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2">
                          <a:lumMod val="75000"/>
                        </a:schemeClr>
                      </a:solidFill>
                      <a:latin typeface="+mn-lt"/>
                      <a:ea typeface="+mn-ea"/>
                      <a:cs typeface="+mn-cs"/>
                    </a:defRPr>
                  </a:pPr>
                  <a:endParaRPr lang="nl-NL"/>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3-4710-4D62-A349-8AEC2D1E034F}"/>
                </c:ext>
              </c:extLst>
            </c:dLbl>
            <c:dLbl>
              <c:idx val="2"/>
              <c:tx>
                <c:rich>
                  <a:bodyPr rot="0" spcFirstLastPara="1" vertOverflow="ellipsis" vert="horz" wrap="square" lIns="38100" tIns="19050" rIns="38100" bIns="19050" anchor="ctr" anchorCtr="1">
                    <a:spAutoFit/>
                  </a:bodyPr>
                  <a:lstStyle/>
                  <a:p>
                    <a:pPr>
                      <a:defRPr sz="1100" b="0" i="0" u="none" strike="noStrike" kern="1200" baseline="0">
                        <a:solidFill>
                          <a:schemeClr val="tx1">
                            <a:lumMod val="65000"/>
                            <a:lumOff val="35000"/>
                          </a:schemeClr>
                        </a:solidFill>
                        <a:latin typeface="+mn-lt"/>
                        <a:ea typeface="+mn-ea"/>
                        <a:cs typeface="+mn-cs"/>
                      </a:defRPr>
                    </a:pPr>
                    <a:fld id="{B039815E-9A3D-4F29-B835-BC50E31AFFCD}" type="CATEGORYNAME">
                      <a:rPr lang="en-US"/>
                      <a:pPr>
                        <a:defRPr sz="1100">
                          <a:solidFill>
                            <a:schemeClr val="tx1">
                              <a:lumMod val="65000"/>
                              <a:lumOff val="35000"/>
                            </a:schemeClr>
                          </a:solidFill>
                        </a:defRPr>
                      </a:pPr>
                      <a:t>[CATEGORY NAME]</a:t>
                    </a:fld>
                    <a:endParaRPr lang="en-US" baseline="0"/>
                  </a:p>
                  <a:p>
                    <a:pPr>
                      <a:defRPr sz="1100">
                        <a:solidFill>
                          <a:schemeClr val="tx1">
                            <a:lumMod val="65000"/>
                            <a:lumOff val="35000"/>
                          </a:schemeClr>
                        </a:solidFill>
                      </a:defRPr>
                    </a:pPr>
                    <a:fld id="{551A832D-BA4E-44AD-839C-BB66E9712977}" type="VALUE">
                      <a:rPr lang="en-US" b="1"/>
                      <a:pPr>
                        <a:defRPr sz="1100">
                          <a:solidFill>
                            <a:schemeClr val="tx1">
                              <a:lumMod val="65000"/>
                              <a:lumOff val="35000"/>
                            </a:schemeClr>
                          </a:solidFill>
                        </a:defRPr>
                      </a:pPr>
                      <a:t>[VALUE]</a:t>
                    </a:fld>
                    <a:endParaRPr lang="nl-NL"/>
                  </a:p>
                </c:rich>
              </c:tx>
              <c:spPr>
                <a:solidFill>
                  <a:schemeClr val="bg1"/>
                </a:solidFill>
                <a:ln>
                  <a:solidFill>
                    <a:schemeClr val="bg1">
                      <a:lumMod val="85000"/>
                    </a:schemeClr>
                  </a:solidFill>
                </a:ln>
                <a:effectLst>
                  <a:outerShdw blurRad="101600" dist="101600" dir="18900000" algn="bl" rotWithShape="0">
                    <a:schemeClr val="tx1">
                      <a:lumMod val="50000"/>
                      <a:lumOff val="50000"/>
                      <a:alpha val="40000"/>
                    </a:schemeClr>
                  </a:outerShdw>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65000"/>
                          <a:lumOff val="35000"/>
                        </a:schemeClr>
                      </a:solidFill>
                      <a:latin typeface="+mn-lt"/>
                      <a:ea typeface="+mn-ea"/>
                      <a:cs typeface="+mn-cs"/>
                    </a:defRPr>
                  </a:pPr>
                  <a:endParaRPr lang="nl-NL"/>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5-4710-4D62-A349-8AEC2D1E034F}"/>
                </c:ext>
              </c:extLst>
            </c:dLbl>
            <c:dLbl>
              <c:idx val="3"/>
              <c:tx>
                <c:rich>
                  <a:bodyPr rot="0" spcFirstLastPara="1" vertOverflow="ellipsis" vert="horz" wrap="square" lIns="38100" tIns="19050" rIns="38100" bIns="19050" anchor="ctr" anchorCtr="1">
                    <a:spAutoFit/>
                  </a:bodyPr>
                  <a:lstStyle/>
                  <a:p>
                    <a:pPr>
                      <a:defRPr sz="1100" b="0" i="0" u="none" strike="noStrike" kern="1200" baseline="0">
                        <a:solidFill>
                          <a:schemeClr val="accent6">
                            <a:lumMod val="75000"/>
                          </a:schemeClr>
                        </a:solidFill>
                        <a:latin typeface="+mn-lt"/>
                        <a:ea typeface="+mn-ea"/>
                        <a:cs typeface="+mn-cs"/>
                      </a:defRPr>
                    </a:pPr>
                    <a:fld id="{4CDFFA06-541B-4259-BD2A-1AF50733B29A}" type="CATEGORYNAME">
                      <a:rPr lang="en-US"/>
                      <a:pPr>
                        <a:defRPr sz="1100">
                          <a:solidFill>
                            <a:schemeClr val="accent6">
                              <a:lumMod val="75000"/>
                            </a:schemeClr>
                          </a:solidFill>
                        </a:defRPr>
                      </a:pPr>
                      <a:t>[CATEGORY NAME]</a:t>
                    </a:fld>
                    <a:endParaRPr lang="en-US" baseline="0"/>
                  </a:p>
                  <a:p>
                    <a:pPr>
                      <a:defRPr sz="1100">
                        <a:solidFill>
                          <a:schemeClr val="accent6">
                            <a:lumMod val="75000"/>
                          </a:schemeClr>
                        </a:solidFill>
                      </a:defRPr>
                    </a:pPr>
                    <a:fld id="{302D1783-320A-43A7-AC5E-08A200270558}" type="VALUE">
                      <a:rPr lang="en-US" b="1"/>
                      <a:pPr>
                        <a:defRPr sz="1100">
                          <a:solidFill>
                            <a:schemeClr val="accent6">
                              <a:lumMod val="75000"/>
                            </a:schemeClr>
                          </a:solidFill>
                        </a:defRPr>
                      </a:pPr>
                      <a:t>[VALUE]</a:t>
                    </a:fld>
                    <a:endParaRPr lang="nl-NL"/>
                  </a:p>
                </c:rich>
              </c:tx>
              <c:spPr>
                <a:solidFill>
                  <a:schemeClr val="bg1"/>
                </a:solidFill>
                <a:ln>
                  <a:solidFill>
                    <a:schemeClr val="bg1">
                      <a:lumMod val="85000"/>
                    </a:schemeClr>
                  </a:solidFill>
                </a:ln>
                <a:effectLst>
                  <a:outerShdw blurRad="101600" dist="101600" dir="18900000" algn="bl" rotWithShape="0">
                    <a:schemeClr val="tx1">
                      <a:lumMod val="50000"/>
                      <a:lumOff val="50000"/>
                      <a:alpha val="40000"/>
                    </a:schemeClr>
                  </a:outerShdw>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6">
                          <a:lumMod val="75000"/>
                        </a:schemeClr>
                      </a:solidFill>
                      <a:latin typeface="+mn-lt"/>
                      <a:ea typeface="+mn-ea"/>
                      <a:cs typeface="+mn-cs"/>
                    </a:defRPr>
                  </a:pPr>
                  <a:endParaRPr lang="nl-NL"/>
                </a:p>
              </c:txPr>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7-4710-4D62-A349-8AEC2D1E034F}"/>
                </c:ext>
              </c:extLst>
            </c:dLbl>
            <c:spPr>
              <a:solidFill>
                <a:schemeClr val="bg1"/>
              </a:solidFill>
              <a:ln>
                <a:solidFill>
                  <a:schemeClr val="bg1">
                    <a:lumMod val="85000"/>
                  </a:schemeClr>
                </a:solidFill>
              </a:ln>
              <a:effectLst>
                <a:outerShdw blurRad="101600" dist="101600" dir="18900000" algn="bl" rotWithShape="0">
                  <a:schemeClr val="tx1">
                    <a:lumMod val="50000"/>
                    <a:lumOff val="50000"/>
                    <a:alpha val="40000"/>
                  </a:schemeClr>
                </a:outerShdw>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nl-NL"/>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('QCI 1.0'!$L$14:$N$14,'QCI 1.0'!$P$14)</c:f>
              <c:strCache>
                <c:ptCount val="4"/>
                <c:pt idx="0">
                  <c:v>materiaal</c:v>
                </c:pt>
                <c:pt idx="1">
                  <c:v>energie</c:v>
                </c:pt>
                <c:pt idx="2">
                  <c:v>mat+ene</c:v>
                </c:pt>
                <c:pt idx="3">
                  <c:v>biogeen</c:v>
                </c:pt>
              </c:strCache>
            </c:strRef>
          </c:cat>
          <c:val>
            <c:numRef>
              <c:f>('QCI 1.0'!$L$15:$N$15,'QCI 1.0'!$P$15)</c:f>
              <c:numCache>
                <c:formatCode>0</c:formatCode>
                <c:ptCount val="4"/>
                <c:pt idx="0" formatCode="#,##0">
                  <c:v>139.9655172413793</c:v>
                </c:pt>
                <c:pt idx="1">
                  <c:v>35.024904214559371</c:v>
                </c:pt>
                <c:pt idx="2">
                  <c:v>174.99042145593867</c:v>
                </c:pt>
                <c:pt idx="3" formatCode="#,##0">
                  <c:v>-4.3356321839080456</c:v>
                </c:pt>
              </c:numCache>
            </c:numRef>
          </c:val>
          <c:extLst>
            <c:ext xmlns:c16="http://schemas.microsoft.com/office/drawing/2014/chart" uri="{C3380CC4-5D6E-409C-BE32-E72D297353CC}">
              <c16:uniqueId val="{00000008-4710-4D62-A349-8AEC2D1E034F}"/>
            </c:ext>
          </c:extLst>
        </c:ser>
        <c:dLbls>
          <c:showLegendKey val="0"/>
          <c:showVal val="0"/>
          <c:showCatName val="0"/>
          <c:showSerName val="0"/>
          <c:showPercent val="0"/>
          <c:showBubbleSize val="0"/>
        </c:dLbls>
        <c:gapWidth val="50"/>
        <c:overlap val="-27"/>
        <c:axId val="1616656320"/>
        <c:axId val="1307695152"/>
      </c:barChart>
      <c:catAx>
        <c:axId val="1616656320"/>
        <c:scaling>
          <c:orientation val="minMax"/>
        </c:scaling>
        <c:delete val="1"/>
        <c:axPos val="b"/>
        <c:numFmt formatCode="General" sourceLinked="1"/>
        <c:majorTickMark val="none"/>
        <c:minorTickMark val="none"/>
        <c:tickLblPos val="low"/>
        <c:crossAx val="1307695152"/>
        <c:crosses val="autoZero"/>
        <c:auto val="1"/>
        <c:lblAlgn val="ctr"/>
        <c:lblOffset val="100"/>
        <c:noMultiLvlLbl val="0"/>
      </c:catAx>
      <c:valAx>
        <c:axId val="13076951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nl-NL"/>
          </a:p>
        </c:txPr>
        <c:crossAx val="1616656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75000"/>
        </a:schemeClr>
      </a:solidFill>
      <a:round/>
    </a:ln>
    <a:effectLst>
      <a:outerShdw blurRad="127000" dist="88900" dir="13500000" algn="r" rotWithShape="0">
        <a:schemeClr val="tx1">
          <a:lumMod val="50000"/>
          <a:lumOff val="50000"/>
          <a:alpha val="40000"/>
        </a:schemeClr>
      </a:outerShdw>
    </a:effectLst>
  </c:spPr>
  <c:txPr>
    <a:bodyPr/>
    <a:lstStyle/>
    <a:p>
      <a:pPr>
        <a:defRPr/>
      </a:pPr>
      <a:endParaRPr lang="nl-N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Combineren GPR scores DPG'!D19"/><Relationship Id="rId13" Type="http://schemas.openxmlformats.org/officeDocument/2006/relationships/hyperlink" Target="#'Hergebruikspotentie 2.0'!A1"/><Relationship Id="rId18" Type="http://schemas.openxmlformats.org/officeDocument/2006/relationships/hyperlink" Target="#'ISSO75.3 naar GPR4'!A1"/><Relationship Id="rId3" Type="http://schemas.openxmlformats.org/officeDocument/2006/relationships/hyperlink" Target="#DPG_score!A1"/><Relationship Id="rId21" Type="http://schemas.openxmlformats.org/officeDocument/2006/relationships/image" Target="../media/image1.png"/><Relationship Id="rId7" Type="http://schemas.openxmlformats.org/officeDocument/2006/relationships/hyperlink" Target="#'CirculariteitsPrestatie CPG 1.7'!A1"/><Relationship Id="rId12" Type="http://schemas.openxmlformats.org/officeDocument/2006/relationships/hyperlink" Target="#'Circulaire materialen'!C20"/><Relationship Id="rId17" Type="http://schemas.openxmlformats.org/officeDocument/2006/relationships/hyperlink" Target="#'CO2 warmtenetten'!D15"/><Relationship Id="rId2" Type="http://schemas.openxmlformats.org/officeDocument/2006/relationships/hyperlink" Target="#Wijzigingsblad!C6"/><Relationship Id="rId16" Type="http://schemas.openxmlformats.org/officeDocument/2006/relationships/hyperlink" Target="#'QCI 1.0'!D6"/><Relationship Id="rId20" Type="http://schemas.openxmlformats.org/officeDocument/2006/relationships/hyperlink" Target="#'NTA 8800 naar GPR4'!A1"/><Relationship Id="rId1" Type="http://schemas.openxmlformats.org/officeDocument/2006/relationships/hyperlink" Target="#'Overzicht GPR Hulpmiddelen'!A1"/><Relationship Id="rId6" Type="http://schemas.openxmlformats.org/officeDocument/2006/relationships/hyperlink" Target="#'CPG 1.8 nieuwbouw'!D10"/><Relationship Id="rId11" Type="http://schemas.openxmlformats.org/officeDocument/2006/relationships/hyperlink" Target="#BENG_1!E18"/><Relationship Id="rId5" Type="http://schemas.openxmlformats.org/officeDocument/2006/relationships/hyperlink" Target="#'CPG 1.8 bestaande bouw'!D10"/><Relationship Id="rId15" Type="http://schemas.openxmlformats.org/officeDocument/2006/relationships/hyperlink" Target="#'Specifieke gebouwlevensduur'!D19"/><Relationship Id="rId10" Type="http://schemas.openxmlformats.org/officeDocument/2006/relationships/hyperlink" Target="#'Adaptief vermogen 1.0'!D13"/><Relationship Id="rId19" Type="http://schemas.openxmlformats.org/officeDocument/2006/relationships/hyperlink" Target="#'NEN 7120 naar GPR4'!A1"/><Relationship Id="rId4" Type="http://schemas.openxmlformats.org/officeDocument/2006/relationships/hyperlink" Target="#combineren!D10"/><Relationship Id="rId9" Type="http://schemas.openxmlformats.org/officeDocument/2006/relationships/hyperlink" Target="#'Combineren GPR scores'!D19"/><Relationship Id="rId14" Type="http://schemas.openxmlformats.org/officeDocument/2006/relationships/hyperlink" Target="#kruisjeslijst!D10"/></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1.png"/><Relationship Id="rId2" Type="http://schemas.openxmlformats.org/officeDocument/2006/relationships/image" Target="../media/image2.png"/><Relationship Id="rId1" Type="http://schemas.openxmlformats.org/officeDocument/2006/relationships/chart" Target="../charts/chart6.xml"/><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10.xml.rels><?xml version="1.0" encoding="UTF-8" standalone="yes"?>
<Relationships xmlns="http://schemas.openxmlformats.org/package/2006/relationships"><Relationship Id="rId2" Type="http://schemas.openxmlformats.org/officeDocument/2006/relationships/hyperlink" Target="https://milieudatabase.nl/nl/downloads-plugin/download/80/" TargetMode="External"/><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9.gif"/></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2.gif"/><Relationship Id="rId2" Type="http://schemas.openxmlformats.org/officeDocument/2006/relationships/image" Target="../media/image11.gif"/><Relationship Id="rId1" Type="http://schemas.openxmlformats.org/officeDocument/2006/relationships/image" Target="../media/image10.gif"/><Relationship Id="rId6" Type="http://schemas.openxmlformats.org/officeDocument/2006/relationships/image" Target="../media/image1.png"/><Relationship Id="rId5" Type="http://schemas.openxmlformats.org/officeDocument/2006/relationships/image" Target="../media/image9.gif"/><Relationship Id="rId4" Type="http://schemas.openxmlformats.org/officeDocument/2006/relationships/image" Target="../media/image13.gif"/></Relationships>
</file>

<file path=xl/drawings/_rels/drawing21.xml.rels><?xml version="1.0" encoding="UTF-8" standalone="yes"?>
<Relationships xmlns="http://schemas.openxmlformats.org/package/2006/relationships"><Relationship Id="rId3" Type="http://schemas.openxmlformats.org/officeDocument/2006/relationships/image" Target="../media/image12.gif"/><Relationship Id="rId2" Type="http://schemas.openxmlformats.org/officeDocument/2006/relationships/image" Target="../media/image11.gif"/><Relationship Id="rId1" Type="http://schemas.openxmlformats.org/officeDocument/2006/relationships/image" Target="../media/image10.gif"/><Relationship Id="rId6" Type="http://schemas.openxmlformats.org/officeDocument/2006/relationships/image" Target="../media/image1.png"/><Relationship Id="rId5" Type="http://schemas.openxmlformats.org/officeDocument/2006/relationships/image" Target="../media/image9.gif"/><Relationship Id="rId4" Type="http://schemas.openxmlformats.org/officeDocument/2006/relationships/image" Target="../media/image13.gif"/></Relationships>
</file>

<file path=xl/drawings/_rels/drawing2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14.jpeg"/></Relationships>
</file>

<file path=xl/drawings/_rels/drawing2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15.jpeg"/></Relationships>
</file>

<file path=xl/drawings/_rels/drawing2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15.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4</xdr:col>
      <xdr:colOff>0</xdr:colOff>
      <xdr:row>21</xdr:row>
      <xdr:rowOff>0</xdr:rowOff>
    </xdr:from>
    <xdr:to>
      <xdr:col>5</xdr:col>
      <xdr:colOff>0</xdr:colOff>
      <xdr:row>22</xdr:row>
      <xdr:rowOff>0</xdr:rowOff>
    </xdr:to>
    <xdr:sp macro="" textlink="">
      <xdr:nvSpPr>
        <xdr:cNvPr id="15" name="dummy" hidden="1">
          <a:hlinkClick xmlns:r="http://schemas.openxmlformats.org/officeDocument/2006/relationships" r:id="rId1" tooltip="niet aangesloten"/>
          <a:extLst>
            <a:ext uri="{FF2B5EF4-FFF2-40B4-BE49-F238E27FC236}">
              <a16:creationId xmlns:a16="http://schemas.microsoft.com/office/drawing/2014/main" id="{B300AB50-3C37-4D27-9B9F-1C18349FA1D2}"/>
            </a:ext>
          </a:extLst>
        </xdr:cNvPr>
        <xdr:cNvSpPr/>
      </xdr:nvSpPr>
      <xdr:spPr>
        <a:xfrm>
          <a:off x="2791239" y="6758609"/>
          <a:ext cx="1714500" cy="819978"/>
        </a:xfrm>
        <a:prstGeom prst="roundRect">
          <a:avLst>
            <a:gd name="adj" fmla="val 3901"/>
          </a:avLst>
        </a:prstGeom>
        <a:solidFill>
          <a:schemeClr val="bg1">
            <a:lumMod val="95000"/>
          </a:schemeClr>
        </a:solidFill>
        <a:ln>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nl-NL" sz="1200">
              <a:solidFill>
                <a:srgbClr val="9696AE"/>
              </a:solidFill>
              <a:latin typeface="Segoe UI" panose="020B0502040204020203" pitchFamily="34" charset="0"/>
              <a:ea typeface="+mn-ea"/>
              <a:cs typeface="Segoe UI" panose="020B0502040204020203" pitchFamily="34" charset="0"/>
            </a:rPr>
            <a:t>dummy</a:t>
          </a:r>
        </a:p>
      </xdr:txBody>
    </xdr:sp>
    <xdr:clientData/>
  </xdr:twoCellAnchor>
  <xdr:twoCellAnchor>
    <xdr:from>
      <xdr:col>2</xdr:col>
      <xdr:colOff>0</xdr:colOff>
      <xdr:row>21</xdr:row>
      <xdr:rowOff>0</xdr:rowOff>
    </xdr:from>
    <xdr:to>
      <xdr:col>3</xdr:col>
      <xdr:colOff>0</xdr:colOff>
      <xdr:row>22</xdr:row>
      <xdr:rowOff>0</xdr:rowOff>
    </xdr:to>
    <xdr:sp macro="" textlink="">
      <xdr:nvSpPr>
        <xdr:cNvPr id="21" name="Wijzigingsblad">
          <a:hlinkClick xmlns:r="http://schemas.openxmlformats.org/officeDocument/2006/relationships" r:id="rId2" tooltip="wijzigingen in de rekenbladen"/>
          <a:extLst>
            <a:ext uri="{FF2B5EF4-FFF2-40B4-BE49-F238E27FC236}">
              <a16:creationId xmlns:a16="http://schemas.microsoft.com/office/drawing/2014/main" id="{89F9A61C-D588-4965-9F92-E2BB015CD970}"/>
            </a:ext>
          </a:extLst>
        </xdr:cNvPr>
        <xdr:cNvSpPr/>
      </xdr:nvSpPr>
      <xdr:spPr>
        <a:xfrm>
          <a:off x="894522" y="6758609"/>
          <a:ext cx="1714500" cy="819978"/>
        </a:xfrm>
        <a:prstGeom prst="roundRect">
          <a:avLst>
            <a:gd name="adj" fmla="val 3901"/>
          </a:avLst>
        </a:prstGeom>
        <a:solidFill>
          <a:schemeClr val="bg1">
            <a:lumMod val="95000"/>
          </a:schemeClr>
        </a:solidFill>
        <a:ln w="28575">
          <a:solidFill>
            <a:srgbClr val="9696AE"/>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nl-NL" sz="1200">
              <a:solidFill>
                <a:srgbClr val="9696AE"/>
              </a:solidFill>
              <a:latin typeface="Segoe UI" panose="020B0502040204020203" pitchFamily="34" charset="0"/>
              <a:ea typeface="+mn-ea"/>
              <a:cs typeface="Segoe UI" panose="020B0502040204020203" pitchFamily="34" charset="0"/>
            </a:rPr>
            <a:t>wijzigingen in de rekenbladen</a:t>
          </a:r>
        </a:p>
      </xdr:txBody>
    </xdr:sp>
    <xdr:clientData/>
  </xdr:twoCellAnchor>
  <xdr:twoCellAnchor>
    <xdr:from>
      <xdr:col>11</xdr:col>
      <xdr:colOff>8707</xdr:colOff>
      <xdr:row>11</xdr:row>
      <xdr:rowOff>15240</xdr:rowOff>
    </xdr:from>
    <xdr:to>
      <xdr:col>12</xdr:col>
      <xdr:colOff>8708</xdr:colOff>
      <xdr:row>12</xdr:row>
      <xdr:rowOff>15240</xdr:rowOff>
    </xdr:to>
    <xdr:sp macro="" textlink="">
      <xdr:nvSpPr>
        <xdr:cNvPr id="32" name="DPG controleren" hidden="1">
          <a:hlinkClick xmlns:r="http://schemas.openxmlformats.org/officeDocument/2006/relationships" r:id="rId3" tooltip="Combineer scores van meerdere GPR berekeningen "/>
          <a:extLst>
            <a:ext uri="{FF2B5EF4-FFF2-40B4-BE49-F238E27FC236}">
              <a16:creationId xmlns:a16="http://schemas.microsoft.com/office/drawing/2014/main" id="{E108D1AD-1786-44EB-8A9B-82431AFB5CC4}"/>
            </a:ext>
          </a:extLst>
        </xdr:cNvPr>
        <xdr:cNvSpPr/>
      </xdr:nvSpPr>
      <xdr:spPr>
        <a:xfrm>
          <a:off x="6590482" y="2663190"/>
          <a:ext cx="1714501" cy="819150"/>
        </a:xfrm>
        <a:prstGeom prst="roundRect">
          <a:avLst>
            <a:gd name="adj" fmla="val 3901"/>
          </a:avLst>
        </a:prstGeom>
        <a:solidFill>
          <a:schemeClr val="bg1">
            <a:lumMod val="95000"/>
          </a:schemeClr>
        </a:solidFill>
        <a:ln w="28575">
          <a:solidFill>
            <a:schemeClr val="bg1">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nl-NL" sz="1200">
              <a:solidFill>
                <a:srgbClr val="9696AE"/>
              </a:solidFill>
              <a:latin typeface="Segoe UI" panose="020B0502040204020203" pitchFamily="34" charset="0"/>
              <a:ea typeface="+mn-ea"/>
              <a:cs typeface="Segoe UI" panose="020B0502040204020203" pitchFamily="34" charset="0"/>
            </a:rPr>
            <a:t>DPG themascore controleren</a:t>
          </a:r>
        </a:p>
      </xdr:txBody>
    </xdr:sp>
    <xdr:clientData/>
  </xdr:twoCellAnchor>
  <xdr:twoCellAnchor>
    <xdr:from>
      <xdr:col>8</xdr:col>
      <xdr:colOff>0</xdr:colOff>
      <xdr:row>15</xdr:row>
      <xdr:rowOff>0</xdr:rowOff>
    </xdr:from>
    <xdr:to>
      <xdr:col>9</xdr:col>
      <xdr:colOff>1</xdr:colOff>
      <xdr:row>15</xdr:row>
      <xdr:rowOff>770164</xdr:rowOff>
    </xdr:to>
    <xdr:sp macro="" textlink="">
      <xdr:nvSpPr>
        <xdr:cNvPr id="17" name="appartementen combineren">
          <a:hlinkClick xmlns:r="http://schemas.openxmlformats.org/officeDocument/2006/relationships" r:id="rId4" tooltip="rekenblad voor het combineren van appartementen"/>
          <a:extLst>
            <a:ext uri="{FF2B5EF4-FFF2-40B4-BE49-F238E27FC236}">
              <a16:creationId xmlns:a16="http://schemas.microsoft.com/office/drawing/2014/main" id="{3648A535-E961-4CC4-AD3A-BEAD48358E4F}"/>
            </a:ext>
          </a:extLst>
        </xdr:cNvPr>
        <xdr:cNvSpPr/>
      </xdr:nvSpPr>
      <xdr:spPr>
        <a:xfrm>
          <a:off x="6581775" y="4724400"/>
          <a:ext cx="1714501" cy="770164"/>
        </a:xfrm>
        <a:prstGeom prst="roundRect">
          <a:avLst>
            <a:gd name="adj" fmla="val 3901"/>
          </a:avLst>
        </a:prstGeom>
        <a:solidFill>
          <a:schemeClr val="bg1">
            <a:lumMod val="95000"/>
          </a:schemeClr>
        </a:solidFill>
        <a:ln w="28575">
          <a:solidFill>
            <a:schemeClr val="accent2"/>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nl-NL" sz="1200">
              <a:solidFill>
                <a:srgbClr val="9696AE"/>
              </a:solidFill>
              <a:latin typeface="Segoe UI" panose="020B0502040204020203" pitchFamily="34" charset="0"/>
              <a:ea typeface="+mn-ea"/>
              <a:cs typeface="Segoe UI" panose="020B0502040204020203" pitchFamily="34" charset="0"/>
            </a:rPr>
            <a:t>woningen of gebouwunits combineren</a:t>
          </a:r>
        </a:p>
      </xdr:txBody>
    </xdr:sp>
    <xdr:clientData/>
  </xdr:twoCellAnchor>
  <xdr:twoCellAnchor>
    <xdr:from>
      <xdr:col>8</xdr:col>
      <xdr:colOff>0</xdr:colOff>
      <xdr:row>18</xdr:row>
      <xdr:rowOff>204212</xdr:rowOff>
    </xdr:from>
    <xdr:to>
      <xdr:col>8</xdr:col>
      <xdr:colOff>1710882</xdr:colOff>
      <xdr:row>20</xdr:row>
      <xdr:rowOff>0</xdr:rowOff>
    </xdr:to>
    <xdr:sp macro="" textlink="">
      <xdr:nvSpPr>
        <xdr:cNvPr id="3" name="CPG_18 bestaand">
          <a:hlinkClick xmlns:r="http://schemas.openxmlformats.org/officeDocument/2006/relationships" r:id="rId5" tooltip="CirculariteitsPrestatie Gebouw CPG 1.8 bestaande bouw"/>
          <a:extLst>
            <a:ext uri="{FF2B5EF4-FFF2-40B4-BE49-F238E27FC236}">
              <a16:creationId xmlns:a16="http://schemas.microsoft.com/office/drawing/2014/main" id="{A6C3E1D6-4863-B3FB-9FC5-788170F3F555}"/>
            </a:ext>
          </a:extLst>
        </xdr:cNvPr>
        <xdr:cNvSpPr/>
      </xdr:nvSpPr>
      <xdr:spPr>
        <a:xfrm>
          <a:off x="6581775" y="6785987"/>
          <a:ext cx="1710882" cy="834013"/>
        </a:xfrm>
        <a:prstGeom prst="roundRect">
          <a:avLst>
            <a:gd name="adj" fmla="val 3901"/>
          </a:avLst>
        </a:prstGeom>
        <a:solidFill>
          <a:schemeClr val="bg1">
            <a:lumMod val="95000"/>
          </a:schemeClr>
        </a:solidFill>
        <a:ln w="28575">
          <a:solidFill>
            <a:schemeClr val="accent2"/>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nl-NL" sz="1200">
              <a:solidFill>
                <a:srgbClr val="9696AE"/>
              </a:solidFill>
              <a:latin typeface="Segoe UI" panose="020B0502040204020203" pitchFamily="34" charset="0"/>
              <a:ea typeface="+mn-ea"/>
              <a:cs typeface="Segoe UI" panose="020B0502040204020203" pitchFamily="34" charset="0"/>
            </a:rPr>
            <a:t>CirculariteitsPrestatie Gebouw CPG</a:t>
          </a:r>
        </a:p>
        <a:p>
          <a:pPr marL="0" indent="0" algn="ctr"/>
          <a:r>
            <a:rPr lang="nl-NL" sz="1200">
              <a:solidFill>
                <a:srgbClr val="9696AE"/>
              </a:solidFill>
              <a:latin typeface="Segoe UI" panose="020B0502040204020203" pitchFamily="34" charset="0"/>
              <a:ea typeface="+mn-ea"/>
              <a:cs typeface="Segoe UI" panose="020B0502040204020203" pitchFamily="34" charset="0"/>
            </a:rPr>
            <a:t>bestaande bouw</a:t>
          </a:r>
        </a:p>
      </xdr:txBody>
    </xdr:sp>
    <xdr:clientData/>
  </xdr:twoCellAnchor>
  <xdr:twoCellAnchor>
    <xdr:from>
      <xdr:col>8</xdr:col>
      <xdr:colOff>0</xdr:colOff>
      <xdr:row>17</xdr:row>
      <xdr:rowOff>0</xdr:rowOff>
    </xdr:from>
    <xdr:to>
      <xdr:col>9</xdr:col>
      <xdr:colOff>1</xdr:colOff>
      <xdr:row>18</xdr:row>
      <xdr:rowOff>0</xdr:rowOff>
    </xdr:to>
    <xdr:sp macro="" textlink="">
      <xdr:nvSpPr>
        <xdr:cNvPr id="12" name="CPG_18 nieuw">
          <a:hlinkClick xmlns:r="http://schemas.openxmlformats.org/officeDocument/2006/relationships" r:id="rId6" tooltip="berekening CirculariteitsPrestatie Gebouw CPG"/>
          <a:extLst>
            <a:ext uri="{FF2B5EF4-FFF2-40B4-BE49-F238E27FC236}">
              <a16:creationId xmlns:a16="http://schemas.microsoft.com/office/drawing/2014/main" id="{13F3982B-363E-49B5-84FD-7E2012366E77}"/>
            </a:ext>
          </a:extLst>
        </xdr:cNvPr>
        <xdr:cNvSpPr/>
      </xdr:nvSpPr>
      <xdr:spPr>
        <a:xfrm>
          <a:off x="6584674" y="5723283"/>
          <a:ext cx="1714501" cy="819978"/>
        </a:xfrm>
        <a:prstGeom prst="roundRect">
          <a:avLst>
            <a:gd name="adj" fmla="val 3901"/>
          </a:avLst>
        </a:prstGeom>
        <a:solidFill>
          <a:schemeClr val="bg1">
            <a:lumMod val="95000"/>
          </a:schemeClr>
        </a:solidFill>
        <a:ln w="28575">
          <a:solidFill>
            <a:schemeClr val="accent2"/>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nl-NL" sz="1200">
              <a:solidFill>
                <a:srgbClr val="9696AE"/>
              </a:solidFill>
              <a:latin typeface="Segoe UI" panose="020B0502040204020203" pitchFamily="34" charset="0"/>
              <a:ea typeface="+mn-ea"/>
              <a:cs typeface="Segoe UI" panose="020B0502040204020203" pitchFamily="34" charset="0"/>
            </a:rPr>
            <a:t>CirculariteitsPrestatie Gebouw CPG nieuwbouw</a:t>
          </a:r>
        </a:p>
      </xdr:txBody>
    </xdr:sp>
    <xdr:clientData/>
  </xdr:twoCellAnchor>
  <xdr:twoCellAnchor>
    <xdr:from>
      <xdr:col>8</xdr:col>
      <xdr:colOff>0</xdr:colOff>
      <xdr:row>17</xdr:row>
      <xdr:rowOff>0</xdr:rowOff>
    </xdr:from>
    <xdr:to>
      <xdr:col>8</xdr:col>
      <xdr:colOff>1712596</xdr:colOff>
      <xdr:row>18</xdr:row>
      <xdr:rowOff>0</xdr:rowOff>
    </xdr:to>
    <xdr:sp macro="" textlink="">
      <xdr:nvSpPr>
        <xdr:cNvPr id="22" name="CPG_17" hidden="1">
          <a:hlinkClick xmlns:r="http://schemas.openxmlformats.org/officeDocument/2006/relationships" r:id="rId7" tooltip="berekening CirculariteitsPrestatie Gebouw CPG"/>
          <a:extLst>
            <a:ext uri="{FF2B5EF4-FFF2-40B4-BE49-F238E27FC236}">
              <a16:creationId xmlns:a16="http://schemas.microsoft.com/office/drawing/2014/main" id="{03298A3A-5B63-46D8-B8B4-41A1D56B1A99}"/>
            </a:ext>
          </a:extLst>
        </xdr:cNvPr>
        <xdr:cNvSpPr/>
      </xdr:nvSpPr>
      <xdr:spPr>
        <a:xfrm>
          <a:off x="6594231" y="5773615"/>
          <a:ext cx="1712596" cy="820616"/>
        </a:xfrm>
        <a:prstGeom prst="roundRect">
          <a:avLst>
            <a:gd name="adj" fmla="val 3901"/>
          </a:avLst>
        </a:prstGeom>
        <a:solidFill>
          <a:schemeClr val="bg1">
            <a:lumMod val="95000"/>
          </a:schemeClr>
        </a:solidFill>
        <a:ln w="28575">
          <a:solidFill>
            <a:schemeClr val="accent2"/>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nl-NL" sz="1200">
              <a:solidFill>
                <a:srgbClr val="9696AE"/>
              </a:solidFill>
              <a:latin typeface="Segoe UI" panose="020B0502040204020203" pitchFamily="34" charset="0"/>
              <a:ea typeface="+mn-ea"/>
              <a:cs typeface="Segoe UI" panose="020B0502040204020203" pitchFamily="34" charset="0"/>
            </a:rPr>
            <a:t> CirculariteitsPrestatie Gebouw CPG </a:t>
          </a:r>
        </a:p>
      </xdr:txBody>
    </xdr:sp>
    <xdr:clientData/>
  </xdr:twoCellAnchor>
  <xdr:twoCellAnchor>
    <xdr:from>
      <xdr:col>8</xdr:col>
      <xdr:colOff>19594</xdr:colOff>
      <xdr:row>12</xdr:row>
      <xdr:rowOff>214449</xdr:rowOff>
    </xdr:from>
    <xdr:to>
      <xdr:col>9</xdr:col>
      <xdr:colOff>19595</xdr:colOff>
      <xdr:row>13</xdr:row>
      <xdr:rowOff>785949</xdr:rowOff>
    </xdr:to>
    <xdr:sp macro="" textlink="">
      <xdr:nvSpPr>
        <xdr:cNvPr id="8" name="GPR DPG combineren">
          <a:hlinkClick xmlns:r="http://schemas.openxmlformats.org/officeDocument/2006/relationships" r:id="rId8" tooltip="Combineer scores van meerdere GPR-DPG berekeningen "/>
          <a:extLst>
            <a:ext uri="{FF2B5EF4-FFF2-40B4-BE49-F238E27FC236}">
              <a16:creationId xmlns:a16="http://schemas.microsoft.com/office/drawing/2014/main" id="{54672762-1E0C-4596-A11C-B9B395829B58}"/>
            </a:ext>
          </a:extLst>
        </xdr:cNvPr>
        <xdr:cNvSpPr/>
      </xdr:nvSpPr>
      <xdr:spPr>
        <a:xfrm>
          <a:off x="7541623" y="3861163"/>
          <a:ext cx="1959429" cy="810986"/>
        </a:xfrm>
        <a:prstGeom prst="roundRect">
          <a:avLst>
            <a:gd name="adj" fmla="val 3901"/>
          </a:avLst>
        </a:prstGeom>
        <a:solidFill>
          <a:schemeClr val="bg1">
            <a:lumMod val="95000"/>
          </a:schemeClr>
        </a:solidFill>
        <a:ln w="28575">
          <a:solidFill>
            <a:schemeClr val="accent2"/>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nl-NL" sz="1200">
              <a:solidFill>
                <a:srgbClr val="9696AE"/>
              </a:solidFill>
              <a:latin typeface="Segoe UI" panose="020B0502040204020203" pitchFamily="34" charset="0"/>
              <a:ea typeface="+mn-ea"/>
              <a:cs typeface="Segoe UI" panose="020B0502040204020203" pitchFamily="34" charset="0"/>
            </a:rPr>
            <a:t>GPR-DPG scores </a:t>
          </a:r>
        </a:p>
        <a:p>
          <a:pPr marL="0" indent="0" algn="ctr"/>
          <a:r>
            <a:rPr lang="nl-NL" sz="1200">
              <a:solidFill>
                <a:srgbClr val="9696AE"/>
              </a:solidFill>
              <a:latin typeface="Segoe UI" panose="020B0502040204020203" pitchFamily="34" charset="0"/>
              <a:ea typeface="+mn-ea"/>
              <a:cs typeface="Segoe UI" panose="020B0502040204020203" pitchFamily="34" charset="0"/>
            </a:rPr>
            <a:t>combineren</a:t>
          </a:r>
        </a:p>
      </xdr:txBody>
    </xdr:sp>
    <xdr:clientData/>
  </xdr:twoCellAnchor>
  <xdr:twoCellAnchor>
    <xdr:from>
      <xdr:col>8</xdr:col>
      <xdr:colOff>8707</xdr:colOff>
      <xdr:row>11</xdr:row>
      <xdr:rowOff>15240</xdr:rowOff>
    </xdr:from>
    <xdr:to>
      <xdr:col>9</xdr:col>
      <xdr:colOff>8708</xdr:colOff>
      <xdr:row>12</xdr:row>
      <xdr:rowOff>15240</xdr:rowOff>
    </xdr:to>
    <xdr:sp macro="" textlink="">
      <xdr:nvSpPr>
        <xdr:cNvPr id="10" name="GPR combineren">
          <a:hlinkClick xmlns:r="http://schemas.openxmlformats.org/officeDocument/2006/relationships" r:id="rId9" tooltip="Combineer scores van meerdere GPR berekeningen "/>
          <a:extLst>
            <a:ext uri="{FF2B5EF4-FFF2-40B4-BE49-F238E27FC236}">
              <a16:creationId xmlns:a16="http://schemas.microsoft.com/office/drawing/2014/main" id="{06E37C71-B496-459E-AAE7-E8F97E124423}"/>
            </a:ext>
          </a:extLst>
        </xdr:cNvPr>
        <xdr:cNvSpPr/>
      </xdr:nvSpPr>
      <xdr:spPr>
        <a:xfrm>
          <a:off x="7530736" y="2845526"/>
          <a:ext cx="1959429" cy="816428"/>
        </a:xfrm>
        <a:prstGeom prst="roundRect">
          <a:avLst>
            <a:gd name="adj" fmla="val 3901"/>
          </a:avLst>
        </a:prstGeom>
        <a:solidFill>
          <a:schemeClr val="bg1">
            <a:lumMod val="95000"/>
          </a:schemeClr>
        </a:solidFill>
        <a:ln w="28575">
          <a:solidFill>
            <a:schemeClr val="accent2"/>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nl-NL" sz="1200">
              <a:solidFill>
                <a:srgbClr val="9696AE"/>
              </a:solidFill>
              <a:latin typeface="Segoe UI" panose="020B0502040204020203" pitchFamily="34" charset="0"/>
              <a:ea typeface="+mn-ea"/>
              <a:cs typeface="Segoe UI" panose="020B0502040204020203" pitchFamily="34" charset="0"/>
            </a:rPr>
            <a:t>GPR scores </a:t>
          </a:r>
        </a:p>
        <a:p>
          <a:pPr marL="0" indent="0" algn="ctr"/>
          <a:r>
            <a:rPr lang="nl-NL" sz="1200">
              <a:solidFill>
                <a:srgbClr val="9696AE"/>
              </a:solidFill>
              <a:latin typeface="Segoe UI" panose="020B0502040204020203" pitchFamily="34" charset="0"/>
              <a:ea typeface="+mn-ea"/>
              <a:cs typeface="Segoe UI" panose="020B0502040204020203" pitchFamily="34" charset="0"/>
            </a:rPr>
            <a:t>combineren</a:t>
          </a:r>
        </a:p>
      </xdr:txBody>
    </xdr:sp>
    <xdr:clientData/>
  </xdr:twoCellAnchor>
  <xdr:twoCellAnchor>
    <xdr:from>
      <xdr:col>6</xdr:col>
      <xdr:colOff>0</xdr:colOff>
      <xdr:row>12</xdr:row>
      <xdr:rowOff>219074</xdr:rowOff>
    </xdr:from>
    <xdr:to>
      <xdr:col>7</xdr:col>
      <xdr:colOff>0</xdr:colOff>
      <xdr:row>14</xdr:row>
      <xdr:rowOff>0</xdr:rowOff>
    </xdr:to>
    <xdr:sp macro="" textlink="">
      <xdr:nvSpPr>
        <xdr:cNvPr id="23" name="adaptief vermogen" descr="NEN 7120 naar EP1 en EP2&#10;Nog niet geïmplementeerd.">
          <a:hlinkClick xmlns:r="http://schemas.openxmlformats.org/officeDocument/2006/relationships" r:id="rId10" tooltip="Adapatief vermogen 1.0"/>
          <a:extLst>
            <a:ext uri="{FF2B5EF4-FFF2-40B4-BE49-F238E27FC236}">
              <a16:creationId xmlns:a16="http://schemas.microsoft.com/office/drawing/2014/main" id="{848640CC-BE62-4730-AFC1-4162A53AD040}"/>
            </a:ext>
          </a:extLst>
        </xdr:cNvPr>
        <xdr:cNvSpPr/>
      </xdr:nvSpPr>
      <xdr:spPr>
        <a:xfrm>
          <a:off x="4686300" y="3686174"/>
          <a:ext cx="1714500" cy="819151"/>
        </a:xfrm>
        <a:prstGeom prst="roundRect">
          <a:avLst>
            <a:gd name="adj" fmla="val 3901"/>
          </a:avLst>
        </a:prstGeom>
        <a:solidFill>
          <a:schemeClr val="bg1">
            <a:lumMod val="95000"/>
          </a:schemeClr>
        </a:solidFill>
        <a:ln w="28575">
          <a:solidFill>
            <a:srgbClr val="FFC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nl-NL" sz="1200">
              <a:solidFill>
                <a:srgbClr val="9696AE"/>
              </a:solidFill>
              <a:latin typeface="Segoe UI" panose="020B0502040204020203" pitchFamily="34" charset="0"/>
              <a:ea typeface="+mn-ea"/>
              <a:cs typeface="Segoe UI" panose="020B0502040204020203" pitchFamily="34" charset="0"/>
            </a:rPr>
            <a:t>adaptief vermogen</a:t>
          </a:r>
        </a:p>
      </xdr:txBody>
    </xdr:sp>
    <xdr:clientData/>
  </xdr:twoCellAnchor>
  <xdr:twoCellAnchor>
    <xdr:from>
      <xdr:col>6</xdr:col>
      <xdr:colOff>10886</xdr:colOff>
      <xdr:row>11</xdr:row>
      <xdr:rowOff>0</xdr:rowOff>
    </xdr:from>
    <xdr:to>
      <xdr:col>7</xdr:col>
      <xdr:colOff>10886</xdr:colOff>
      <xdr:row>12</xdr:row>
      <xdr:rowOff>1</xdr:rowOff>
    </xdr:to>
    <xdr:sp macro="" textlink="">
      <xdr:nvSpPr>
        <xdr:cNvPr id="13" name="indicatie BENG1" descr="NEN 7120 naar EP1 en EP2&#10;Nog niet geïmplementeerd.">
          <a:hlinkClick xmlns:r="http://schemas.openxmlformats.org/officeDocument/2006/relationships" r:id="rId11" tooltip="Indicatie BENG1"/>
          <a:extLst>
            <a:ext uri="{FF2B5EF4-FFF2-40B4-BE49-F238E27FC236}">
              <a16:creationId xmlns:a16="http://schemas.microsoft.com/office/drawing/2014/main" id="{ADC7A6F3-24DA-4C90-89F6-7C2A9E1258E8}"/>
            </a:ext>
          </a:extLst>
        </xdr:cNvPr>
        <xdr:cNvSpPr/>
      </xdr:nvSpPr>
      <xdr:spPr>
        <a:xfrm>
          <a:off x="5366657" y="2830286"/>
          <a:ext cx="1959429" cy="816429"/>
        </a:xfrm>
        <a:prstGeom prst="roundRect">
          <a:avLst>
            <a:gd name="adj" fmla="val 3901"/>
          </a:avLst>
        </a:prstGeom>
        <a:solidFill>
          <a:schemeClr val="bg1">
            <a:lumMod val="95000"/>
          </a:schemeClr>
        </a:solidFill>
        <a:ln w="28575">
          <a:solidFill>
            <a:srgbClr val="FFC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nl-NL" sz="1200">
              <a:solidFill>
                <a:srgbClr val="9696AE"/>
              </a:solidFill>
              <a:latin typeface="Segoe UI" panose="020B0502040204020203" pitchFamily="34" charset="0"/>
              <a:ea typeface="+mn-ea"/>
              <a:cs typeface="Segoe UI" panose="020B0502040204020203" pitchFamily="34" charset="0"/>
            </a:rPr>
            <a:t>indicatie BENG 1</a:t>
          </a:r>
        </a:p>
      </xdr:txBody>
    </xdr:sp>
    <xdr:clientData/>
  </xdr:twoCellAnchor>
  <xdr:twoCellAnchor>
    <xdr:from>
      <xdr:col>4</xdr:col>
      <xdr:colOff>0</xdr:colOff>
      <xdr:row>17</xdr:row>
      <xdr:rowOff>3726</xdr:rowOff>
    </xdr:from>
    <xdr:to>
      <xdr:col>5</xdr:col>
      <xdr:colOff>0</xdr:colOff>
      <xdr:row>17</xdr:row>
      <xdr:rowOff>819977</xdr:rowOff>
    </xdr:to>
    <xdr:sp macro="" textlink="">
      <xdr:nvSpPr>
        <xdr:cNvPr id="11" name="circulaire materialen">
          <a:hlinkClick xmlns:r="http://schemas.openxmlformats.org/officeDocument/2006/relationships" r:id="rId12" tooltip="Berekenen circulaire materialen"/>
          <a:extLst>
            <a:ext uri="{FF2B5EF4-FFF2-40B4-BE49-F238E27FC236}">
              <a16:creationId xmlns:a16="http://schemas.microsoft.com/office/drawing/2014/main" id="{E4E3A276-134B-49FA-859E-346B81D0ECF6}"/>
            </a:ext>
          </a:extLst>
        </xdr:cNvPr>
        <xdr:cNvSpPr/>
      </xdr:nvSpPr>
      <xdr:spPr>
        <a:xfrm>
          <a:off x="2791239" y="5727009"/>
          <a:ext cx="1714500" cy="816251"/>
        </a:xfrm>
        <a:prstGeom prst="roundRect">
          <a:avLst>
            <a:gd name="adj" fmla="val 3901"/>
          </a:avLst>
        </a:prstGeom>
        <a:solidFill>
          <a:schemeClr val="bg1">
            <a:lumMod val="95000"/>
          </a:schemeClr>
        </a:solidFill>
        <a:ln w="28575">
          <a:solidFill>
            <a:schemeClr val="accent6"/>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nl-NL" sz="1200">
              <a:solidFill>
                <a:srgbClr val="9696AE"/>
              </a:solidFill>
              <a:latin typeface="Segoe UI" panose="020B0502040204020203" pitchFamily="34" charset="0"/>
              <a:ea typeface="+mn-ea"/>
              <a:cs typeface="Segoe UI" panose="020B0502040204020203" pitchFamily="34" charset="0"/>
            </a:rPr>
            <a:t>berekenen</a:t>
          </a:r>
        </a:p>
        <a:p>
          <a:pPr marL="0" indent="0" algn="ctr"/>
          <a:r>
            <a:rPr lang="nl-NL" sz="1200">
              <a:solidFill>
                <a:srgbClr val="9696AE"/>
              </a:solidFill>
              <a:latin typeface="Segoe UI" panose="020B0502040204020203" pitchFamily="34" charset="0"/>
              <a:ea typeface="+mn-ea"/>
              <a:cs typeface="Segoe UI" panose="020B0502040204020203" pitchFamily="34" charset="0"/>
            </a:rPr>
            <a:t>circulaire materialen</a:t>
          </a:r>
        </a:p>
      </xdr:txBody>
    </xdr:sp>
    <xdr:clientData/>
  </xdr:twoCellAnchor>
  <xdr:twoCellAnchor>
    <xdr:from>
      <xdr:col>4</xdr:col>
      <xdr:colOff>0</xdr:colOff>
      <xdr:row>15</xdr:row>
      <xdr:rowOff>0</xdr:rowOff>
    </xdr:from>
    <xdr:to>
      <xdr:col>5</xdr:col>
      <xdr:colOff>0</xdr:colOff>
      <xdr:row>16</xdr:row>
      <xdr:rowOff>0</xdr:rowOff>
    </xdr:to>
    <xdr:sp macro="[0]!hergebruikspotentie_Klikken" textlink="">
      <xdr:nvSpPr>
        <xdr:cNvPr id="7" name="hergebruikspotentie">
          <a:hlinkClick xmlns:r="http://schemas.openxmlformats.org/officeDocument/2006/relationships" r:id="rId13" tooltip="Berekenen hergebruikspotentieel van producten"/>
          <a:extLst>
            <a:ext uri="{FF2B5EF4-FFF2-40B4-BE49-F238E27FC236}">
              <a16:creationId xmlns:a16="http://schemas.microsoft.com/office/drawing/2014/main" id="{C7E27882-640D-446D-89B6-4E8952A43432}"/>
            </a:ext>
          </a:extLst>
        </xdr:cNvPr>
        <xdr:cNvSpPr/>
      </xdr:nvSpPr>
      <xdr:spPr>
        <a:xfrm>
          <a:off x="2790825" y="3543300"/>
          <a:ext cx="1714500" cy="819150"/>
        </a:xfrm>
        <a:prstGeom prst="roundRect">
          <a:avLst>
            <a:gd name="adj" fmla="val 3901"/>
          </a:avLst>
        </a:prstGeom>
        <a:solidFill>
          <a:schemeClr val="bg1">
            <a:lumMod val="95000"/>
          </a:schemeClr>
        </a:solidFill>
        <a:ln w="28575">
          <a:solidFill>
            <a:schemeClr val="accent6"/>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nl-NL" sz="1200">
              <a:solidFill>
                <a:srgbClr val="9696AE"/>
              </a:solidFill>
              <a:latin typeface="Segoe UI" panose="020B0502040204020203" pitchFamily="34" charset="0"/>
              <a:ea typeface="+mn-ea"/>
              <a:cs typeface="Segoe UI" panose="020B0502040204020203" pitchFamily="34" charset="0"/>
            </a:rPr>
            <a:t>berekenen hergebruikspotentie</a:t>
          </a:r>
        </a:p>
      </xdr:txBody>
    </xdr:sp>
    <xdr:clientData/>
  </xdr:twoCellAnchor>
  <xdr:twoCellAnchor>
    <xdr:from>
      <xdr:col>4</xdr:col>
      <xdr:colOff>15240</xdr:colOff>
      <xdr:row>13</xdr:row>
      <xdr:rowOff>1905</xdr:rowOff>
    </xdr:from>
    <xdr:to>
      <xdr:col>5</xdr:col>
      <xdr:colOff>19050</xdr:colOff>
      <xdr:row>14</xdr:row>
      <xdr:rowOff>1905</xdr:rowOff>
    </xdr:to>
    <xdr:sp macro="" textlink="">
      <xdr:nvSpPr>
        <xdr:cNvPr id="20" name="kruisjeslijst">
          <a:hlinkClick xmlns:r="http://schemas.openxmlformats.org/officeDocument/2006/relationships" r:id="rId14" tooltip="functionele gebouwelementen per gebruiksfunctie"/>
          <a:extLst>
            <a:ext uri="{FF2B5EF4-FFF2-40B4-BE49-F238E27FC236}">
              <a16:creationId xmlns:a16="http://schemas.microsoft.com/office/drawing/2014/main" id="{72C3F9E4-5DE7-4F2F-A00B-0DD2816FCD8B}"/>
            </a:ext>
          </a:extLst>
        </xdr:cNvPr>
        <xdr:cNvSpPr/>
      </xdr:nvSpPr>
      <xdr:spPr>
        <a:xfrm>
          <a:off x="3215640" y="3964305"/>
          <a:ext cx="1965960" cy="819150"/>
        </a:xfrm>
        <a:prstGeom prst="roundRect">
          <a:avLst>
            <a:gd name="adj" fmla="val 3901"/>
          </a:avLst>
        </a:prstGeom>
        <a:solidFill>
          <a:schemeClr val="bg1">
            <a:lumMod val="95000"/>
          </a:schemeClr>
        </a:solidFill>
        <a:ln w="28575">
          <a:solidFill>
            <a:schemeClr val="accent6"/>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nl-NL" sz="1200">
              <a:solidFill>
                <a:srgbClr val="9696AE"/>
              </a:solidFill>
              <a:latin typeface="Segoe UI" panose="020B0502040204020203" pitchFamily="34" charset="0"/>
              <a:ea typeface="+mn-ea"/>
              <a:cs typeface="Segoe UI" panose="020B0502040204020203" pitchFamily="34" charset="0"/>
            </a:rPr>
            <a:t>kruisjeslijst</a:t>
          </a:r>
        </a:p>
      </xdr:txBody>
    </xdr:sp>
    <xdr:clientData/>
  </xdr:twoCellAnchor>
  <xdr:twoCellAnchor>
    <xdr:from>
      <xdr:col>4</xdr:col>
      <xdr:colOff>15240</xdr:colOff>
      <xdr:row>11</xdr:row>
      <xdr:rowOff>4269</xdr:rowOff>
    </xdr:from>
    <xdr:to>
      <xdr:col>5</xdr:col>
      <xdr:colOff>15240</xdr:colOff>
      <xdr:row>11</xdr:row>
      <xdr:rowOff>813500</xdr:rowOff>
    </xdr:to>
    <xdr:sp macro="" textlink="">
      <xdr:nvSpPr>
        <xdr:cNvPr id="16" name="gebouwspecifieke levensduur">
          <a:hlinkClick xmlns:r="http://schemas.openxmlformats.org/officeDocument/2006/relationships" r:id="rId15" tooltip="Gebouwspecifieke levensduur"/>
          <a:extLst>
            <a:ext uri="{FF2B5EF4-FFF2-40B4-BE49-F238E27FC236}">
              <a16:creationId xmlns:a16="http://schemas.microsoft.com/office/drawing/2014/main" id="{E276DA93-6E5F-425A-8C82-86C42E182B9D}"/>
            </a:ext>
          </a:extLst>
        </xdr:cNvPr>
        <xdr:cNvSpPr/>
      </xdr:nvSpPr>
      <xdr:spPr>
        <a:xfrm>
          <a:off x="3200400" y="2869389"/>
          <a:ext cx="1958340" cy="809231"/>
        </a:xfrm>
        <a:prstGeom prst="roundRect">
          <a:avLst>
            <a:gd name="adj" fmla="val 3901"/>
          </a:avLst>
        </a:prstGeom>
        <a:solidFill>
          <a:schemeClr val="bg1">
            <a:lumMod val="95000"/>
          </a:schemeClr>
        </a:solidFill>
        <a:ln w="28575">
          <a:solidFill>
            <a:schemeClr val="accent6"/>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nl-NL" sz="1200">
              <a:solidFill>
                <a:srgbClr val="9696AE"/>
              </a:solidFill>
              <a:latin typeface="Segoe UI" panose="020B0502040204020203" pitchFamily="34" charset="0"/>
              <a:ea typeface="+mn-ea"/>
              <a:cs typeface="Segoe UI" panose="020B0502040204020203" pitchFamily="34" charset="0"/>
            </a:rPr>
            <a:t>gebouwspecifieke levensduur</a:t>
          </a:r>
        </a:p>
      </xdr:txBody>
    </xdr:sp>
    <xdr:clientData/>
  </xdr:twoCellAnchor>
  <xdr:twoCellAnchor>
    <xdr:from>
      <xdr:col>2</xdr:col>
      <xdr:colOff>1</xdr:colOff>
      <xdr:row>19</xdr:row>
      <xdr:rowOff>0</xdr:rowOff>
    </xdr:from>
    <xdr:to>
      <xdr:col>5</xdr:col>
      <xdr:colOff>0</xdr:colOff>
      <xdr:row>20</xdr:row>
      <xdr:rowOff>0</xdr:rowOff>
    </xdr:to>
    <xdr:sp macro="" textlink="">
      <xdr:nvSpPr>
        <xdr:cNvPr id="4" name="QCI">
          <a:hlinkClick xmlns:r="http://schemas.openxmlformats.org/officeDocument/2006/relationships" r:id="rId16"/>
          <a:extLst>
            <a:ext uri="{FF2B5EF4-FFF2-40B4-BE49-F238E27FC236}">
              <a16:creationId xmlns:a16="http://schemas.microsoft.com/office/drawing/2014/main" id="{8E54F9D6-A6C7-62EB-D29F-C0F66CEA3B1D}"/>
            </a:ext>
          </a:extLst>
        </xdr:cNvPr>
        <xdr:cNvSpPr/>
      </xdr:nvSpPr>
      <xdr:spPr>
        <a:xfrm>
          <a:off x="895351" y="6800850"/>
          <a:ext cx="3609974" cy="819150"/>
        </a:xfrm>
        <a:prstGeom prst="roundRect">
          <a:avLst/>
        </a:prstGeom>
        <a:gradFill flip="none" rotWithShape="1">
          <a:gsLst>
            <a:gs pos="0">
              <a:srgbClr val="A50021">
                <a:alpha val="13000"/>
              </a:srgbClr>
            </a:gs>
            <a:gs pos="100000">
              <a:schemeClr val="accent6"/>
            </a:gs>
            <a:gs pos="100000">
              <a:schemeClr val="accent1">
                <a:lumMod val="100000"/>
              </a:schemeClr>
            </a:gs>
          </a:gsLst>
          <a:lin ang="0" scaled="1"/>
          <a:tileRect/>
        </a:gradFill>
        <a:ln>
          <a:solidFill>
            <a:schemeClr val="bg1"/>
          </a:solidFill>
        </a:ln>
        <a:effectLst>
          <a:outerShdw blurRad="50800" dist="38100" dir="2700000" algn="tl" rotWithShape="0">
            <a:prstClr val="black">
              <a:alpha val="40000"/>
            </a:prstClr>
          </a:outerShdw>
        </a:effectLst>
      </xdr:spPr>
      <xdr:style>
        <a:lnRef idx="1">
          <a:schemeClr val="accent3"/>
        </a:lnRef>
        <a:fillRef idx="3">
          <a:schemeClr val="accent3"/>
        </a:fillRef>
        <a:effectRef idx="2">
          <a:schemeClr val="accent3"/>
        </a:effectRef>
        <a:fontRef idx="minor">
          <a:schemeClr val="lt1"/>
        </a:fontRef>
      </xdr:style>
      <xdr:txBody>
        <a:bodyPr wrap="square" rtlCol="0" anchor="ctr"/>
        <a:lstStyle>
          <a:defPPr lvl="0">
            <a:defRPr lang="nl-NL"/>
          </a:defPPr>
          <a:lvl1pPr marL="0" lvl="1" algn="l" defTabSz="914400" rtl="0" eaLnBrk="1" latinLnBrk="0" hangingPunct="1">
            <a:defRPr sz="1800" kern="1200">
              <a:solidFill>
                <a:schemeClr val="lt1"/>
              </a:solidFill>
              <a:latin typeface="+mn-lt"/>
              <a:ea typeface="+mn-ea"/>
              <a:cs typeface="+mn-cs"/>
            </a:defRPr>
          </a:lvl1pPr>
          <a:lvl2pPr marL="457200" lvl="2" algn="l" defTabSz="914400" rtl="0" eaLnBrk="1" latinLnBrk="0" hangingPunct="1">
            <a:defRPr sz="1800" kern="1200">
              <a:solidFill>
                <a:schemeClr val="lt1"/>
              </a:solidFill>
              <a:latin typeface="+mn-lt"/>
              <a:ea typeface="+mn-ea"/>
              <a:cs typeface="+mn-cs"/>
            </a:defRPr>
          </a:lvl2pPr>
          <a:lvl3pPr marL="914400" lvl="3" algn="l" defTabSz="914400" rtl="0" eaLnBrk="1" latinLnBrk="0" hangingPunct="1">
            <a:defRPr sz="1800" kern="1200">
              <a:solidFill>
                <a:schemeClr val="lt1"/>
              </a:solidFill>
              <a:latin typeface="+mn-lt"/>
              <a:ea typeface="+mn-ea"/>
              <a:cs typeface="+mn-cs"/>
            </a:defRPr>
          </a:lvl3pPr>
          <a:lvl4pPr marL="1371600" lvl="4"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200">
              <a:latin typeface="Segoe UI" panose="020B0502040204020203" pitchFamily="34" charset="0"/>
              <a:cs typeface="Segoe UI" panose="020B0502040204020203" pitchFamily="34" charset="0"/>
            </a:rPr>
            <a:t>Quick Carbon Indicator (QCI)</a:t>
          </a:r>
        </a:p>
      </xdr:txBody>
    </xdr:sp>
    <xdr:clientData/>
  </xdr:twoCellAnchor>
  <xdr:twoCellAnchor>
    <xdr:from>
      <xdr:col>1</xdr:col>
      <xdr:colOff>171450</xdr:colOff>
      <xdr:row>17</xdr:row>
      <xdr:rowOff>0</xdr:rowOff>
    </xdr:from>
    <xdr:to>
      <xdr:col>3</xdr:col>
      <xdr:colOff>0</xdr:colOff>
      <xdr:row>18</xdr:row>
      <xdr:rowOff>0</xdr:rowOff>
    </xdr:to>
    <xdr:sp macro="" textlink="">
      <xdr:nvSpPr>
        <xdr:cNvPr id="18" name="CO2 warmtenetten">
          <a:hlinkClick xmlns:r="http://schemas.openxmlformats.org/officeDocument/2006/relationships" r:id="rId17" tooltip="CO2-emissiereductie bij warmtenetten"/>
          <a:extLst>
            <a:ext uri="{FF2B5EF4-FFF2-40B4-BE49-F238E27FC236}">
              <a16:creationId xmlns:a16="http://schemas.microsoft.com/office/drawing/2014/main" id="{09A02004-3549-48E5-BFF2-D5448ECAAEC4}"/>
            </a:ext>
          </a:extLst>
        </xdr:cNvPr>
        <xdr:cNvSpPr/>
      </xdr:nvSpPr>
      <xdr:spPr>
        <a:xfrm>
          <a:off x="883754" y="5723283"/>
          <a:ext cx="1725268" cy="819978"/>
        </a:xfrm>
        <a:prstGeom prst="roundRect">
          <a:avLst>
            <a:gd name="adj" fmla="val 3901"/>
          </a:avLst>
        </a:prstGeom>
        <a:solidFill>
          <a:schemeClr val="bg1">
            <a:lumMod val="95000"/>
          </a:schemeClr>
        </a:solidFill>
        <a:ln w="28575">
          <a:solidFill>
            <a:srgbClr val="A5002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nl-NL" sz="1200">
              <a:solidFill>
                <a:srgbClr val="9696AE"/>
              </a:solidFill>
              <a:latin typeface="Segoe UI" panose="020B0502040204020203" pitchFamily="34" charset="0"/>
              <a:ea typeface="+mn-ea"/>
              <a:cs typeface="Segoe UI" panose="020B0502040204020203" pitchFamily="34" charset="0"/>
            </a:rPr>
            <a:t>CO2-emissie bij warmtenetten</a:t>
          </a:r>
        </a:p>
      </xdr:txBody>
    </xdr:sp>
    <xdr:clientData/>
  </xdr:twoCellAnchor>
  <xdr:twoCellAnchor>
    <xdr:from>
      <xdr:col>2</xdr:col>
      <xdr:colOff>0</xdr:colOff>
      <xdr:row>15</xdr:row>
      <xdr:rowOff>0</xdr:rowOff>
    </xdr:from>
    <xdr:to>
      <xdr:col>3</xdr:col>
      <xdr:colOff>0</xdr:colOff>
      <xdr:row>16</xdr:row>
      <xdr:rowOff>0</xdr:rowOff>
    </xdr:to>
    <xdr:sp macro="" textlink="">
      <xdr:nvSpPr>
        <xdr:cNvPr id="2" name="ISSO 75.3 naar GPR4">
          <a:hlinkClick xmlns:r="http://schemas.openxmlformats.org/officeDocument/2006/relationships" r:id="rId18" tooltip="Overzetten van Vabi EPA-U (ISSO 75.3) naar GPR Gebouw 4"/>
          <a:extLst>
            <a:ext uri="{FF2B5EF4-FFF2-40B4-BE49-F238E27FC236}">
              <a16:creationId xmlns:a16="http://schemas.microsoft.com/office/drawing/2014/main" id="{BBCE6B1F-3B41-8D63-710E-BE270E9BB3D4}"/>
            </a:ext>
          </a:extLst>
        </xdr:cNvPr>
        <xdr:cNvSpPr/>
      </xdr:nvSpPr>
      <xdr:spPr>
        <a:xfrm>
          <a:off x="914400" y="5029200"/>
          <a:ext cx="1762125" cy="819150"/>
        </a:xfrm>
        <a:prstGeom prst="roundRect">
          <a:avLst>
            <a:gd name="adj" fmla="val 3901"/>
          </a:avLst>
        </a:prstGeom>
        <a:solidFill>
          <a:schemeClr val="bg1">
            <a:lumMod val="95000"/>
          </a:schemeClr>
        </a:solidFill>
        <a:ln w="28575">
          <a:solidFill>
            <a:srgbClr val="A5002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nl-NL" sz="1200">
              <a:solidFill>
                <a:srgbClr val="9696AE"/>
              </a:solidFill>
              <a:latin typeface="Segoe UI" panose="020B0502040204020203" pitchFamily="34" charset="0"/>
              <a:ea typeface="+mn-ea"/>
              <a:cs typeface="Segoe UI" panose="020B0502040204020203" pitchFamily="34" charset="0"/>
            </a:rPr>
            <a:t>ISSO 75.3 (EPA-U)</a:t>
          </a:r>
        </a:p>
        <a:p>
          <a:pPr marL="0" indent="0" algn="ctr"/>
          <a:r>
            <a:rPr lang="nl-NL" sz="1200">
              <a:solidFill>
                <a:srgbClr val="9696AE"/>
              </a:solidFill>
              <a:latin typeface="Segoe UI" panose="020B0502040204020203" pitchFamily="34" charset="0"/>
              <a:ea typeface="+mn-ea"/>
              <a:cs typeface="Segoe UI" panose="020B0502040204020203" pitchFamily="34" charset="0"/>
            </a:rPr>
            <a:t>naar GPR 4</a:t>
          </a:r>
        </a:p>
      </xdr:txBody>
    </xdr:sp>
    <xdr:clientData/>
  </xdr:twoCellAnchor>
  <xdr:twoCellAnchor>
    <xdr:from>
      <xdr:col>2</xdr:col>
      <xdr:colOff>0</xdr:colOff>
      <xdr:row>13</xdr:row>
      <xdr:rowOff>0</xdr:rowOff>
    </xdr:from>
    <xdr:to>
      <xdr:col>3</xdr:col>
      <xdr:colOff>0</xdr:colOff>
      <xdr:row>14</xdr:row>
      <xdr:rowOff>0</xdr:rowOff>
    </xdr:to>
    <xdr:sp macro="" textlink="">
      <xdr:nvSpPr>
        <xdr:cNvPr id="5" name="NEN 7120 naar GPR4">
          <a:hlinkClick xmlns:r="http://schemas.openxmlformats.org/officeDocument/2006/relationships" r:id="rId19" tooltip="Overzetten van Uniec2 en Enorm naar GPR 4"/>
          <a:extLst>
            <a:ext uri="{FF2B5EF4-FFF2-40B4-BE49-F238E27FC236}">
              <a16:creationId xmlns:a16="http://schemas.microsoft.com/office/drawing/2014/main" id="{CE33E2C6-BDC7-4646-9DCE-0047EF466223}"/>
            </a:ext>
          </a:extLst>
        </xdr:cNvPr>
        <xdr:cNvSpPr/>
      </xdr:nvSpPr>
      <xdr:spPr>
        <a:xfrm>
          <a:off x="895350" y="3686175"/>
          <a:ext cx="1714500" cy="819150"/>
        </a:xfrm>
        <a:prstGeom prst="roundRect">
          <a:avLst>
            <a:gd name="adj" fmla="val 3901"/>
          </a:avLst>
        </a:prstGeom>
        <a:solidFill>
          <a:schemeClr val="bg1">
            <a:lumMod val="95000"/>
          </a:schemeClr>
        </a:solidFill>
        <a:ln w="28575">
          <a:solidFill>
            <a:srgbClr val="A5002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nl-NL" sz="1200">
              <a:solidFill>
                <a:srgbClr val="9696AE"/>
              </a:solidFill>
              <a:latin typeface="Segoe UI" panose="020B0502040204020203" pitchFamily="34" charset="0"/>
              <a:ea typeface="+mn-ea"/>
              <a:cs typeface="Segoe UI" panose="020B0502040204020203" pitchFamily="34" charset="0"/>
            </a:rPr>
            <a:t>NEN 7120 naar GPR 4</a:t>
          </a:r>
        </a:p>
      </xdr:txBody>
    </xdr:sp>
    <xdr:clientData/>
  </xdr:twoCellAnchor>
  <xdr:twoCellAnchor>
    <xdr:from>
      <xdr:col>2</xdr:col>
      <xdr:colOff>0</xdr:colOff>
      <xdr:row>11</xdr:row>
      <xdr:rowOff>9525</xdr:rowOff>
    </xdr:from>
    <xdr:to>
      <xdr:col>3</xdr:col>
      <xdr:colOff>0</xdr:colOff>
      <xdr:row>12</xdr:row>
      <xdr:rowOff>0</xdr:rowOff>
    </xdr:to>
    <xdr:sp macro="" textlink="">
      <xdr:nvSpPr>
        <xdr:cNvPr id="9" name="NTA 8800 naar GPR4">
          <a:hlinkClick xmlns:r="http://schemas.openxmlformats.org/officeDocument/2006/relationships" r:id="rId20" tooltip="Overzetten van Uniec3 en Vabi NTA 8800 naar GPR Gebouw 4"/>
          <a:extLst>
            <a:ext uri="{FF2B5EF4-FFF2-40B4-BE49-F238E27FC236}">
              <a16:creationId xmlns:a16="http://schemas.microsoft.com/office/drawing/2014/main" id="{3FF7CB7A-95D7-4533-AB6F-737308EC603D}"/>
            </a:ext>
          </a:extLst>
        </xdr:cNvPr>
        <xdr:cNvSpPr/>
      </xdr:nvSpPr>
      <xdr:spPr>
        <a:xfrm>
          <a:off x="895350" y="2657475"/>
          <a:ext cx="1714500" cy="809625"/>
        </a:xfrm>
        <a:prstGeom prst="roundRect">
          <a:avLst>
            <a:gd name="adj" fmla="val 3901"/>
          </a:avLst>
        </a:prstGeom>
        <a:solidFill>
          <a:schemeClr val="bg1">
            <a:lumMod val="95000"/>
          </a:schemeClr>
        </a:solidFill>
        <a:ln w="28575">
          <a:solidFill>
            <a:srgbClr val="A5002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nl-NL" sz="1200">
              <a:solidFill>
                <a:srgbClr val="9696AE"/>
              </a:solidFill>
              <a:latin typeface="Segoe UI" panose="020B0502040204020203" pitchFamily="34" charset="0"/>
              <a:ea typeface="+mn-ea"/>
              <a:cs typeface="Segoe UI" panose="020B0502040204020203" pitchFamily="34" charset="0"/>
            </a:rPr>
            <a:t>NTA 8800 naar GPR 4</a:t>
          </a:r>
        </a:p>
      </xdr:txBody>
    </xdr:sp>
    <xdr:clientData/>
  </xdr:twoCellAnchor>
  <xdr:twoCellAnchor editAs="oneCell">
    <xdr:from>
      <xdr:col>1</xdr:col>
      <xdr:colOff>9525</xdr:colOff>
      <xdr:row>0</xdr:row>
      <xdr:rowOff>0</xdr:rowOff>
    </xdr:from>
    <xdr:to>
      <xdr:col>4</xdr:col>
      <xdr:colOff>1028699</xdr:colOff>
      <xdr:row>0</xdr:row>
      <xdr:rowOff>398145</xdr:rowOff>
    </xdr:to>
    <xdr:pic>
      <xdr:nvPicPr>
        <xdr:cNvPr id="14" name="GPR hulpmiddelen">
          <a:extLst>
            <a:ext uri="{FF2B5EF4-FFF2-40B4-BE49-F238E27FC236}">
              <a16:creationId xmlns:a16="http://schemas.microsoft.com/office/drawing/2014/main" id="{35FD6ABE-70C4-4B8A-B8CF-82151BEF5F88}"/>
            </a:ext>
          </a:extLst>
        </xdr:cNvPr>
        <xdr:cNvPicPr>
          <a:picLocks noChangeAspect="1" noChangeArrowheads="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22" t="1554" b="16892"/>
        <a:stretch/>
      </xdr:blipFill>
      <xdr:spPr bwMode="auto">
        <a:xfrm>
          <a:off x="723900" y="219075"/>
          <a:ext cx="3095624" cy="3981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xdr:colOff>
      <xdr:row>0</xdr:row>
      <xdr:rowOff>0</xdr:rowOff>
    </xdr:from>
    <xdr:to>
      <xdr:col>4</xdr:col>
      <xdr:colOff>266699</xdr:colOff>
      <xdr:row>0</xdr:row>
      <xdr:rowOff>398145</xdr:rowOff>
    </xdr:to>
    <xdr:pic>
      <xdr:nvPicPr>
        <xdr:cNvPr id="11" name="GPR hulpmiddelen">
          <a:extLst>
            <a:ext uri="{FF2B5EF4-FFF2-40B4-BE49-F238E27FC236}">
              <a16:creationId xmlns:a16="http://schemas.microsoft.com/office/drawing/2014/main" id="{AC2EF51C-CF1E-4040-8918-37B17CDBE5D9}"/>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2" t="1554" b="16892"/>
        <a:stretch/>
      </xdr:blipFill>
      <xdr:spPr bwMode="auto">
        <a:xfrm>
          <a:off x="723900" y="0"/>
          <a:ext cx="3095624" cy="3981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2613659</xdr:colOff>
      <xdr:row>1</xdr:row>
      <xdr:rowOff>17145</xdr:rowOff>
    </xdr:to>
    <xdr:pic>
      <xdr:nvPicPr>
        <xdr:cNvPr id="3" name="Afbeelding 2">
          <a:extLst>
            <a:ext uri="{FF2B5EF4-FFF2-40B4-BE49-F238E27FC236}">
              <a16:creationId xmlns:a16="http://schemas.microsoft.com/office/drawing/2014/main" id="{0812A17C-DAE3-4FFF-BEA3-A47C06E79D66}"/>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2" t="1554" b="16892"/>
        <a:stretch/>
      </xdr:blipFill>
      <xdr:spPr bwMode="auto">
        <a:xfrm>
          <a:off x="714375" y="219075"/>
          <a:ext cx="3095624" cy="3981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37</xdr:col>
      <xdr:colOff>643538</xdr:colOff>
      <xdr:row>52</xdr:row>
      <xdr:rowOff>-1</xdr:rowOff>
    </xdr:from>
    <xdr:to>
      <xdr:col>46</xdr:col>
      <xdr:colOff>0</xdr:colOff>
      <xdr:row>84</xdr:row>
      <xdr:rowOff>-1</xdr:rowOff>
    </xdr:to>
    <xdr:graphicFrame macro="">
      <xdr:nvGraphicFramePr>
        <xdr:cNvPr id="4" name="Grafiek 3">
          <a:extLst>
            <a:ext uri="{FF2B5EF4-FFF2-40B4-BE49-F238E27FC236}">
              <a16:creationId xmlns:a16="http://schemas.microsoft.com/office/drawing/2014/main" id="{6CB09442-7B99-E6A7-79CD-9F9731B8A5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46</xdr:col>
      <xdr:colOff>0</xdr:colOff>
      <xdr:row>52</xdr:row>
      <xdr:rowOff>0</xdr:rowOff>
    </xdr:from>
    <xdr:to>
      <xdr:col>54</xdr:col>
      <xdr:colOff>0</xdr:colOff>
      <xdr:row>84</xdr:row>
      <xdr:rowOff>0</xdr:rowOff>
    </xdr:to>
    <xdr:graphicFrame macro="">
      <xdr:nvGraphicFramePr>
        <xdr:cNvPr id="2" name="Grafiek 1">
          <a:extLst>
            <a:ext uri="{FF2B5EF4-FFF2-40B4-BE49-F238E27FC236}">
              <a16:creationId xmlns:a16="http://schemas.microsoft.com/office/drawing/2014/main" id="{06328F71-CDA7-4145-8C34-AC7A0E3FDA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37</xdr:col>
      <xdr:colOff>643538</xdr:colOff>
      <xdr:row>88</xdr:row>
      <xdr:rowOff>0</xdr:rowOff>
    </xdr:from>
    <xdr:to>
      <xdr:col>46</xdr:col>
      <xdr:colOff>0</xdr:colOff>
      <xdr:row>120</xdr:row>
      <xdr:rowOff>40822</xdr:rowOff>
    </xdr:to>
    <xdr:graphicFrame macro="">
      <xdr:nvGraphicFramePr>
        <xdr:cNvPr id="5" name="Grafiek 4">
          <a:extLst>
            <a:ext uri="{FF2B5EF4-FFF2-40B4-BE49-F238E27FC236}">
              <a16:creationId xmlns:a16="http://schemas.microsoft.com/office/drawing/2014/main" id="{AA5F38E4-EF15-4CBC-8928-5EC0C1E18E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46</xdr:col>
      <xdr:colOff>17318</xdr:colOff>
      <xdr:row>88</xdr:row>
      <xdr:rowOff>1</xdr:rowOff>
    </xdr:from>
    <xdr:to>
      <xdr:col>54</xdr:col>
      <xdr:colOff>17318</xdr:colOff>
      <xdr:row>120</xdr:row>
      <xdr:rowOff>34638</xdr:rowOff>
    </xdr:to>
    <xdr:graphicFrame macro="">
      <xdr:nvGraphicFramePr>
        <xdr:cNvPr id="6" name="Grafiek 5">
          <a:extLst>
            <a:ext uri="{FF2B5EF4-FFF2-40B4-BE49-F238E27FC236}">
              <a16:creationId xmlns:a16="http://schemas.microsoft.com/office/drawing/2014/main" id="{FAEB3584-AEB5-4D92-9A6E-3F784A38FE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37</xdr:col>
      <xdr:colOff>675408</xdr:colOff>
      <xdr:row>151</xdr:row>
      <xdr:rowOff>173183</xdr:rowOff>
    </xdr:from>
    <xdr:to>
      <xdr:col>46</xdr:col>
      <xdr:colOff>31870</xdr:colOff>
      <xdr:row>183</xdr:row>
      <xdr:rowOff>1</xdr:rowOff>
    </xdr:to>
    <xdr:graphicFrame macro="">
      <xdr:nvGraphicFramePr>
        <xdr:cNvPr id="9" name="Grafiek 8">
          <a:extLst>
            <a:ext uri="{FF2B5EF4-FFF2-40B4-BE49-F238E27FC236}">
              <a16:creationId xmlns:a16="http://schemas.microsoft.com/office/drawing/2014/main" id="{0B58A1B9-6445-44CA-949C-7DE471FACF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9525</xdr:colOff>
      <xdr:row>0</xdr:row>
      <xdr:rowOff>0</xdr:rowOff>
    </xdr:from>
    <xdr:to>
      <xdr:col>6</xdr:col>
      <xdr:colOff>544635</xdr:colOff>
      <xdr:row>0</xdr:row>
      <xdr:rowOff>396240</xdr:rowOff>
    </xdr:to>
    <xdr:pic>
      <xdr:nvPicPr>
        <xdr:cNvPr id="2" name="Afbeelding 1">
          <a:extLst>
            <a:ext uri="{FF2B5EF4-FFF2-40B4-BE49-F238E27FC236}">
              <a16:creationId xmlns:a16="http://schemas.microsoft.com/office/drawing/2014/main" id="{7ECD0456-4F81-4ADA-A68C-BFEB541F2536}"/>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2" t="1554" b="16892"/>
        <a:stretch/>
      </xdr:blipFill>
      <xdr:spPr bwMode="auto">
        <a:xfrm>
          <a:off x="3990975" y="0"/>
          <a:ext cx="308781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277</xdr:row>
      <xdr:rowOff>156987</xdr:rowOff>
    </xdr:from>
    <xdr:to>
      <xdr:col>28</xdr:col>
      <xdr:colOff>0</xdr:colOff>
      <xdr:row>299</xdr:row>
      <xdr:rowOff>0</xdr:rowOff>
    </xdr:to>
    <xdr:sp macro="" textlink="">
      <xdr:nvSpPr>
        <xdr:cNvPr id="3" name="Tekstvak 2">
          <a:extLst>
            <a:ext uri="{FF2B5EF4-FFF2-40B4-BE49-F238E27FC236}">
              <a16:creationId xmlns:a16="http://schemas.microsoft.com/office/drawing/2014/main" id="{7557AC22-F11D-4D6C-B149-567DAF2F4126}"/>
            </a:ext>
          </a:extLst>
        </xdr:cNvPr>
        <xdr:cNvSpPr txBox="1"/>
      </xdr:nvSpPr>
      <xdr:spPr>
        <a:xfrm>
          <a:off x="3981450" y="61497987"/>
          <a:ext cx="17440275" cy="46626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nl-NL" sz="900">
              <a:solidFill>
                <a:schemeClr val="dk1"/>
              </a:solidFill>
              <a:effectLst/>
              <a:latin typeface="Segoe UI" panose="020B0502040204020203" pitchFamily="34" charset="0"/>
              <a:ea typeface="+mn-ea"/>
              <a:cs typeface="Segoe UI" panose="020B0502040204020203" pitchFamily="34" charset="0"/>
            </a:rPr>
            <a:t>Op dit rekenblad worden resultaten van een NTA</a:t>
          </a:r>
          <a:r>
            <a:rPr lang="nl-NL" sz="900" baseline="0">
              <a:solidFill>
                <a:schemeClr val="dk1"/>
              </a:solidFill>
              <a:effectLst/>
              <a:latin typeface="Segoe UI" panose="020B0502040204020203" pitchFamily="34" charset="0"/>
              <a:ea typeface="+mn-ea"/>
              <a:cs typeface="Segoe UI" panose="020B0502040204020203" pitchFamily="34" charset="0"/>
            </a:rPr>
            <a:t> 8800</a:t>
          </a:r>
          <a:r>
            <a:rPr lang="nl-NL" sz="900">
              <a:solidFill>
                <a:schemeClr val="dk1"/>
              </a:solidFill>
              <a:effectLst/>
              <a:latin typeface="Segoe UI" panose="020B0502040204020203" pitchFamily="34" charset="0"/>
              <a:ea typeface="+mn-ea"/>
              <a:cs typeface="Segoe UI" panose="020B0502040204020203" pitchFamily="34" charset="0"/>
            </a:rPr>
            <a:t> berekening geschikt gemaakt voor gebruik in een MPG-berekening, </a:t>
          </a:r>
          <a:r>
            <a:rPr lang="nl-NL" sz="900" baseline="0">
              <a:solidFill>
                <a:schemeClr val="dk1"/>
              </a:solidFill>
              <a:effectLst/>
              <a:latin typeface="Segoe UI" panose="020B0502040204020203" pitchFamily="34" charset="0"/>
              <a:ea typeface="+mn-ea"/>
              <a:cs typeface="Segoe UI" panose="020B0502040204020203" pitchFamily="34" charset="0"/>
            </a:rPr>
            <a:t>een </a:t>
          </a:r>
          <a:r>
            <a:rPr lang="nl-NL" sz="900">
              <a:solidFill>
                <a:schemeClr val="dk1"/>
              </a:solidFill>
              <a:effectLst/>
              <a:latin typeface="Segoe UI" panose="020B0502040204020203" pitchFamily="34" charset="0"/>
              <a:ea typeface="+mn-ea"/>
              <a:cs typeface="Segoe UI" panose="020B0502040204020203" pitchFamily="34" charset="0"/>
            </a:rPr>
            <a:t>DPG-berekening binnen GPR Gebouw</a:t>
          </a:r>
          <a:r>
            <a:rPr lang="nl-NL" sz="900" baseline="0">
              <a:solidFill>
                <a:schemeClr val="dk1"/>
              </a:solidFill>
              <a:effectLst/>
              <a:latin typeface="Segoe UI" panose="020B0502040204020203" pitchFamily="34" charset="0"/>
              <a:ea typeface="+mn-ea"/>
              <a:cs typeface="Segoe UI" panose="020B0502040204020203" pitchFamily="34" charset="0"/>
            </a:rPr>
            <a:t> of een GPR score voor '1.1. Energieprestatie' binnen GPR Gebouw.</a:t>
          </a:r>
          <a:endParaRPr lang="nl-NL" sz="900">
            <a:effectLst/>
            <a:latin typeface="Segoe UI" panose="020B0502040204020203" pitchFamily="34" charset="0"/>
            <a:cs typeface="Segoe UI" panose="020B0502040204020203" pitchFamily="34" charset="0"/>
          </a:endParaRPr>
        </a:p>
        <a:p>
          <a:endParaRPr lang="nl-NL" sz="900" b="1" baseline="0">
            <a:solidFill>
              <a:schemeClr val="dk1"/>
            </a:solidFill>
            <a:effectLst/>
            <a:latin typeface="Segoe UI" panose="020B0502040204020203" pitchFamily="34" charset="0"/>
            <a:ea typeface="+mn-ea"/>
            <a:cs typeface="Segoe UI" panose="020B0502040204020203" pitchFamily="34" charset="0"/>
          </a:endParaRPr>
        </a:p>
        <a:p>
          <a:r>
            <a:rPr lang="nl-NL" sz="900" b="1" baseline="0">
              <a:solidFill>
                <a:schemeClr val="dk1"/>
              </a:solidFill>
              <a:effectLst/>
              <a:latin typeface="Segoe UI" panose="020B0502040204020203" pitchFamily="34" charset="0"/>
              <a:ea typeface="+mn-ea"/>
              <a:cs typeface="Segoe UI" panose="020B0502040204020203" pitchFamily="34" charset="0"/>
            </a:rPr>
            <a:t>MPG- DPG berekening</a:t>
          </a:r>
          <a:endParaRPr lang="nl-NL" sz="900">
            <a:effectLst/>
            <a:latin typeface="Segoe UI" panose="020B0502040204020203" pitchFamily="34" charset="0"/>
            <a:cs typeface="Segoe UI" panose="020B0502040204020203" pitchFamily="34" charset="0"/>
          </a:endParaRPr>
        </a:p>
        <a:p>
          <a:r>
            <a:rPr lang="nl-NL" sz="900" baseline="0">
              <a:solidFill>
                <a:schemeClr val="dk1"/>
              </a:solidFill>
              <a:effectLst/>
              <a:latin typeface="Segoe UI" panose="020B0502040204020203" pitchFamily="34" charset="0"/>
              <a:ea typeface="+mn-ea"/>
              <a:cs typeface="Segoe UI" panose="020B0502040204020203" pitchFamily="34" charset="0"/>
            </a:rPr>
            <a:t>Voor een MPG- of DPG berekening zijn meterstanden nodig voor gasverbruik (m3 gas), elektriciteit (kWh), warmte (GJ) en biomassa/hout (kg in GPR 4.3 of kWh in GPR 4.4). De primaire en finale energiegebruiken die het resultaat zijn van een </a:t>
          </a:r>
          <a:r>
            <a:rPr lang="nl-NL" sz="900">
              <a:solidFill>
                <a:schemeClr val="dk1"/>
              </a:solidFill>
              <a:effectLst/>
              <a:latin typeface="Segoe UI" panose="020B0502040204020203" pitchFamily="34" charset="0"/>
              <a:ea typeface="+mn-ea"/>
              <a:cs typeface="Segoe UI" panose="020B0502040204020203" pitchFamily="34" charset="0"/>
            </a:rPr>
            <a:t>NTA</a:t>
          </a:r>
          <a:r>
            <a:rPr lang="nl-NL" sz="900" baseline="0">
              <a:solidFill>
                <a:schemeClr val="dk1"/>
              </a:solidFill>
              <a:effectLst/>
              <a:latin typeface="Segoe UI" panose="020B0502040204020203" pitchFamily="34" charset="0"/>
              <a:ea typeface="+mn-ea"/>
              <a:cs typeface="Segoe UI" panose="020B0502040204020203" pitchFamily="34" charset="0"/>
            </a:rPr>
            <a:t> 8800-berekening kunnen uit de rekenpakketten van Uniec3 en Vabi NTA 8800 worden overgenomen. Het rekenblad rekent de energiegebruiken op basis van aangegeven energiedragers om naar meterstanden per energiedrager.</a:t>
          </a:r>
          <a:endParaRPr lang="nl-NL" sz="900">
            <a:effectLst/>
            <a:latin typeface="Segoe UI" panose="020B0502040204020203" pitchFamily="34" charset="0"/>
            <a:cs typeface="Segoe UI" panose="020B0502040204020203" pitchFamily="34" charset="0"/>
          </a:endParaRPr>
        </a:p>
        <a:p>
          <a:endParaRPr lang="nl-NL" sz="900" b="1" baseline="0">
            <a:solidFill>
              <a:schemeClr val="dk1"/>
            </a:solidFill>
            <a:effectLst/>
            <a:latin typeface="Segoe UI" panose="020B0502040204020203" pitchFamily="34" charset="0"/>
            <a:ea typeface="+mn-ea"/>
            <a:cs typeface="Segoe UI" panose="020B0502040204020203" pitchFamily="34" charset="0"/>
          </a:endParaRPr>
        </a:p>
        <a:p>
          <a:r>
            <a:rPr lang="nl-NL" sz="900" b="1" baseline="0">
              <a:solidFill>
                <a:schemeClr val="dk1"/>
              </a:solidFill>
              <a:effectLst/>
              <a:latin typeface="Segoe UI" panose="020B0502040204020203" pitchFamily="34" charset="0"/>
              <a:ea typeface="+mn-ea"/>
              <a:cs typeface="Segoe UI" panose="020B0502040204020203" pitchFamily="34" charset="0"/>
            </a:rPr>
            <a:t>1.1. Energieprestatie</a:t>
          </a:r>
          <a:endParaRPr lang="nl-NL" sz="900">
            <a:effectLst/>
            <a:latin typeface="Segoe UI" panose="020B0502040204020203" pitchFamily="34" charset="0"/>
            <a:cs typeface="Segoe UI" panose="020B0502040204020203" pitchFamily="34" charset="0"/>
          </a:endParaRPr>
        </a:p>
        <a:p>
          <a:r>
            <a:rPr lang="nl-NL" sz="900" baseline="0">
              <a:solidFill>
                <a:schemeClr val="dk1"/>
              </a:solidFill>
              <a:effectLst/>
              <a:latin typeface="Segoe UI" panose="020B0502040204020203" pitchFamily="34" charset="0"/>
              <a:ea typeface="+mn-ea"/>
              <a:cs typeface="Segoe UI" panose="020B0502040204020203" pitchFamily="34" charset="0"/>
            </a:rPr>
            <a:t>Voor het berekenen van de GPR score voor de energieprestatie is het primair energiegebruik van het gebouw nodig. Dat kan rechtstreeks uit de resultaten van de </a:t>
          </a:r>
          <a:r>
            <a:rPr lang="nl-NL" sz="900">
              <a:solidFill>
                <a:schemeClr val="dk1"/>
              </a:solidFill>
              <a:effectLst/>
              <a:latin typeface="Segoe UI" panose="020B0502040204020203" pitchFamily="34" charset="0"/>
              <a:ea typeface="+mn-ea"/>
              <a:cs typeface="Segoe UI" panose="020B0502040204020203" pitchFamily="34" charset="0"/>
            </a:rPr>
            <a:t>NTA</a:t>
          </a:r>
          <a:r>
            <a:rPr lang="nl-NL" sz="900" baseline="0">
              <a:solidFill>
                <a:schemeClr val="dk1"/>
              </a:solidFill>
              <a:effectLst/>
              <a:latin typeface="Segoe UI" panose="020B0502040204020203" pitchFamily="34" charset="0"/>
              <a:ea typeface="+mn-ea"/>
              <a:cs typeface="Segoe UI" panose="020B0502040204020203" pitchFamily="34" charset="0"/>
            </a:rPr>
            <a:t> 8800-berekening worden overgenomen.</a:t>
          </a:r>
          <a:endParaRPr lang="nl-NL" sz="900">
            <a:effectLst/>
            <a:latin typeface="Segoe UI" panose="020B0502040204020203" pitchFamily="34" charset="0"/>
            <a:cs typeface="Segoe UI" panose="020B0502040204020203" pitchFamily="34" charset="0"/>
          </a:endParaRPr>
        </a:p>
        <a:p>
          <a:endParaRPr lang="nl-NL" sz="900" b="1" baseline="0">
            <a:solidFill>
              <a:schemeClr val="dk1"/>
            </a:solidFill>
            <a:effectLst/>
            <a:latin typeface="Segoe UI" panose="020B0502040204020203" pitchFamily="34" charset="0"/>
            <a:ea typeface="+mn-ea"/>
            <a:cs typeface="Segoe UI" panose="020B0502040204020203" pitchFamily="34" charset="0"/>
          </a:endParaRPr>
        </a:p>
        <a:p>
          <a:r>
            <a:rPr lang="nl-NL" sz="900" b="1" baseline="0">
              <a:solidFill>
                <a:schemeClr val="dk1"/>
              </a:solidFill>
              <a:effectLst/>
              <a:latin typeface="Segoe UI" panose="020B0502040204020203" pitchFamily="34" charset="0"/>
              <a:ea typeface="+mn-ea"/>
              <a:cs typeface="Segoe UI" panose="020B0502040204020203" pitchFamily="34" charset="0"/>
            </a:rPr>
            <a:t>Combinatiegebouwen</a:t>
          </a:r>
          <a:endParaRPr lang="nl-NL" sz="900">
            <a:effectLst/>
            <a:latin typeface="Segoe UI" panose="020B0502040204020203" pitchFamily="34" charset="0"/>
            <a:cs typeface="Segoe UI" panose="020B0502040204020203" pitchFamily="34" charset="0"/>
          </a:endParaRPr>
        </a:p>
        <a:p>
          <a:r>
            <a:rPr lang="nl-NL" sz="900" b="0" baseline="0">
              <a:solidFill>
                <a:schemeClr val="dk1"/>
              </a:solidFill>
              <a:effectLst/>
              <a:latin typeface="Segoe UI" panose="020B0502040204020203" pitchFamily="34" charset="0"/>
              <a:ea typeface="+mn-ea"/>
              <a:cs typeface="Segoe UI" panose="020B0502040204020203" pitchFamily="34" charset="0"/>
            </a:rPr>
            <a:t>Een gebouw waarvoor een </a:t>
          </a:r>
          <a:r>
            <a:rPr lang="nl-NL" sz="900">
              <a:solidFill>
                <a:schemeClr val="dk1"/>
              </a:solidFill>
              <a:effectLst/>
              <a:latin typeface="Segoe UI" panose="020B0502040204020203" pitchFamily="34" charset="0"/>
              <a:ea typeface="+mn-ea"/>
              <a:cs typeface="Segoe UI" panose="020B0502040204020203" pitchFamily="34" charset="0"/>
            </a:rPr>
            <a:t>NTA</a:t>
          </a:r>
          <a:r>
            <a:rPr lang="nl-NL" sz="900" baseline="0">
              <a:solidFill>
                <a:schemeClr val="dk1"/>
              </a:solidFill>
              <a:effectLst/>
              <a:latin typeface="Segoe UI" panose="020B0502040204020203" pitchFamily="34" charset="0"/>
              <a:ea typeface="+mn-ea"/>
              <a:cs typeface="Segoe UI" panose="020B0502040204020203" pitchFamily="34" charset="0"/>
            </a:rPr>
            <a:t> 8800</a:t>
          </a:r>
          <a:r>
            <a:rPr lang="nl-NL" sz="900" b="0" baseline="0">
              <a:solidFill>
                <a:schemeClr val="dk1"/>
              </a:solidFill>
              <a:effectLst/>
              <a:latin typeface="Segoe UI" panose="020B0502040204020203" pitchFamily="34" charset="0"/>
              <a:ea typeface="+mn-ea"/>
              <a:cs typeface="Segoe UI" panose="020B0502040204020203" pitchFamily="34" charset="0"/>
            </a:rPr>
            <a:t>-berekening is gemaakt kan meerdere gebruiksfuncties hebben. Berekeningen cf. MPG, DPG en GPR Gebouw worden per gebruiksfunctie uitgevoerd. Resultaten van een </a:t>
          </a:r>
          <a:r>
            <a:rPr lang="nl-NL" sz="900">
              <a:solidFill>
                <a:schemeClr val="dk1"/>
              </a:solidFill>
              <a:effectLst/>
              <a:latin typeface="Segoe UI" panose="020B0502040204020203" pitchFamily="34" charset="0"/>
              <a:ea typeface="+mn-ea"/>
              <a:cs typeface="Segoe UI" panose="020B0502040204020203" pitchFamily="34" charset="0"/>
            </a:rPr>
            <a:t>NTA</a:t>
          </a:r>
          <a:r>
            <a:rPr lang="nl-NL" sz="900" baseline="0">
              <a:solidFill>
                <a:schemeClr val="dk1"/>
              </a:solidFill>
              <a:effectLst/>
              <a:latin typeface="Segoe UI" panose="020B0502040204020203" pitchFamily="34" charset="0"/>
              <a:ea typeface="+mn-ea"/>
              <a:cs typeface="Segoe UI" panose="020B0502040204020203" pitchFamily="34" charset="0"/>
            </a:rPr>
            <a:t> 8800</a:t>
          </a:r>
          <a:r>
            <a:rPr lang="nl-NL" sz="900" b="0" baseline="0">
              <a:solidFill>
                <a:schemeClr val="dk1"/>
              </a:solidFill>
              <a:effectLst/>
              <a:latin typeface="Segoe UI" panose="020B0502040204020203" pitchFamily="34" charset="0"/>
              <a:ea typeface="+mn-ea"/>
              <a:cs typeface="Segoe UI" panose="020B0502040204020203" pitchFamily="34" charset="0"/>
            </a:rPr>
            <a:t>-berekening van een gebouw met meerdere gebruiksfuncties, moeten vóórdat ze gebruikt kunnen worden in MPG, DPG en GPR Gebouw, eerst worden omgezet naar resultaten per gebruiksfunctie. Dat gebeurt ook op dit rekenblad.</a:t>
          </a:r>
          <a:endParaRPr lang="nl-NL" sz="900">
            <a:effectLst/>
            <a:latin typeface="Segoe UI" panose="020B0502040204020203" pitchFamily="34" charset="0"/>
            <a:cs typeface="Segoe UI" panose="020B0502040204020203" pitchFamily="34" charset="0"/>
          </a:endParaRPr>
        </a:p>
        <a:p>
          <a:endParaRPr lang="nl-NL" sz="900" b="1">
            <a:solidFill>
              <a:schemeClr val="dk1"/>
            </a:solidFill>
            <a:effectLst/>
            <a:latin typeface="Segoe UI" panose="020B0502040204020203" pitchFamily="34" charset="0"/>
            <a:ea typeface="+mn-ea"/>
            <a:cs typeface="Segoe UI" panose="020B0502040204020203" pitchFamily="34" charset="0"/>
          </a:endParaRPr>
        </a:p>
        <a:p>
          <a:r>
            <a:rPr lang="nl-NL" sz="1100" b="1">
              <a:solidFill>
                <a:schemeClr val="dk1"/>
              </a:solidFill>
              <a:effectLst/>
              <a:latin typeface="+mn-lt"/>
              <a:ea typeface="+mn-ea"/>
              <a:cs typeface="+mn-cs"/>
            </a:rPr>
            <a:t>Werkwijze</a:t>
          </a:r>
          <a:endParaRPr lang="nl-NL" sz="900">
            <a:effectLst/>
          </a:endParaRPr>
        </a:p>
        <a:p>
          <a:r>
            <a:rPr lang="nl-NL" sz="1100">
              <a:solidFill>
                <a:schemeClr val="dk1"/>
              </a:solidFill>
              <a:effectLst/>
              <a:latin typeface="+mn-lt"/>
              <a:ea typeface="+mn-ea"/>
              <a:cs typeface="+mn-cs"/>
            </a:rPr>
            <a:t>1.  bepaal in welke versie van GPR Gebouw de energiegebruiken moeten worden ingevuld</a:t>
          </a:r>
          <a:endParaRPr lang="nl-NL" sz="900">
            <a:effectLst/>
          </a:endParaRPr>
        </a:p>
        <a:p>
          <a:r>
            <a:rPr lang="nl-NL" sz="1100">
              <a:solidFill>
                <a:schemeClr val="dk1"/>
              </a:solidFill>
              <a:effectLst/>
              <a:latin typeface="+mn-lt"/>
              <a:ea typeface="+mn-ea"/>
              <a:cs typeface="+mn-cs"/>
            </a:rPr>
            <a:t>2.  neem de berekende finale gebruiken ('meterstanden') van het combinatiegebouw voor de verschillende energiedragers over uit de energieprestatieberekening.</a:t>
          </a:r>
          <a:endParaRPr lang="nl-NL" sz="900">
            <a:effectLst/>
          </a:endParaRPr>
        </a:p>
        <a:p>
          <a:r>
            <a:rPr lang="nl-NL" sz="1100">
              <a:solidFill>
                <a:schemeClr val="dk1"/>
              </a:solidFill>
              <a:effectLst/>
              <a:latin typeface="+mn-lt"/>
              <a:ea typeface="+mn-ea"/>
              <a:cs typeface="+mn-cs"/>
            </a:rPr>
            <a:t>3. neem het totaal primair energiegebruik van het combinatiegebouw over uit de energieprestatieberekening en vul in onder ‘EP2’.</a:t>
          </a:r>
          <a:endParaRPr lang="nl-NL" sz="900">
            <a:effectLst/>
          </a:endParaRPr>
        </a:p>
        <a:p>
          <a:r>
            <a:rPr lang="nl-NL" sz="1100">
              <a:solidFill>
                <a:schemeClr val="dk1"/>
              </a:solidFill>
              <a:effectLst/>
              <a:latin typeface="+mn-lt"/>
              <a:ea typeface="+mn-ea"/>
              <a:cs typeface="+mn-cs"/>
            </a:rPr>
            <a:t>3.  neem de totale CO</a:t>
          </a:r>
          <a:r>
            <a:rPr lang="nl-NL" sz="1100" baseline="-25000">
              <a:solidFill>
                <a:schemeClr val="dk1"/>
              </a:solidFill>
              <a:effectLst/>
              <a:latin typeface="+mn-lt"/>
              <a:ea typeface="+mn-ea"/>
              <a:cs typeface="+mn-cs"/>
            </a:rPr>
            <a:t>2</a:t>
          </a:r>
          <a:r>
            <a:rPr lang="nl-NL" sz="1100">
              <a:solidFill>
                <a:schemeClr val="dk1"/>
              </a:solidFill>
              <a:effectLst/>
              <a:latin typeface="+mn-lt"/>
              <a:ea typeface="+mn-ea"/>
              <a:cs typeface="+mn-cs"/>
            </a:rPr>
            <a:t>-emissie in kg van het combinatiegebouw over uit de energieprestatieberekening en vul in onder ‘CO2’.</a:t>
          </a:r>
          <a:endParaRPr lang="nl-NL" sz="900">
            <a:effectLst/>
          </a:endParaRPr>
        </a:p>
        <a:p>
          <a:r>
            <a:rPr lang="nl-NL" sz="1100">
              <a:solidFill>
                <a:schemeClr val="dk1"/>
              </a:solidFill>
              <a:effectLst/>
              <a:latin typeface="+mn-lt"/>
              <a:ea typeface="+mn-ea"/>
              <a:cs typeface="+mn-cs"/>
            </a:rPr>
            <a:t>4.  neem de gebruiksoppervlakte per gebruiksfunctie en de gemeenschappelijke ruimten over uit de energieprestatiemethode en vul in onder ‘gebruiksoppervlakte per gebruiksfunctie’.</a:t>
          </a:r>
          <a:endParaRPr lang="nl-NL" sz="900">
            <a:effectLst/>
          </a:endParaRPr>
        </a:p>
        <a:p>
          <a:r>
            <a:rPr lang="nl-NL" sz="1100">
              <a:solidFill>
                <a:schemeClr val="dk1"/>
              </a:solidFill>
              <a:effectLst/>
              <a:latin typeface="+mn-lt"/>
              <a:ea typeface="+mn-ea"/>
              <a:cs typeface="+mn-cs"/>
            </a:rPr>
            <a:t>5.  neem de cijfers met oranje randen over in MPG of GPR Gebouw.</a:t>
          </a:r>
          <a:endParaRPr lang="nl-NL" sz="900">
            <a:effectLst/>
          </a:endParaRPr>
        </a:p>
        <a:p>
          <a:endParaRPr lang="nl-NL" sz="1100" b="1">
            <a:solidFill>
              <a:schemeClr val="dk1"/>
            </a:solidFill>
            <a:effectLst/>
            <a:latin typeface="+mn-lt"/>
            <a:ea typeface="+mn-ea"/>
            <a:cs typeface="+mn-cs"/>
          </a:endParaRPr>
        </a:p>
        <a:p>
          <a:r>
            <a:rPr lang="nl-NL" sz="1100" b="1">
              <a:solidFill>
                <a:schemeClr val="dk1"/>
              </a:solidFill>
              <a:effectLst/>
              <a:latin typeface="+mn-lt"/>
              <a:ea typeface="+mn-ea"/>
              <a:cs typeface="+mn-cs"/>
            </a:rPr>
            <a:t>Aanvullende resultaten</a:t>
          </a:r>
          <a:endParaRPr lang="nl-NL" sz="900">
            <a:effectLst/>
          </a:endParaRPr>
        </a:p>
        <a:p>
          <a:r>
            <a:rPr lang="nl-NL" sz="1100">
              <a:solidFill>
                <a:schemeClr val="dk1"/>
              </a:solidFill>
              <a:effectLst/>
              <a:latin typeface="+mn-lt"/>
              <a:ea typeface="+mn-ea"/>
              <a:cs typeface="+mn-cs"/>
            </a:rPr>
            <a:t>Aanvullend geeft dit rekenblad ook de berekende score op:</a:t>
          </a:r>
          <a:endParaRPr lang="nl-NL" sz="900">
            <a:effectLst/>
          </a:endParaRPr>
        </a:p>
        <a:p>
          <a:r>
            <a:rPr lang="nl-NL" sz="1100">
              <a:solidFill>
                <a:schemeClr val="dk1"/>
              </a:solidFill>
              <a:effectLst/>
              <a:latin typeface="+mn-lt"/>
              <a:ea typeface="+mn-ea"/>
              <a:cs typeface="+mn-cs"/>
            </a:rPr>
            <a:t>- subthema '1.1 Energieprestatie' </a:t>
          </a:r>
          <a:endParaRPr lang="nl-NL" sz="900">
            <a:effectLst/>
          </a:endParaRPr>
        </a:p>
        <a:p>
          <a:r>
            <a:rPr lang="nl-NL" sz="1100">
              <a:solidFill>
                <a:schemeClr val="dk1"/>
              </a:solidFill>
              <a:effectLst/>
              <a:latin typeface="+mn-lt"/>
              <a:ea typeface="+mn-ea"/>
              <a:cs typeface="+mn-cs"/>
            </a:rPr>
            <a:t>- CO</a:t>
          </a:r>
          <a:r>
            <a:rPr lang="nl-NL" sz="1100" baseline="-25000">
              <a:solidFill>
                <a:schemeClr val="dk1"/>
              </a:solidFill>
              <a:effectLst/>
              <a:latin typeface="+mn-lt"/>
              <a:ea typeface="+mn-ea"/>
              <a:cs typeface="+mn-cs"/>
            </a:rPr>
            <a:t>2</a:t>
          </a:r>
          <a:r>
            <a:rPr lang="nl-NL" sz="1100">
              <a:solidFill>
                <a:schemeClr val="dk1"/>
              </a:solidFill>
              <a:effectLst/>
              <a:latin typeface="+mn-lt"/>
              <a:ea typeface="+mn-ea"/>
              <a:cs typeface="+mn-cs"/>
            </a:rPr>
            <a:t>-emissiereductie ten opzichte van 2006 (ten behoeve van subthema '1.2 Energieprestatie, aanvullend'</a:t>
          </a:r>
          <a:endParaRPr lang="nl-NL" sz="900">
            <a:effectLst/>
          </a:endParaRPr>
        </a:p>
        <a:p>
          <a:r>
            <a:rPr lang="nl-NL" sz="1100">
              <a:solidFill>
                <a:schemeClr val="dk1"/>
              </a:solidFill>
              <a:effectLst/>
              <a:latin typeface="+mn-lt"/>
              <a:ea typeface="+mn-ea"/>
              <a:cs typeface="+mn-cs"/>
            </a:rPr>
            <a:t>- subthema '2.1 Milieuprestatie gebouw (MPG)'</a:t>
          </a:r>
          <a:endParaRPr lang="nl-NL" sz="900">
            <a:effectLst/>
          </a:endParaRPr>
        </a:p>
        <a:p>
          <a:r>
            <a:rPr lang="nl-NL" sz="1100">
              <a:solidFill>
                <a:schemeClr val="dk1"/>
              </a:solidFill>
              <a:effectLst/>
              <a:latin typeface="+mn-lt"/>
              <a:ea typeface="+mn-ea"/>
              <a:cs typeface="+mn-cs"/>
            </a:rPr>
            <a:t>- DPG-index en DPG (integrale combinatie van milieu-impact van energie- en materiaalgebruik)</a:t>
          </a:r>
          <a:endParaRPr lang="nl-NL" sz="900">
            <a:effectLst/>
          </a:endParaRPr>
        </a:p>
        <a:p>
          <a:r>
            <a:rPr lang="nl-NL" sz="1100">
              <a:solidFill>
                <a:schemeClr val="dk1"/>
              </a:solidFill>
              <a:effectLst/>
              <a:latin typeface="+mn-lt"/>
              <a:ea typeface="+mn-ea"/>
              <a:cs typeface="+mn-cs"/>
            </a:rPr>
            <a:t>- Klimaatmonitor (milieu-effect 'klimaatverandering' / 'global warming potential')</a:t>
          </a:r>
          <a:endParaRPr lang="nl-NL" sz="900">
            <a:effectLst/>
          </a:endParaRPr>
        </a:p>
        <a:p>
          <a:endParaRPr lang="nl-NL" sz="900">
            <a:effectLst/>
            <a:latin typeface="Segoe UI" panose="020B0502040204020203" pitchFamily="34" charset="0"/>
            <a:cs typeface="Segoe UI" panose="020B0502040204020203"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9525</xdr:colOff>
      <xdr:row>0</xdr:row>
      <xdr:rowOff>0</xdr:rowOff>
    </xdr:from>
    <xdr:to>
      <xdr:col>6</xdr:col>
      <xdr:colOff>544635</xdr:colOff>
      <xdr:row>0</xdr:row>
      <xdr:rowOff>396240</xdr:rowOff>
    </xdr:to>
    <xdr:pic>
      <xdr:nvPicPr>
        <xdr:cNvPr id="2" name="Afbeelding 1">
          <a:extLst>
            <a:ext uri="{FF2B5EF4-FFF2-40B4-BE49-F238E27FC236}">
              <a16:creationId xmlns:a16="http://schemas.microsoft.com/office/drawing/2014/main" id="{C57D3337-DFFE-42F0-AEC2-285A8513D2D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2" t="1554" b="16892"/>
        <a:stretch/>
      </xdr:blipFill>
      <xdr:spPr bwMode="auto">
        <a:xfrm>
          <a:off x="3990975" y="0"/>
          <a:ext cx="308781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277</xdr:row>
      <xdr:rowOff>156987</xdr:rowOff>
    </xdr:from>
    <xdr:to>
      <xdr:col>28</xdr:col>
      <xdr:colOff>0</xdr:colOff>
      <xdr:row>299</xdr:row>
      <xdr:rowOff>0</xdr:rowOff>
    </xdr:to>
    <xdr:sp macro="" textlink="">
      <xdr:nvSpPr>
        <xdr:cNvPr id="3" name="Tekstvak 2">
          <a:extLst>
            <a:ext uri="{FF2B5EF4-FFF2-40B4-BE49-F238E27FC236}">
              <a16:creationId xmlns:a16="http://schemas.microsoft.com/office/drawing/2014/main" id="{AAAB7C28-9FF6-4AD0-A53E-2A8601BD5C97}"/>
            </a:ext>
          </a:extLst>
        </xdr:cNvPr>
        <xdr:cNvSpPr txBox="1"/>
      </xdr:nvSpPr>
      <xdr:spPr>
        <a:xfrm>
          <a:off x="3981450" y="61497987"/>
          <a:ext cx="17440275" cy="46626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nl-NL" sz="900">
              <a:solidFill>
                <a:schemeClr val="dk1"/>
              </a:solidFill>
              <a:effectLst/>
              <a:latin typeface="Segoe UI" panose="020B0502040204020203" pitchFamily="34" charset="0"/>
              <a:ea typeface="+mn-ea"/>
              <a:cs typeface="Segoe UI" panose="020B0502040204020203" pitchFamily="34" charset="0"/>
            </a:rPr>
            <a:t>Op dit rekenblad worden resultaten van een NTA</a:t>
          </a:r>
          <a:r>
            <a:rPr lang="nl-NL" sz="900" baseline="0">
              <a:solidFill>
                <a:schemeClr val="dk1"/>
              </a:solidFill>
              <a:effectLst/>
              <a:latin typeface="Segoe UI" panose="020B0502040204020203" pitchFamily="34" charset="0"/>
              <a:ea typeface="+mn-ea"/>
              <a:cs typeface="Segoe UI" panose="020B0502040204020203" pitchFamily="34" charset="0"/>
            </a:rPr>
            <a:t> 8800</a:t>
          </a:r>
          <a:r>
            <a:rPr lang="nl-NL" sz="900">
              <a:solidFill>
                <a:schemeClr val="dk1"/>
              </a:solidFill>
              <a:effectLst/>
              <a:latin typeface="Segoe UI" panose="020B0502040204020203" pitchFamily="34" charset="0"/>
              <a:ea typeface="+mn-ea"/>
              <a:cs typeface="Segoe UI" panose="020B0502040204020203" pitchFamily="34" charset="0"/>
            </a:rPr>
            <a:t> berekening geschikt gemaakt voor gebruik in een MPG-berekening, </a:t>
          </a:r>
          <a:r>
            <a:rPr lang="nl-NL" sz="900" baseline="0">
              <a:solidFill>
                <a:schemeClr val="dk1"/>
              </a:solidFill>
              <a:effectLst/>
              <a:latin typeface="Segoe UI" panose="020B0502040204020203" pitchFamily="34" charset="0"/>
              <a:ea typeface="+mn-ea"/>
              <a:cs typeface="Segoe UI" panose="020B0502040204020203" pitchFamily="34" charset="0"/>
            </a:rPr>
            <a:t>een </a:t>
          </a:r>
          <a:r>
            <a:rPr lang="nl-NL" sz="900">
              <a:solidFill>
                <a:schemeClr val="dk1"/>
              </a:solidFill>
              <a:effectLst/>
              <a:latin typeface="Segoe UI" panose="020B0502040204020203" pitchFamily="34" charset="0"/>
              <a:ea typeface="+mn-ea"/>
              <a:cs typeface="Segoe UI" panose="020B0502040204020203" pitchFamily="34" charset="0"/>
            </a:rPr>
            <a:t>DPG-berekening binnen GPR Gebouw</a:t>
          </a:r>
          <a:r>
            <a:rPr lang="nl-NL" sz="900" baseline="0">
              <a:solidFill>
                <a:schemeClr val="dk1"/>
              </a:solidFill>
              <a:effectLst/>
              <a:latin typeface="Segoe UI" panose="020B0502040204020203" pitchFamily="34" charset="0"/>
              <a:ea typeface="+mn-ea"/>
              <a:cs typeface="Segoe UI" panose="020B0502040204020203" pitchFamily="34" charset="0"/>
            </a:rPr>
            <a:t> of een GPR score voor '1.1. Energieprestatie' binnen GPR Gebouw.</a:t>
          </a:r>
          <a:endParaRPr lang="nl-NL" sz="900">
            <a:effectLst/>
            <a:latin typeface="Segoe UI" panose="020B0502040204020203" pitchFamily="34" charset="0"/>
            <a:cs typeface="Segoe UI" panose="020B0502040204020203" pitchFamily="34" charset="0"/>
          </a:endParaRPr>
        </a:p>
        <a:p>
          <a:endParaRPr lang="nl-NL" sz="900" b="1" baseline="0">
            <a:solidFill>
              <a:schemeClr val="dk1"/>
            </a:solidFill>
            <a:effectLst/>
            <a:latin typeface="Segoe UI" panose="020B0502040204020203" pitchFamily="34" charset="0"/>
            <a:ea typeface="+mn-ea"/>
            <a:cs typeface="Segoe UI" panose="020B0502040204020203" pitchFamily="34" charset="0"/>
          </a:endParaRPr>
        </a:p>
        <a:p>
          <a:r>
            <a:rPr lang="nl-NL" sz="900" b="1" baseline="0">
              <a:solidFill>
                <a:schemeClr val="dk1"/>
              </a:solidFill>
              <a:effectLst/>
              <a:latin typeface="Segoe UI" panose="020B0502040204020203" pitchFamily="34" charset="0"/>
              <a:ea typeface="+mn-ea"/>
              <a:cs typeface="Segoe UI" panose="020B0502040204020203" pitchFamily="34" charset="0"/>
            </a:rPr>
            <a:t>MPG- DPG berekening</a:t>
          </a:r>
          <a:endParaRPr lang="nl-NL" sz="900">
            <a:effectLst/>
            <a:latin typeface="Segoe UI" panose="020B0502040204020203" pitchFamily="34" charset="0"/>
            <a:cs typeface="Segoe UI" panose="020B0502040204020203" pitchFamily="34" charset="0"/>
          </a:endParaRPr>
        </a:p>
        <a:p>
          <a:r>
            <a:rPr lang="nl-NL" sz="900" baseline="0">
              <a:solidFill>
                <a:schemeClr val="dk1"/>
              </a:solidFill>
              <a:effectLst/>
              <a:latin typeface="Segoe UI" panose="020B0502040204020203" pitchFamily="34" charset="0"/>
              <a:ea typeface="+mn-ea"/>
              <a:cs typeface="Segoe UI" panose="020B0502040204020203" pitchFamily="34" charset="0"/>
            </a:rPr>
            <a:t>Voor een MPG- of DPG berekening zijn meterstanden nodig voor gasverbruik (m3 gas), elektriciteit (kWh), warmte (GJ) en biomassa/hout (kg in GPR 4.3 of kWh in GPR 4.4). De primaire en finale energiegebruiken die het resultaat zijn van een </a:t>
          </a:r>
          <a:r>
            <a:rPr lang="nl-NL" sz="900">
              <a:solidFill>
                <a:schemeClr val="dk1"/>
              </a:solidFill>
              <a:effectLst/>
              <a:latin typeface="Segoe UI" panose="020B0502040204020203" pitchFamily="34" charset="0"/>
              <a:ea typeface="+mn-ea"/>
              <a:cs typeface="Segoe UI" panose="020B0502040204020203" pitchFamily="34" charset="0"/>
            </a:rPr>
            <a:t>NTA</a:t>
          </a:r>
          <a:r>
            <a:rPr lang="nl-NL" sz="900" baseline="0">
              <a:solidFill>
                <a:schemeClr val="dk1"/>
              </a:solidFill>
              <a:effectLst/>
              <a:latin typeface="Segoe UI" panose="020B0502040204020203" pitchFamily="34" charset="0"/>
              <a:ea typeface="+mn-ea"/>
              <a:cs typeface="Segoe UI" panose="020B0502040204020203" pitchFamily="34" charset="0"/>
            </a:rPr>
            <a:t> 8800-berekening kunnen uit de rekenpakketten van Uniec3 en Vabi NTA 8800 worden overgenomen. Het rekenblad rekent de energiegebruiken op basis van aangegeven energiedragers om naar meterstanden per energiedrager.</a:t>
          </a:r>
          <a:endParaRPr lang="nl-NL" sz="900">
            <a:effectLst/>
            <a:latin typeface="Segoe UI" panose="020B0502040204020203" pitchFamily="34" charset="0"/>
            <a:cs typeface="Segoe UI" panose="020B0502040204020203" pitchFamily="34" charset="0"/>
          </a:endParaRPr>
        </a:p>
        <a:p>
          <a:endParaRPr lang="nl-NL" sz="900" b="1" baseline="0">
            <a:solidFill>
              <a:schemeClr val="dk1"/>
            </a:solidFill>
            <a:effectLst/>
            <a:latin typeface="Segoe UI" panose="020B0502040204020203" pitchFamily="34" charset="0"/>
            <a:ea typeface="+mn-ea"/>
            <a:cs typeface="Segoe UI" panose="020B0502040204020203" pitchFamily="34" charset="0"/>
          </a:endParaRPr>
        </a:p>
        <a:p>
          <a:r>
            <a:rPr lang="nl-NL" sz="900" b="1" baseline="0">
              <a:solidFill>
                <a:schemeClr val="dk1"/>
              </a:solidFill>
              <a:effectLst/>
              <a:latin typeface="Segoe UI" panose="020B0502040204020203" pitchFamily="34" charset="0"/>
              <a:ea typeface="+mn-ea"/>
              <a:cs typeface="Segoe UI" panose="020B0502040204020203" pitchFamily="34" charset="0"/>
            </a:rPr>
            <a:t>1.1. Energieprestatie</a:t>
          </a:r>
          <a:endParaRPr lang="nl-NL" sz="900">
            <a:effectLst/>
            <a:latin typeface="Segoe UI" panose="020B0502040204020203" pitchFamily="34" charset="0"/>
            <a:cs typeface="Segoe UI" panose="020B0502040204020203" pitchFamily="34" charset="0"/>
          </a:endParaRPr>
        </a:p>
        <a:p>
          <a:r>
            <a:rPr lang="nl-NL" sz="900" baseline="0">
              <a:solidFill>
                <a:schemeClr val="dk1"/>
              </a:solidFill>
              <a:effectLst/>
              <a:latin typeface="Segoe UI" panose="020B0502040204020203" pitchFamily="34" charset="0"/>
              <a:ea typeface="+mn-ea"/>
              <a:cs typeface="Segoe UI" panose="020B0502040204020203" pitchFamily="34" charset="0"/>
            </a:rPr>
            <a:t>Voor het berekenen van de GPR score voor de energieprestatie is het primair energiegebruik van het gebouw nodig. Dat kan rechtstreeks uit de resultaten van de </a:t>
          </a:r>
          <a:r>
            <a:rPr lang="nl-NL" sz="900">
              <a:solidFill>
                <a:schemeClr val="dk1"/>
              </a:solidFill>
              <a:effectLst/>
              <a:latin typeface="Segoe UI" panose="020B0502040204020203" pitchFamily="34" charset="0"/>
              <a:ea typeface="+mn-ea"/>
              <a:cs typeface="Segoe UI" panose="020B0502040204020203" pitchFamily="34" charset="0"/>
            </a:rPr>
            <a:t>NTA</a:t>
          </a:r>
          <a:r>
            <a:rPr lang="nl-NL" sz="900" baseline="0">
              <a:solidFill>
                <a:schemeClr val="dk1"/>
              </a:solidFill>
              <a:effectLst/>
              <a:latin typeface="Segoe UI" panose="020B0502040204020203" pitchFamily="34" charset="0"/>
              <a:ea typeface="+mn-ea"/>
              <a:cs typeface="Segoe UI" panose="020B0502040204020203" pitchFamily="34" charset="0"/>
            </a:rPr>
            <a:t> 8800-berekening worden overgenomen.</a:t>
          </a:r>
          <a:endParaRPr lang="nl-NL" sz="900">
            <a:effectLst/>
            <a:latin typeface="Segoe UI" panose="020B0502040204020203" pitchFamily="34" charset="0"/>
            <a:cs typeface="Segoe UI" panose="020B0502040204020203" pitchFamily="34" charset="0"/>
          </a:endParaRPr>
        </a:p>
        <a:p>
          <a:endParaRPr lang="nl-NL" sz="900" b="1" baseline="0">
            <a:solidFill>
              <a:schemeClr val="dk1"/>
            </a:solidFill>
            <a:effectLst/>
            <a:latin typeface="Segoe UI" panose="020B0502040204020203" pitchFamily="34" charset="0"/>
            <a:ea typeface="+mn-ea"/>
            <a:cs typeface="Segoe UI" panose="020B0502040204020203" pitchFamily="34" charset="0"/>
          </a:endParaRPr>
        </a:p>
        <a:p>
          <a:r>
            <a:rPr lang="nl-NL" sz="900" b="1" baseline="0">
              <a:solidFill>
                <a:schemeClr val="dk1"/>
              </a:solidFill>
              <a:effectLst/>
              <a:latin typeface="Segoe UI" panose="020B0502040204020203" pitchFamily="34" charset="0"/>
              <a:ea typeface="+mn-ea"/>
              <a:cs typeface="Segoe UI" panose="020B0502040204020203" pitchFamily="34" charset="0"/>
            </a:rPr>
            <a:t>Combinatiegebouwen</a:t>
          </a:r>
          <a:endParaRPr lang="nl-NL" sz="900">
            <a:effectLst/>
            <a:latin typeface="Segoe UI" panose="020B0502040204020203" pitchFamily="34" charset="0"/>
            <a:cs typeface="Segoe UI" panose="020B0502040204020203" pitchFamily="34" charset="0"/>
          </a:endParaRPr>
        </a:p>
        <a:p>
          <a:r>
            <a:rPr lang="nl-NL" sz="900" b="0" baseline="0">
              <a:solidFill>
                <a:schemeClr val="dk1"/>
              </a:solidFill>
              <a:effectLst/>
              <a:latin typeface="Segoe UI" panose="020B0502040204020203" pitchFamily="34" charset="0"/>
              <a:ea typeface="+mn-ea"/>
              <a:cs typeface="Segoe UI" panose="020B0502040204020203" pitchFamily="34" charset="0"/>
            </a:rPr>
            <a:t>Een gebouw waarvoor een </a:t>
          </a:r>
          <a:r>
            <a:rPr lang="nl-NL" sz="900">
              <a:solidFill>
                <a:schemeClr val="dk1"/>
              </a:solidFill>
              <a:effectLst/>
              <a:latin typeface="Segoe UI" panose="020B0502040204020203" pitchFamily="34" charset="0"/>
              <a:ea typeface="+mn-ea"/>
              <a:cs typeface="Segoe UI" panose="020B0502040204020203" pitchFamily="34" charset="0"/>
            </a:rPr>
            <a:t>NTA</a:t>
          </a:r>
          <a:r>
            <a:rPr lang="nl-NL" sz="900" baseline="0">
              <a:solidFill>
                <a:schemeClr val="dk1"/>
              </a:solidFill>
              <a:effectLst/>
              <a:latin typeface="Segoe UI" panose="020B0502040204020203" pitchFamily="34" charset="0"/>
              <a:ea typeface="+mn-ea"/>
              <a:cs typeface="Segoe UI" panose="020B0502040204020203" pitchFamily="34" charset="0"/>
            </a:rPr>
            <a:t> 8800</a:t>
          </a:r>
          <a:r>
            <a:rPr lang="nl-NL" sz="900" b="0" baseline="0">
              <a:solidFill>
                <a:schemeClr val="dk1"/>
              </a:solidFill>
              <a:effectLst/>
              <a:latin typeface="Segoe UI" panose="020B0502040204020203" pitchFamily="34" charset="0"/>
              <a:ea typeface="+mn-ea"/>
              <a:cs typeface="Segoe UI" panose="020B0502040204020203" pitchFamily="34" charset="0"/>
            </a:rPr>
            <a:t>-berekening is gemaakt kan meerdere gebruiksfuncties hebben. Berekeningen cf. MPG, DPG en GPR Gebouw worden per gebruiksfunctie uitgevoerd. Resultaten van een </a:t>
          </a:r>
          <a:r>
            <a:rPr lang="nl-NL" sz="900">
              <a:solidFill>
                <a:schemeClr val="dk1"/>
              </a:solidFill>
              <a:effectLst/>
              <a:latin typeface="Segoe UI" panose="020B0502040204020203" pitchFamily="34" charset="0"/>
              <a:ea typeface="+mn-ea"/>
              <a:cs typeface="Segoe UI" panose="020B0502040204020203" pitchFamily="34" charset="0"/>
            </a:rPr>
            <a:t>NTA</a:t>
          </a:r>
          <a:r>
            <a:rPr lang="nl-NL" sz="900" baseline="0">
              <a:solidFill>
                <a:schemeClr val="dk1"/>
              </a:solidFill>
              <a:effectLst/>
              <a:latin typeface="Segoe UI" panose="020B0502040204020203" pitchFamily="34" charset="0"/>
              <a:ea typeface="+mn-ea"/>
              <a:cs typeface="Segoe UI" panose="020B0502040204020203" pitchFamily="34" charset="0"/>
            </a:rPr>
            <a:t> 8800</a:t>
          </a:r>
          <a:r>
            <a:rPr lang="nl-NL" sz="900" b="0" baseline="0">
              <a:solidFill>
                <a:schemeClr val="dk1"/>
              </a:solidFill>
              <a:effectLst/>
              <a:latin typeface="Segoe UI" panose="020B0502040204020203" pitchFamily="34" charset="0"/>
              <a:ea typeface="+mn-ea"/>
              <a:cs typeface="Segoe UI" panose="020B0502040204020203" pitchFamily="34" charset="0"/>
            </a:rPr>
            <a:t>-berekening van een gebouw met meerdere gebruiksfuncties, moeten vóórdat ze gebruikt kunnen worden in MPG, DPG en GPR Gebouw, eerst worden omgezet naar resultaten per gebruiksfunctie. Dat gebeurt ook op dit rekenblad.</a:t>
          </a:r>
          <a:endParaRPr lang="nl-NL" sz="900">
            <a:effectLst/>
            <a:latin typeface="Segoe UI" panose="020B0502040204020203" pitchFamily="34" charset="0"/>
            <a:cs typeface="Segoe UI" panose="020B0502040204020203" pitchFamily="34" charset="0"/>
          </a:endParaRPr>
        </a:p>
        <a:p>
          <a:endParaRPr lang="nl-NL" sz="900" b="1">
            <a:solidFill>
              <a:schemeClr val="dk1"/>
            </a:solidFill>
            <a:effectLst/>
            <a:latin typeface="Segoe UI" panose="020B0502040204020203" pitchFamily="34" charset="0"/>
            <a:ea typeface="+mn-ea"/>
            <a:cs typeface="Segoe UI" panose="020B0502040204020203" pitchFamily="34" charset="0"/>
          </a:endParaRPr>
        </a:p>
        <a:p>
          <a:r>
            <a:rPr lang="nl-NL" sz="1100" b="1">
              <a:solidFill>
                <a:schemeClr val="dk1"/>
              </a:solidFill>
              <a:effectLst/>
              <a:latin typeface="+mn-lt"/>
              <a:ea typeface="+mn-ea"/>
              <a:cs typeface="+mn-cs"/>
            </a:rPr>
            <a:t>Werkwijze</a:t>
          </a:r>
          <a:endParaRPr lang="nl-NL" sz="900">
            <a:effectLst/>
          </a:endParaRPr>
        </a:p>
        <a:p>
          <a:r>
            <a:rPr lang="nl-NL" sz="1100">
              <a:solidFill>
                <a:schemeClr val="dk1"/>
              </a:solidFill>
              <a:effectLst/>
              <a:latin typeface="+mn-lt"/>
              <a:ea typeface="+mn-ea"/>
              <a:cs typeface="+mn-cs"/>
            </a:rPr>
            <a:t>1.  bepaal in welke versie van GPR Gebouw de energiegebruiken moeten worden ingevuld</a:t>
          </a:r>
          <a:endParaRPr lang="nl-NL" sz="900">
            <a:effectLst/>
          </a:endParaRPr>
        </a:p>
        <a:p>
          <a:r>
            <a:rPr lang="nl-NL" sz="1100">
              <a:solidFill>
                <a:schemeClr val="dk1"/>
              </a:solidFill>
              <a:effectLst/>
              <a:latin typeface="+mn-lt"/>
              <a:ea typeface="+mn-ea"/>
              <a:cs typeface="+mn-cs"/>
            </a:rPr>
            <a:t>2.  neem de berekende finale gebruiken ('meterstanden') van het combinatiegebouw voor de verschillende energiedragers over uit de energieprestatieberekening.</a:t>
          </a:r>
          <a:endParaRPr lang="nl-NL" sz="900">
            <a:effectLst/>
          </a:endParaRPr>
        </a:p>
        <a:p>
          <a:r>
            <a:rPr lang="nl-NL" sz="1100">
              <a:solidFill>
                <a:schemeClr val="dk1"/>
              </a:solidFill>
              <a:effectLst/>
              <a:latin typeface="+mn-lt"/>
              <a:ea typeface="+mn-ea"/>
              <a:cs typeface="+mn-cs"/>
            </a:rPr>
            <a:t>3. neem het totaal primair energiegebruik van het combinatiegebouw over uit de energieprestatieberekening en vul in onder ‘EP2’.</a:t>
          </a:r>
          <a:endParaRPr lang="nl-NL" sz="900">
            <a:effectLst/>
          </a:endParaRPr>
        </a:p>
        <a:p>
          <a:r>
            <a:rPr lang="nl-NL" sz="1100">
              <a:solidFill>
                <a:schemeClr val="dk1"/>
              </a:solidFill>
              <a:effectLst/>
              <a:latin typeface="+mn-lt"/>
              <a:ea typeface="+mn-ea"/>
              <a:cs typeface="+mn-cs"/>
            </a:rPr>
            <a:t>3.  neem de totale CO</a:t>
          </a:r>
          <a:r>
            <a:rPr lang="nl-NL" sz="1100" baseline="-25000">
              <a:solidFill>
                <a:schemeClr val="dk1"/>
              </a:solidFill>
              <a:effectLst/>
              <a:latin typeface="+mn-lt"/>
              <a:ea typeface="+mn-ea"/>
              <a:cs typeface="+mn-cs"/>
            </a:rPr>
            <a:t>2</a:t>
          </a:r>
          <a:r>
            <a:rPr lang="nl-NL" sz="1100">
              <a:solidFill>
                <a:schemeClr val="dk1"/>
              </a:solidFill>
              <a:effectLst/>
              <a:latin typeface="+mn-lt"/>
              <a:ea typeface="+mn-ea"/>
              <a:cs typeface="+mn-cs"/>
            </a:rPr>
            <a:t>-emissie in kg van het combinatiegebouw over uit de energieprestatieberekening en vul in onder ‘CO2’.</a:t>
          </a:r>
          <a:endParaRPr lang="nl-NL" sz="900">
            <a:effectLst/>
          </a:endParaRPr>
        </a:p>
        <a:p>
          <a:r>
            <a:rPr lang="nl-NL" sz="1100">
              <a:solidFill>
                <a:schemeClr val="dk1"/>
              </a:solidFill>
              <a:effectLst/>
              <a:latin typeface="+mn-lt"/>
              <a:ea typeface="+mn-ea"/>
              <a:cs typeface="+mn-cs"/>
            </a:rPr>
            <a:t>4.  neem de gebruiksoppervlakte per gebruiksfunctie en de gemeenschappelijke ruimten over uit de energieprestatiemethode en vul in onder ‘gebruiksoppervlakte per gebruiksfunctie’.</a:t>
          </a:r>
          <a:endParaRPr lang="nl-NL" sz="900">
            <a:effectLst/>
          </a:endParaRPr>
        </a:p>
        <a:p>
          <a:r>
            <a:rPr lang="nl-NL" sz="1100">
              <a:solidFill>
                <a:schemeClr val="dk1"/>
              </a:solidFill>
              <a:effectLst/>
              <a:latin typeface="+mn-lt"/>
              <a:ea typeface="+mn-ea"/>
              <a:cs typeface="+mn-cs"/>
            </a:rPr>
            <a:t>5.  neem de cijfers met oranje randen over in MPG of GPR Gebouw.</a:t>
          </a:r>
          <a:endParaRPr lang="nl-NL" sz="900">
            <a:effectLst/>
          </a:endParaRPr>
        </a:p>
        <a:p>
          <a:endParaRPr lang="nl-NL" sz="1100" b="1">
            <a:solidFill>
              <a:schemeClr val="dk1"/>
            </a:solidFill>
            <a:effectLst/>
            <a:latin typeface="+mn-lt"/>
            <a:ea typeface="+mn-ea"/>
            <a:cs typeface="+mn-cs"/>
          </a:endParaRPr>
        </a:p>
        <a:p>
          <a:r>
            <a:rPr lang="nl-NL" sz="1100" b="1">
              <a:solidFill>
                <a:schemeClr val="dk1"/>
              </a:solidFill>
              <a:effectLst/>
              <a:latin typeface="+mn-lt"/>
              <a:ea typeface="+mn-ea"/>
              <a:cs typeface="+mn-cs"/>
            </a:rPr>
            <a:t>Aanvullende resultaten</a:t>
          </a:r>
          <a:endParaRPr lang="nl-NL" sz="900">
            <a:effectLst/>
          </a:endParaRPr>
        </a:p>
        <a:p>
          <a:r>
            <a:rPr lang="nl-NL" sz="1100">
              <a:solidFill>
                <a:schemeClr val="dk1"/>
              </a:solidFill>
              <a:effectLst/>
              <a:latin typeface="+mn-lt"/>
              <a:ea typeface="+mn-ea"/>
              <a:cs typeface="+mn-cs"/>
            </a:rPr>
            <a:t>Aanvullend geeft dit rekenblad ook de berekende score op:</a:t>
          </a:r>
          <a:endParaRPr lang="nl-NL" sz="900">
            <a:effectLst/>
          </a:endParaRPr>
        </a:p>
        <a:p>
          <a:r>
            <a:rPr lang="nl-NL" sz="1100">
              <a:solidFill>
                <a:schemeClr val="dk1"/>
              </a:solidFill>
              <a:effectLst/>
              <a:latin typeface="+mn-lt"/>
              <a:ea typeface="+mn-ea"/>
              <a:cs typeface="+mn-cs"/>
            </a:rPr>
            <a:t>- subthema '1.1 Energieprestatie' </a:t>
          </a:r>
          <a:endParaRPr lang="nl-NL" sz="900">
            <a:effectLst/>
          </a:endParaRPr>
        </a:p>
        <a:p>
          <a:r>
            <a:rPr lang="nl-NL" sz="1100">
              <a:solidFill>
                <a:schemeClr val="dk1"/>
              </a:solidFill>
              <a:effectLst/>
              <a:latin typeface="+mn-lt"/>
              <a:ea typeface="+mn-ea"/>
              <a:cs typeface="+mn-cs"/>
            </a:rPr>
            <a:t>- CO</a:t>
          </a:r>
          <a:r>
            <a:rPr lang="nl-NL" sz="1100" baseline="-25000">
              <a:solidFill>
                <a:schemeClr val="dk1"/>
              </a:solidFill>
              <a:effectLst/>
              <a:latin typeface="+mn-lt"/>
              <a:ea typeface="+mn-ea"/>
              <a:cs typeface="+mn-cs"/>
            </a:rPr>
            <a:t>2</a:t>
          </a:r>
          <a:r>
            <a:rPr lang="nl-NL" sz="1100">
              <a:solidFill>
                <a:schemeClr val="dk1"/>
              </a:solidFill>
              <a:effectLst/>
              <a:latin typeface="+mn-lt"/>
              <a:ea typeface="+mn-ea"/>
              <a:cs typeface="+mn-cs"/>
            </a:rPr>
            <a:t>-emissiereductie ten opzichte van 2006 (ten behoeve van subthema '1.2 Energieprestatie, aanvullend'</a:t>
          </a:r>
          <a:endParaRPr lang="nl-NL" sz="900">
            <a:effectLst/>
          </a:endParaRPr>
        </a:p>
        <a:p>
          <a:r>
            <a:rPr lang="nl-NL" sz="1100">
              <a:solidFill>
                <a:schemeClr val="dk1"/>
              </a:solidFill>
              <a:effectLst/>
              <a:latin typeface="+mn-lt"/>
              <a:ea typeface="+mn-ea"/>
              <a:cs typeface="+mn-cs"/>
            </a:rPr>
            <a:t>- subthema '2.1 Milieuprestatie gebouw (MPG)'</a:t>
          </a:r>
          <a:endParaRPr lang="nl-NL" sz="900">
            <a:effectLst/>
          </a:endParaRPr>
        </a:p>
        <a:p>
          <a:r>
            <a:rPr lang="nl-NL" sz="1100">
              <a:solidFill>
                <a:schemeClr val="dk1"/>
              </a:solidFill>
              <a:effectLst/>
              <a:latin typeface="+mn-lt"/>
              <a:ea typeface="+mn-ea"/>
              <a:cs typeface="+mn-cs"/>
            </a:rPr>
            <a:t>- DPG-index en DPG (integrale combinatie van milieu-impact van energie- en materiaalgebruik)</a:t>
          </a:r>
          <a:endParaRPr lang="nl-NL" sz="900">
            <a:effectLst/>
          </a:endParaRPr>
        </a:p>
        <a:p>
          <a:r>
            <a:rPr lang="nl-NL" sz="1100">
              <a:solidFill>
                <a:schemeClr val="dk1"/>
              </a:solidFill>
              <a:effectLst/>
              <a:latin typeface="+mn-lt"/>
              <a:ea typeface="+mn-ea"/>
              <a:cs typeface="+mn-cs"/>
            </a:rPr>
            <a:t>- Klimaatmonitor (milieu-effect 'klimaatverandering' / 'global warming potential')</a:t>
          </a:r>
          <a:endParaRPr lang="nl-NL" sz="900">
            <a:effectLst/>
          </a:endParaRPr>
        </a:p>
        <a:p>
          <a:endParaRPr lang="nl-NL" sz="900">
            <a:effectLst/>
            <a:latin typeface="Segoe UI" panose="020B0502040204020203" pitchFamily="34" charset="0"/>
            <a:cs typeface="Segoe UI" panose="020B0502040204020203"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9525</xdr:colOff>
      <xdr:row>0</xdr:row>
      <xdr:rowOff>0</xdr:rowOff>
    </xdr:from>
    <xdr:to>
      <xdr:col>6</xdr:col>
      <xdr:colOff>544635</xdr:colOff>
      <xdr:row>0</xdr:row>
      <xdr:rowOff>396240</xdr:rowOff>
    </xdr:to>
    <xdr:pic>
      <xdr:nvPicPr>
        <xdr:cNvPr id="2" name="Afbeelding 1">
          <a:extLst>
            <a:ext uri="{FF2B5EF4-FFF2-40B4-BE49-F238E27FC236}">
              <a16:creationId xmlns:a16="http://schemas.microsoft.com/office/drawing/2014/main" id="{83969A9D-24DF-447A-8E81-306CE031AF2D}"/>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2" t="1554" b="16892"/>
        <a:stretch/>
      </xdr:blipFill>
      <xdr:spPr bwMode="auto">
        <a:xfrm>
          <a:off x="3990975" y="0"/>
          <a:ext cx="308781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277</xdr:row>
      <xdr:rowOff>156987</xdr:rowOff>
    </xdr:from>
    <xdr:to>
      <xdr:col>28</xdr:col>
      <xdr:colOff>0</xdr:colOff>
      <xdr:row>299</xdr:row>
      <xdr:rowOff>0</xdr:rowOff>
    </xdr:to>
    <xdr:sp macro="" textlink="">
      <xdr:nvSpPr>
        <xdr:cNvPr id="3" name="Tekstvak 2">
          <a:extLst>
            <a:ext uri="{FF2B5EF4-FFF2-40B4-BE49-F238E27FC236}">
              <a16:creationId xmlns:a16="http://schemas.microsoft.com/office/drawing/2014/main" id="{57916F99-D2A0-4D63-A67B-9D4DB357128C}"/>
            </a:ext>
          </a:extLst>
        </xdr:cNvPr>
        <xdr:cNvSpPr txBox="1"/>
      </xdr:nvSpPr>
      <xdr:spPr>
        <a:xfrm>
          <a:off x="3981450" y="61497987"/>
          <a:ext cx="17440275" cy="46626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nl-NL" sz="900">
              <a:solidFill>
                <a:schemeClr val="dk1"/>
              </a:solidFill>
              <a:effectLst/>
              <a:latin typeface="Segoe UI" panose="020B0502040204020203" pitchFamily="34" charset="0"/>
              <a:ea typeface="+mn-ea"/>
              <a:cs typeface="Segoe UI" panose="020B0502040204020203" pitchFamily="34" charset="0"/>
            </a:rPr>
            <a:t>Op dit rekenblad worden resultaten van een NTA</a:t>
          </a:r>
          <a:r>
            <a:rPr lang="nl-NL" sz="900" baseline="0">
              <a:solidFill>
                <a:schemeClr val="dk1"/>
              </a:solidFill>
              <a:effectLst/>
              <a:latin typeface="Segoe UI" panose="020B0502040204020203" pitchFamily="34" charset="0"/>
              <a:ea typeface="+mn-ea"/>
              <a:cs typeface="Segoe UI" panose="020B0502040204020203" pitchFamily="34" charset="0"/>
            </a:rPr>
            <a:t> 8800</a:t>
          </a:r>
          <a:r>
            <a:rPr lang="nl-NL" sz="900">
              <a:solidFill>
                <a:schemeClr val="dk1"/>
              </a:solidFill>
              <a:effectLst/>
              <a:latin typeface="Segoe UI" panose="020B0502040204020203" pitchFamily="34" charset="0"/>
              <a:ea typeface="+mn-ea"/>
              <a:cs typeface="Segoe UI" panose="020B0502040204020203" pitchFamily="34" charset="0"/>
            </a:rPr>
            <a:t> berekening geschikt gemaakt voor gebruik in een MPG-berekening, </a:t>
          </a:r>
          <a:r>
            <a:rPr lang="nl-NL" sz="900" baseline="0">
              <a:solidFill>
                <a:schemeClr val="dk1"/>
              </a:solidFill>
              <a:effectLst/>
              <a:latin typeface="Segoe UI" panose="020B0502040204020203" pitchFamily="34" charset="0"/>
              <a:ea typeface="+mn-ea"/>
              <a:cs typeface="Segoe UI" panose="020B0502040204020203" pitchFamily="34" charset="0"/>
            </a:rPr>
            <a:t>een </a:t>
          </a:r>
          <a:r>
            <a:rPr lang="nl-NL" sz="900">
              <a:solidFill>
                <a:schemeClr val="dk1"/>
              </a:solidFill>
              <a:effectLst/>
              <a:latin typeface="Segoe UI" panose="020B0502040204020203" pitchFamily="34" charset="0"/>
              <a:ea typeface="+mn-ea"/>
              <a:cs typeface="Segoe UI" panose="020B0502040204020203" pitchFamily="34" charset="0"/>
            </a:rPr>
            <a:t>DPG-berekening binnen GPR Gebouw</a:t>
          </a:r>
          <a:r>
            <a:rPr lang="nl-NL" sz="900" baseline="0">
              <a:solidFill>
                <a:schemeClr val="dk1"/>
              </a:solidFill>
              <a:effectLst/>
              <a:latin typeface="Segoe UI" panose="020B0502040204020203" pitchFamily="34" charset="0"/>
              <a:ea typeface="+mn-ea"/>
              <a:cs typeface="Segoe UI" panose="020B0502040204020203" pitchFamily="34" charset="0"/>
            </a:rPr>
            <a:t> of een GPR score voor '1.1. Energieprestatie' binnen GPR Gebouw.</a:t>
          </a:r>
          <a:endParaRPr lang="nl-NL" sz="900">
            <a:effectLst/>
            <a:latin typeface="Segoe UI" panose="020B0502040204020203" pitchFamily="34" charset="0"/>
            <a:cs typeface="Segoe UI" panose="020B0502040204020203" pitchFamily="34" charset="0"/>
          </a:endParaRPr>
        </a:p>
        <a:p>
          <a:endParaRPr lang="nl-NL" sz="900" b="1" baseline="0">
            <a:solidFill>
              <a:schemeClr val="dk1"/>
            </a:solidFill>
            <a:effectLst/>
            <a:latin typeface="Segoe UI" panose="020B0502040204020203" pitchFamily="34" charset="0"/>
            <a:ea typeface="+mn-ea"/>
            <a:cs typeface="Segoe UI" panose="020B0502040204020203" pitchFamily="34" charset="0"/>
          </a:endParaRPr>
        </a:p>
        <a:p>
          <a:r>
            <a:rPr lang="nl-NL" sz="900" b="1" baseline="0">
              <a:solidFill>
                <a:schemeClr val="dk1"/>
              </a:solidFill>
              <a:effectLst/>
              <a:latin typeface="Segoe UI" panose="020B0502040204020203" pitchFamily="34" charset="0"/>
              <a:ea typeface="+mn-ea"/>
              <a:cs typeface="Segoe UI" panose="020B0502040204020203" pitchFamily="34" charset="0"/>
            </a:rPr>
            <a:t>MPG- DPG berekening</a:t>
          </a:r>
          <a:endParaRPr lang="nl-NL" sz="900">
            <a:effectLst/>
            <a:latin typeface="Segoe UI" panose="020B0502040204020203" pitchFamily="34" charset="0"/>
            <a:cs typeface="Segoe UI" panose="020B0502040204020203" pitchFamily="34" charset="0"/>
          </a:endParaRPr>
        </a:p>
        <a:p>
          <a:r>
            <a:rPr lang="nl-NL" sz="900" baseline="0">
              <a:solidFill>
                <a:schemeClr val="dk1"/>
              </a:solidFill>
              <a:effectLst/>
              <a:latin typeface="Segoe UI" panose="020B0502040204020203" pitchFamily="34" charset="0"/>
              <a:ea typeface="+mn-ea"/>
              <a:cs typeface="Segoe UI" panose="020B0502040204020203" pitchFamily="34" charset="0"/>
            </a:rPr>
            <a:t>Voor een MPG- of DPG berekening zijn meterstanden nodig voor gasverbruik (m3 gas), elektriciteit (kWh), warmte (GJ) en biomassa/hout (kg in GPR 4.3 of kWh in GPR 4.4). De primaire en finale energiegebruiken die het resultaat zijn van een </a:t>
          </a:r>
          <a:r>
            <a:rPr lang="nl-NL" sz="900">
              <a:solidFill>
                <a:schemeClr val="dk1"/>
              </a:solidFill>
              <a:effectLst/>
              <a:latin typeface="Segoe UI" panose="020B0502040204020203" pitchFamily="34" charset="0"/>
              <a:ea typeface="+mn-ea"/>
              <a:cs typeface="Segoe UI" panose="020B0502040204020203" pitchFamily="34" charset="0"/>
            </a:rPr>
            <a:t>NTA</a:t>
          </a:r>
          <a:r>
            <a:rPr lang="nl-NL" sz="900" baseline="0">
              <a:solidFill>
                <a:schemeClr val="dk1"/>
              </a:solidFill>
              <a:effectLst/>
              <a:latin typeface="Segoe UI" panose="020B0502040204020203" pitchFamily="34" charset="0"/>
              <a:ea typeface="+mn-ea"/>
              <a:cs typeface="Segoe UI" panose="020B0502040204020203" pitchFamily="34" charset="0"/>
            </a:rPr>
            <a:t> 8800-berekening kunnen uit de rekenpakketten van Uniec3 en Vabi NTA 8800 worden overgenomen. Het rekenblad rekent de energiegebruiken op basis van aangegeven energiedragers om naar meterstanden per energiedrager.</a:t>
          </a:r>
          <a:endParaRPr lang="nl-NL" sz="900">
            <a:effectLst/>
            <a:latin typeface="Segoe UI" panose="020B0502040204020203" pitchFamily="34" charset="0"/>
            <a:cs typeface="Segoe UI" panose="020B0502040204020203" pitchFamily="34" charset="0"/>
          </a:endParaRPr>
        </a:p>
        <a:p>
          <a:endParaRPr lang="nl-NL" sz="900" b="1" baseline="0">
            <a:solidFill>
              <a:schemeClr val="dk1"/>
            </a:solidFill>
            <a:effectLst/>
            <a:latin typeface="Segoe UI" panose="020B0502040204020203" pitchFamily="34" charset="0"/>
            <a:ea typeface="+mn-ea"/>
            <a:cs typeface="Segoe UI" panose="020B0502040204020203" pitchFamily="34" charset="0"/>
          </a:endParaRPr>
        </a:p>
        <a:p>
          <a:r>
            <a:rPr lang="nl-NL" sz="900" b="1" baseline="0">
              <a:solidFill>
                <a:schemeClr val="dk1"/>
              </a:solidFill>
              <a:effectLst/>
              <a:latin typeface="Segoe UI" panose="020B0502040204020203" pitchFamily="34" charset="0"/>
              <a:ea typeface="+mn-ea"/>
              <a:cs typeface="Segoe UI" panose="020B0502040204020203" pitchFamily="34" charset="0"/>
            </a:rPr>
            <a:t>1.1. Energieprestatie</a:t>
          </a:r>
          <a:endParaRPr lang="nl-NL" sz="900">
            <a:effectLst/>
            <a:latin typeface="Segoe UI" panose="020B0502040204020203" pitchFamily="34" charset="0"/>
            <a:cs typeface="Segoe UI" panose="020B0502040204020203" pitchFamily="34" charset="0"/>
          </a:endParaRPr>
        </a:p>
        <a:p>
          <a:r>
            <a:rPr lang="nl-NL" sz="900" baseline="0">
              <a:solidFill>
                <a:schemeClr val="dk1"/>
              </a:solidFill>
              <a:effectLst/>
              <a:latin typeface="Segoe UI" panose="020B0502040204020203" pitchFamily="34" charset="0"/>
              <a:ea typeface="+mn-ea"/>
              <a:cs typeface="Segoe UI" panose="020B0502040204020203" pitchFamily="34" charset="0"/>
            </a:rPr>
            <a:t>Voor het berekenen van de GPR score voor de energieprestatie is het primair energiegebruik van het gebouw nodig. Dat kan rechtstreeks uit de resultaten van de </a:t>
          </a:r>
          <a:r>
            <a:rPr lang="nl-NL" sz="900">
              <a:solidFill>
                <a:schemeClr val="dk1"/>
              </a:solidFill>
              <a:effectLst/>
              <a:latin typeface="Segoe UI" panose="020B0502040204020203" pitchFamily="34" charset="0"/>
              <a:ea typeface="+mn-ea"/>
              <a:cs typeface="Segoe UI" panose="020B0502040204020203" pitchFamily="34" charset="0"/>
            </a:rPr>
            <a:t>NTA</a:t>
          </a:r>
          <a:r>
            <a:rPr lang="nl-NL" sz="900" baseline="0">
              <a:solidFill>
                <a:schemeClr val="dk1"/>
              </a:solidFill>
              <a:effectLst/>
              <a:latin typeface="Segoe UI" panose="020B0502040204020203" pitchFamily="34" charset="0"/>
              <a:ea typeface="+mn-ea"/>
              <a:cs typeface="Segoe UI" panose="020B0502040204020203" pitchFamily="34" charset="0"/>
            </a:rPr>
            <a:t> 8800-berekening worden overgenomen.</a:t>
          </a:r>
          <a:endParaRPr lang="nl-NL" sz="900">
            <a:effectLst/>
            <a:latin typeface="Segoe UI" panose="020B0502040204020203" pitchFamily="34" charset="0"/>
            <a:cs typeface="Segoe UI" panose="020B0502040204020203" pitchFamily="34" charset="0"/>
          </a:endParaRPr>
        </a:p>
        <a:p>
          <a:endParaRPr lang="nl-NL" sz="900" b="1" baseline="0">
            <a:solidFill>
              <a:schemeClr val="dk1"/>
            </a:solidFill>
            <a:effectLst/>
            <a:latin typeface="Segoe UI" panose="020B0502040204020203" pitchFamily="34" charset="0"/>
            <a:ea typeface="+mn-ea"/>
            <a:cs typeface="Segoe UI" panose="020B0502040204020203" pitchFamily="34" charset="0"/>
          </a:endParaRPr>
        </a:p>
        <a:p>
          <a:r>
            <a:rPr lang="nl-NL" sz="900" b="1" baseline="0">
              <a:solidFill>
                <a:schemeClr val="dk1"/>
              </a:solidFill>
              <a:effectLst/>
              <a:latin typeface="Segoe UI" panose="020B0502040204020203" pitchFamily="34" charset="0"/>
              <a:ea typeface="+mn-ea"/>
              <a:cs typeface="Segoe UI" panose="020B0502040204020203" pitchFamily="34" charset="0"/>
            </a:rPr>
            <a:t>Combinatiegebouwen</a:t>
          </a:r>
          <a:endParaRPr lang="nl-NL" sz="900">
            <a:effectLst/>
            <a:latin typeface="Segoe UI" panose="020B0502040204020203" pitchFamily="34" charset="0"/>
            <a:cs typeface="Segoe UI" panose="020B0502040204020203" pitchFamily="34" charset="0"/>
          </a:endParaRPr>
        </a:p>
        <a:p>
          <a:r>
            <a:rPr lang="nl-NL" sz="900" b="0" baseline="0">
              <a:solidFill>
                <a:schemeClr val="dk1"/>
              </a:solidFill>
              <a:effectLst/>
              <a:latin typeface="Segoe UI" panose="020B0502040204020203" pitchFamily="34" charset="0"/>
              <a:ea typeface="+mn-ea"/>
              <a:cs typeface="Segoe UI" panose="020B0502040204020203" pitchFamily="34" charset="0"/>
            </a:rPr>
            <a:t>Een gebouw waarvoor een </a:t>
          </a:r>
          <a:r>
            <a:rPr lang="nl-NL" sz="900">
              <a:solidFill>
                <a:schemeClr val="dk1"/>
              </a:solidFill>
              <a:effectLst/>
              <a:latin typeface="Segoe UI" panose="020B0502040204020203" pitchFamily="34" charset="0"/>
              <a:ea typeface="+mn-ea"/>
              <a:cs typeface="Segoe UI" panose="020B0502040204020203" pitchFamily="34" charset="0"/>
            </a:rPr>
            <a:t>NTA</a:t>
          </a:r>
          <a:r>
            <a:rPr lang="nl-NL" sz="900" baseline="0">
              <a:solidFill>
                <a:schemeClr val="dk1"/>
              </a:solidFill>
              <a:effectLst/>
              <a:latin typeface="Segoe UI" panose="020B0502040204020203" pitchFamily="34" charset="0"/>
              <a:ea typeface="+mn-ea"/>
              <a:cs typeface="Segoe UI" panose="020B0502040204020203" pitchFamily="34" charset="0"/>
            </a:rPr>
            <a:t> 8800</a:t>
          </a:r>
          <a:r>
            <a:rPr lang="nl-NL" sz="900" b="0" baseline="0">
              <a:solidFill>
                <a:schemeClr val="dk1"/>
              </a:solidFill>
              <a:effectLst/>
              <a:latin typeface="Segoe UI" panose="020B0502040204020203" pitchFamily="34" charset="0"/>
              <a:ea typeface="+mn-ea"/>
              <a:cs typeface="Segoe UI" panose="020B0502040204020203" pitchFamily="34" charset="0"/>
            </a:rPr>
            <a:t>-berekening is gemaakt kan meerdere gebruiksfuncties hebben. Berekeningen cf. MPG, DPG en GPR Gebouw worden per gebruiksfunctie uitgevoerd. Resultaten van een </a:t>
          </a:r>
          <a:r>
            <a:rPr lang="nl-NL" sz="900">
              <a:solidFill>
                <a:schemeClr val="dk1"/>
              </a:solidFill>
              <a:effectLst/>
              <a:latin typeface="Segoe UI" panose="020B0502040204020203" pitchFamily="34" charset="0"/>
              <a:ea typeface="+mn-ea"/>
              <a:cs typeface="Segoe UI" panose="020B0502040204020203" pitchFamily="34" charset="0"/>
            </a:rPr>
            <a:t>NTA</a:t>
          </a:r>
          <a:r>
            <a:rPr lang="nl-NL" sz="900" baseline="0">
              <a:solidFill>
                <a:schemeClr val="dk1"/>
              </a:solidFill>
              <a:effectLst/>
              <a:latin typeface="Segoe UI" panose="020B0502040204020203" pitchFamily="34" charset="0"/>
              <a:ea typeface="+mn-ea"/>
              <a:cs typeface="Segoe UI" panose="020B0502040204020203" pitchFamily="34" charset="0"/>
            </a:rPr>
            <a:t> 8800</a:t>
          </a:r>
          <a:r>
            <a:rPr lang="nl-NL" sz="900" b="0" baseline="0">
              <a:solidFill>
                <a:schemeClr val="dk1"/>
              </a:solidFill>
              <a:effectLst/>
              <a:latin typeface="Segoe UI" panose="020B0502040204020203" pitchFamily="34" charset="0"/>
              <a:ea typeface="+mn-ea"/>
              <a:cs typeface="Segoe UI" panose="020B0502040204020203" pitchFamily="34" charset="0"/>
            </a:rPr>
            <a:t>-berekening van een gebouw met meerdere gebruiksfuncties, moeten vóórdat ze gebruikt kunnen worden in MPG, DPG en GPR Gebouw, eerst worden omgezet naar resultaten per gebruiksfunctie. Dat gebeurt ook op dit rekenblad.</a:t>
          </a:r>
          <a:endParaRPr lang="nl-NL" sz="900">
            <a:effectLst/>
            <a:latin typeface="Segoe UI" panose="020B0502040204020203" pitchFamily="34" charset="0"/>
            <a:cs typeface="Segoe UI" panose="020B0502040204020203" pitchFamily="34" charset="0"/>
          </a:endParaRPr>
        </a:p>
        <a:p>
          <a:endParaRPr lang="nl-NL" sz="900" b="1">
            <a:solidFill>
              <a:schemeClr val="dk1"/>
            </a:solidFill>
            <a:effectLst/>
            <a:latin typeface="Segoe UI" panose="020B0502040204020203" pitchFamily="34" charset="0"/>
            <a:ea typeface="+mn-ea"/>
            <a:cs typeface="Segoe UI" panose="020B0502040204020203" pitchFamily="34" charset="0"/>
          </a:endParaRPr>
        </a:p>
        <a:p>
          <a:r>
            <a:rPr lang="nl-NL" sz="1100" b="1">
              <a:solidFill>
                <a:schemeClr val="dk1"/>
              </a:solidFill>
              <a:effectLst/>
              <a:latin typeface="+mn-lt"/>
              <a:ea typeface="+mn-ea"/>
              <a:cs typeface="+mn-cs"/>
            </a:rPr>
            <a:t>Werkwijze</a:t>
          </a:r>
          <a:endParaRPr lang="nl-NL" sz="900">
            <a:effectLst/>
          </a:endParaRPr>
        </a:p>
        <a:p>
          <a:r>
            <a:rPr lang="nl-NL" sz="1100">
              <a:solidFill>
                <a:schemeClr val="dk1"/>
              </a:solidFill>
              <a:effectLst/>
              <a:latin typeface="+mn-lt"/>
              <a:ea typeface="+mn-ea"/>
              <a:cs typeface="+mn-cs"/>
            </a:rPr>
            <a:t>1.  bepaal in welke versie van GPR Gebouw de energiegebruiken moeten worden ingevuld</a:t>
          </a:r>
          <a:endParaRPr lang="nl-NL" sz="900">
            <a:effectLst/>
          </a:endParaRPr>
        </a:p>
        <a:p>
          <a:r>
            <a:rPr lang="nl-NL" sz="1100">
              <a:solidFill>
                <a:schemeClr val="dk1"/>
              </a:solidFill>
              <a:effectLst/>
              <a:latin typeface="+mn-lt"/>
              <a:ea typeface="+mn-ea"/>
              <a:cs typeface="+mn-cs"/>
            </a:rPr>
            <a:t>2.  neem de berekende finale gebruiken ('meterstanden') van het combinatiegebouw voor de verschillende energiedragers over uit de energieprestatieberekening.</a:t>
          </a:r>
          <a:endParaRPr lang="nl-NL" sz="900">
            <a:effectLst/>
          </a:endParaRPr>
        </a:p>
        <a:p>
          <a:r>
            <a:rPr lang="nl-NL" sz="1100">
              <a:solidFill>
                <a:schemeClr val="dk1"/>
              </a:solidFill>
              <a:effectLst/>
              <a:latin typeface="+mn-lt"/>
              <a:ea typeface="+mn-ea"/>
              <a:cs typeface="+mn-cs"/>
            </a:rPr>
            <a:t>3. neem het totaal primair energiegebruik van het combinatiegebouw over uit de energieprestatieberekening en vul in onder ‘EP2’.</a:t>
          </a:r>
          <a:endParaRPr lang="nl-NL" sz="900">
            <a:effectLst/>
          </a:endParaRPr>
        </a:p>
        <a:p>
          <a:r>
            <a:rPr lang="nl-NL" sz="1100">
              <a:solidFill>
                <a:schemeClr val="dk1"/>
              </a:solidFill>
              <a:effectLst/>
              <a:latin typeface="+mn-lt"/>
              <a:ea typeface="+mn-ea"/>
              <a:cs typeface="+mn-cs"/>
            </a:rPr>
            <a:t>3.  neem de totale CO</a:t>
          </a:r>
          <a:r>
            <a:rPr lang="nl-NL" sz="1100" baseline="-25000">
              <a:solidFill>
                <a:schemeClr val="dk1"/>
              </a:solidFill>
              <a:effectLst/>
              <a:latin typeface="+mn-lt"/>
              <a:ea typeface="+mn-ea"/>
              <a:cs typeface="+mn-cs"/>
            </a:rPr>
            <a:t>2</a:t>
          </a:r>
          <a:r>
            <a:rPr lang="nl-NL" sz="1100">
              <a:solidFill>
                <a:schemeClr val="dk1"/>
              </a:solidFill>
              <a:effectLst/>
              <a:latin typeface="+mn-lt"/>
              <a:ea typeface="+mn-ea"/>
              <a:cs typeface="+mn-cs"/>
            </a:rPr>
            <a:t>-emissie in kg van het combinatiegebouw over uit de energieprestatieberekening en vul in onder ‘CO2’.</a:t>
          </a:r>
          <a:endParaRPr lang="nl-NL" sz="900">
            <a:effectLst/>
          </a:endParaRPr>
        </a:p>
        <a:p>
          <a:r>
            <a:rPr lang="nl-NL" sz="1100">
              <a:solidFill>
                <a:schemeClr val="dk1"/>
              </a:solidFill>
              <a:effectLst/>
              <a:latin typeface="+mn-lt"/>
              <a:ea typeface="+mn-ea"/>
              <a:cs typeface="+mn-cs"/>
            </a:rPr>
            <a:t>4.  neem de gebruiksoppervlakte per gebruiksfunctie en de gemeenschappelijke ruimten over uit de energieprestatiemethode en vul in onder ‘gebruiksoppervlakte per gebruiksfunctie’.</a:t>
          </a:r>
          <a:endParaRPr lang="nl-NL" sz="900">
            <a:effectLst/>
          </a:endParaRPr>
        </a:p>
        <a:p>
          <a:r>
            <a:rPr lang="nl-NL" sz="1100">
              <a:solidFill>
                <a:schemeClr val="dk1"/>
              </a:solidFill>
              <a:effectLst/>
              <a:latin typeface="+mn-lt"/>
              <a:ea typeface="+mn-ea"/>
              <a:cs typeface="+mn-cs"/>
            </a:rPr>
            <a:t>5.  neem de cijfers met oranje randen over in MPG of GPR Gebouw.</a:t>
          </a:r>
          <a:endParaRPr lang="nl-NL" sz="900">
            <a:effectLst/>
          </a:endParaRPr>
        </a:p>
        <a:p>
          <a:endParaRPr lang="nl-NL" sz="1100" b="1">
            <a:solidFill>
              <a:schemeClr val="dk1"/>
            </a:solidFill>
            <a:effectLst/>
            <a:latin typeface="+mn-lt"/>
            <a:ea typeface="+mn-ea"/>
            <a:cs typeface="+mn-cs"/>
          </a:endParaRPr>
        </a:p>
        <a:p>
          <a:r>
            <a:rPr lang="nl-NL" sz="1100" b="1">
              <a:solidFill>
                <a:schemeClr val="dk1"/>
              </a:solidFill>
              <a:effectLst/>
              <a:latin typeface="+mn-lt"/>
              <a:ea typeface="+mn-ea"/>
              <a:cs typeface="+mn-cs"/>
            </a:rPr>
            <a:t>Aanvullende resultaten</a:t>
          </a:r>
          <a:endParaRPr lang="nl-NL" sz="900">
            <a:effectLst/>
          </a:endParaRPr>
        </a:p>
        <a:p>
          <a:r>
            <a:rPr lang="nl-NL" sz="1100">
              <a:solidFill>
                <a:schemeClr val="dk1"/>
              </a:solidFill>
              <a:effectLst/>
              <a:latin typeface="+mn-lt"/>
              <a:ea typeface="+mn-ea"/>
              <a:cs typeface="+mn-cs"/>
            </a:rPr>
            <a:t>Aanvullend geeft dit rekenblad ook de berekende score op:</a:t>
          </a:r>
          <a:endParaRPr lang="nl-NL" sz="900">
            <a:effectLst/>
          </a:endParaRPr>
        </a:p>
        <a:p>
          <a:r>
            <a:rPr lang="nl-NL" sz="1100">
              <a:solidFill>
                <a:schemeClr val="dk1"/>
              </a:solidFill>
              <a:effectLst/>
              <a:latin typeface="+mn-lt"/>
              <a:ea typeface="+mn-ea"/>
              <a:cs typeface="+mn-cs"/>
            </a:rPr>
            <a:t>- subthema '1.1 Energieprestatie' </a:t>
          </a:r>
          <a:endParaRPr lang="nl-NL" sz="900">
            <a:effectLst/>
          </a:endParaRPr>
        </a:p>
        <a:p>
          <a:r>
            <a:rPr lang="nl-NL" sz="1100">
              <a:solidFill>
                <a:schemeClr val="dk1"/>
              </a:solidFill>
              <a:effectLst/>
              <a:latin typeface="+mn-lt"/>
              <a:ea typeface="+mn-ea"/>
              <a:cs typeface="+mn-cs"/>
            </a:rPr>
            <a:t>- CO</a:t>
          </a:r>
          <a:r>
            <a:rPr lang="nl-NL" sz="1100" baseline="-25000">
              <a:solidFill>
                <a:schemeClr val="dk1"/>
              </a:solidFill>
              <a:effectLst/>
              <a:latin typeface="+mn-lt"/>
              <a:ea typeface="+mn-ea"/>
              <a:cs typeface="+mn-cs"/>
            </a:rPr>
            <a:t>2</a:t>
          </a:r>
          <a:r>
            <a:rPr lang="nl-NL" sz="1100">
              <a:solidFill>
                <a:schemeClr val="dk1"/>
              </a:solidFill>
              <a:effectLst/>
              <a:latin typeface="+mn-lt"/>
              <a:ea typeface="+mn-ea"/>
              <a:cs typeface="+mn-cs"/>
            </a:rPr>
            <a:t>-emissiereductie ten opzichte van 2006 (ten behoeve van subthema '1.2 Energieprestatie, aanvullend'</a:t>
          </a:r>
          <a:endParaRPr lang="nl-NL" sz="900">
            <a:effectLst/>
          </a:endParaRPr>
        </a:p>
        <a:p>
          <a:r>
            <a:rPr lang="nl-NL" sz="1100">
              <a:solidFill>
                <a:schemeClr val="dk1"/>
              </a:solidFill>
              <a:effectLst/>
              <a:latin typeface="+mn-lt"/>
              <a:ea typeface="+mn-ea"/>
              <a:cs typeface="+mn-cs"/>
            </a:rPr>
            <a:t>- subthema '2.1 Milieuprestatie gebouw (MPG)'</a:t>
          </a:r>
          <a:endParaRPr lang="nl-NL" sz="900">
            <a:effectLst/>
          </a:endParaRPr>
        </a:p>
        <a:p>
          <a:r>
            <a:rPr lang="nl-NL" sz="1100">
              <a:solidFill>
                <a:schemeClr val="dk1"/>
              </a:solidFill>
              <a:effectLst/>
              <a:latin typeface="+mn-lt"/>
              <a:ea typeface="+mn-ea"/>
              <a:cs typeface="+mn-cs"/>
            </a:rPr>
            <a:t>- DPG-index en DPG (integrale combinatie van milieu-impact van energie- en materiaalgebruik)</a:t>
          </a:r>
          <a:endParaRPr lang="nl-NL" sz="900">
            <a:effectLst/>
          </a:endParaRPr>
        </a:p>
        <a:p>
          <a:r>
            <a:rPr lang="nl-NL" sz="1100">
              <a:solidFill>
                <a:schemeClr val="dk1"/>
              </a:solidFill>
              <a:effectLst/>
              <a:latin typeface="+mn-lt"/>
              <a:ea typeface="+mn-ea"/>
              <a:cs typeface="+mn-cs"/>
            </a:rPr>
            <a:t>- Klimaatmonitor (milieu-effect 'klimaatverandering' / 'global warming potential')</a:t>
          </a:r>
          <a:endParaRPr lang="nl-NL" sz="900">
            <a:effectLst/>
          </a:endParaRPr>
        </a:p>
        <a:p>
          <a:endParaRPr lang="nl-NL" sz="900">
            <a:effectLst/>
            <a:latin typeface="Segoe UI" panose="020B0502040204020203" pitchFamily="34" charset="0"/>
            <a:cs typeface="Segoe UI" panose="020B0502040204020203" pitchFamily="34"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9525</xdr:colOff>
      <xdr:row>0</xdr:row>
      <xdr:rowOff>0</xdr:rowOff>
    </xdr:from>
    <xdr:to>
      <xdr:col>6</xdr:col>
      <xdr:colOff>544635</xdr:colOff>
      <xdr:row>0</xdr:row>
      <xdr:rowOff>396240</xdr:rowOff>
    </xdr:to>
    <xdr:pic>
      <xdr:nvPicPr>
        <xdr:cNvPr id="2" name="Afbeelding 1">
          <a:extLst>
            <a:ext uri="{FF2B5EF4-FFF2-40B4-BE49-F238E27FC236}">
              <a16:creationId xmlns:a16="http://schemas.microsoft.com/office/drawing/2014/main" id="{1DF5BF03-B3BD-4CFE-87E4-823D3544F6FE}"/>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2" t="1554" b="16892"/>
        <a:stretch/>
      </xdr:blipFill>
      <xdr:spPr bwMode="auto">
        <a:xfrm>
          <a:off x="3990975" y="0"/>
          <a:ext cx="3094533"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277</xdr:row>
      <xdr:rowOff>156987</xdr:rowOff>
    </xdr:from>
    <xdr:to>
      <xdr:col>28</xdr:col>
      <xdr:colOff>0</xdr:colOff>
      <xdr:row>299</xdr:row>
      <xdr:rowOff>0</xdr:rowOff>
    </xdr:to>
    <xdr:sp macro="" textlink="">
      <xdr:nvSpPr>
        <xdr:cNvPr id="3" name="Tekstvak 2">
          <a:extLst>
            <a:ext uri="{FF2B5EF4-FFF2-40B4-BE49-F238E27FC236}">
              <a16:creationId xmlns:a16="http://schemas.microsoft.com/office/drawing/2014/main" id="{EF61199D-B58D-4A96-9CC0-C429B4261335}"/>
            </a:ext>
          </a:extLst>
        </xdr:cNvPr>
        <xdr:cNvSpPr txBox="1"/>
      </xdr:nvSpPr>
      <xdr:spPr>
        <a:xfrm>
          <a:off x="3989917" y="59116737"/>
          <a:ext cx="17430750" cy="47325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nl-NL" sz="900">
              <a:solidFill>
                <a:schemeClr val="dk1"/>
              </a:solidFill>
              <a:effectLst/>
              <a:latin typeface="Segoe UI" panose="020B0502040204020203" pitchFamily="34" charset="0"/>
              <a:ea typeface="+mn-ea"/>
              <a:cs typeface="Segoe UI" panose="020B0502040204020203" pitchFamily="34" charset="0"/>
            </a:rPr>
            <a:t>Op dit rekenblad worden resultaten van een NTA</a:t>
          </a:r>
          <a:r>
            <a:rPr lang="nl-NL" sz="900" baseline="0">
              <a:solidFill>
                <a:schemeClr val="dk1"/>
              </a:solidFill>
              <a:effectLst/>
              <a:latin typeface="Segoe UI" panose="020B0502040204020203" pitchFamily="34" charset="0"/>
              <a:ea typeface="+mn-ea"/>
              <a:cs typeface="Segoe UI" panose="020B0502040204020203" pitchFamily="34" charset="0"/>
            </a:rPr>
            <a:t> 8800</a:t>
          </a:r>
          <a:r>
            <a:rPr lang="nl-NL" sz="900">
              <a:solidFill>
                <a:schemeClr val="dk1"/>
              </a:solidFill>
              <a:effectLst/>
              <a:latin typeface="Segoe UI" panose="020B0502040204020203" pitchFamily="34" charset="0"/>
              <a:ea typeface="+mn-ea"/>
              <a:cs typeface="Segoe UI" panose="020B0502040204020203" pitchFamily="34" charset="0"/>
            </a:rPr>
            <a:t> berekening geschikt gemaakt voor gebruik in een MPG-berekening, </a:t>
          </a:r>
          <a:r>
            <a:rPr lang="nl-NL" sz="900" baseline="0">
              <a:solidFill>
                <a:schemeClr val="dk1"/>
              </a:solidFill>
              <a:effectLst/>
              <a:latin typeface="Segoe UI" panose="020B0502040204020203" pitchFamily="34" charset="0"/>
              <a:ea typeface="+mn-ea"/>
              <a:cs typeface="Segoe UI" panose="020B0502040204020203" pitchFamily="34" charset="0"/>
            </a:rPr>
            <a:t>een </a:t>
          </a:r>
          <a:r>
            <a:rPr lang="nl-NL" sz="900">
              <a:solidFill>
                <a:schemeClr val="dk1"/>
              </a:solidFill>
              <a:effectLst/>
              <a:latin typeface="Segoe UI" panose="020B0502040204020203" pitchFamily="34" charset="0"/>
              <a:ea typeface="+mn-ea"/>
              <a:cs typeface="Segoe UI" panose="020B0502040204020203" pitchFamily="34" charset="0"/>
            </a:rPr>
            <a:t>DPG-berekening binnen GPR Gebouw</a:t>
          </a:r>
          <a:r>
            <a:rPr lang="nl-NL" sz="900" baseline="0">
              <a:solidFill>
                <a:schemeClr val="dk1"/>
              </a:solidFill>
              <a:effectLst/>
              <a:latin typeface="Segoe UI" panose="020B0502040204020203" pitchFamily="34" charset="0"/>
              <a:ea typeface="+mn-ea"/>
              <a:cs typeface="Segoe UI" panose="020B0502040204020203" pitchFamily="34" charset="0"/>
            </a:rPr>
            <a:t> of een GPR score voor '1.1. Energieprestatie' binnen GPR Gebouw.</a:t>
          </a:r>
          <a:endParaRPr lang="nl-NL" sz="900">
            <a:effectLst/>
            <a:latin typeface="Segoe UI" panose="020B0502040204020203" pitchFamily="34" charset="0"/>
            <a:cs typeface="Segoe UI" panose="020B0502040204020203" pitchFamily="34" charset="0"/>
          </a:endParaRPr>
        </a:p>
        <a:p>
          <a:endParaRPr lang="nl-NL" sz="900" b="1" baseline="0">
            <a:solidFill>
              <a:schemeClr val="dk1"/>
            </a:solidFill>
            <a:effectLst/>
            <a:latin typeface="Segoe UI" panose="020B0502040204020203" pitchFamily="34" charset="0"/>
            <a:ea typeface="+mn-ea"/>
            <a:cs typeface="Segoe UI" panose="020B0502040204020203" pitchFamily="34" charset="0"/>
          </a:endParaRPr>
        </a:p>
        <a:p>
          <a:r>
            <a:rPr lang="nl-NL" sz="900" b="1" baseline="0">
              <a:solidFill>
                <a:schemeClr val="dk1"/>
              </a:solidFill>
              <a:effectLst/>
              <a:latin typeface="Segoe UI" panose="020B0502040204020203" pitchFamily="34" charset="0"/>
              <a:ea typeface="+mn-ea"/>
              <a:cs typeface="Segoe UI" panose="020B0502040204020203" pitchFamily="34" charset="0"/>
            </a:rPr>
            <a:t>MPG- DPG berekening</a:t>
          </a:r>
          <a:endParaRPr lang="nl-NL" sz="900">
            <a:effectLst/>
            <a:latin typeface="Segoe UI" panose="020B0502040204020203" pitchFamily="34" charset="0"/>
            <a:cs typeface="Segoe UI" panose="020B0502040204020203" pitchFamily="34" charset="0"/>
          </a:endParaRPr>
        </a:p>
        <a:p>
          <a:r>
            <a:rPr lang="nl-NL" sz="900" baseline="0">
              <a:solidFill>
                <a:schemeClr val="dk1"/>
              </a:solidFill>
              <a:effectLst/>
              <a:latin typeface="Segoe UI" panose="020B0502040204020203" pitchFamily="34" charset="0"/>
              <a:ea typeface="+mn-ea"/>
              <a:cs typeface="Segoe UI" panose="020B0502040204020203" pitchFamily="34" charset="0"/>
            </a:rPr>
            <a:t>Voor een MPG- of DPG berekening zijn meterstanden nodig voor gasverbruik (m3 gas), elektriciteit (kWh), warmte (GJ) en biomassa/hout (kg in GPR 4.3 of kWh in GPR 4.4). De primaire en finale energiegebruiken die het resultaat zijn van een </a:t>
          </a:r>
          <a:r>
            <a:rPr lang="nl-NL" sz="900">
              <a:solidFill>
                <a:schemeClr val="dk1"/>
              </a:solidFill>
              <a:effectLst/>
              <a:latin typeface="Segoe UI" panose="020B0502040204020203" pitchFamily="34" charset="0"/>
              <a:ea typeface="+mn-ea"/>
              <a:cs typeface="Segoe UI" panose="020B0502040204020203" pitchFamily="34" charset="0"/>
            </a:rPr>
            <a:t>NTA</a:t>
          </a:r>
          <a:r>
            <a:rPr lang="nl-NL" sz="900" baseline="0">
              <a:solidFill>
                <a:schemeClr val="dk1"/>
              </a:solidFill>
              <a:effectLst/>
              <a:latin typeface="Segoe UI" panose="020B0502040204020203" pitchFamily="34" charset="0"/>
              <a:ea typeface="+mn-ea"/>
              <a:cs typeface="Segoe UI" panose="020B0502040204020203" pitchFamily="34" charset="0"/>
            </a:rPr>
            <a:t> 8800-berekening kunnen uit de rekenpakketten van Uniec3 en Vabi NTA 8800 worden overgenomen. Het rekenblad rekent de energiegebruiken op basis van aangegeven energiedragers om naar meterstanden per energiedrager.</a:t>
          </a:r>
          <a:endParaRPr lang="nl-NL" sz="900">
            <a:effectLst/>
            <a:latin typeface="Segoe UI" panose="020B0502040204020203" pitchFamily="34" charset="0"/>
            <a:cs typeface="Segoe UI" panose="020B0502040204020203" pitchFamily="34" charset="0"/>
          </a:endParaRPr>
        </a:p>
        <a:p>
          <a:endParaRPr lang="nl-NL" sz="900" b="1" baseline="0">
            <a:solidFill>
              <a:schemeClr val="dk1"/>
            </a:solidFill>
            <a:effectLst/>
            <a:latin typeface="Segoe UI" panose="020B0502040204020203" pitchFamily="34" charset="0"/>
            <a:ea typeface="+mn-ea"/>
            <a:cs typeface="Segoe UI" panose="020B0502040204020203" pitchFamily="34" charset="0"/>
          </a:endParaRPr>
        </a:p>
        <a:p>
          <a:r>
            <a:rPr lang="nl-NL" sz="900" b="1" baseline="0">
              <a:solidFill>
                <a:schemeClr val="dk1"/>
              </a:solidFill>
              <a:effectLst/>
              <a:latin typeface="Segoe UI" panose="020B0502040204020203" pitchFamily="34" charset="0"/>
              <a:ea typeface="+mn-ea"/>
              <a:cs typeface="Segoe UI" panose="020B0502040204020203" pitchFamily="34" charset="0"/>
            </a:rPr>
            <a:t>1.1. Energieprestatie</a:t>
          </a:r>
          <a:endParaRPr lang="nl-NL" sz="900">
            <a:effectLst/>
            <a:latin typeface="Segoe UI" panose="020B0502040204020203" pitchFamily="34" charset="0"/>
            <a:cs typeface="Segoe UI" panose="020B0502040204020203" pitchFamily="34" charset="0"/>
          </a:endParaRPr>
        </a:p>
        <a:p>
          <a:r>
            <a:rPr lang="nl-NL" sz="900" baseline="0">
              <a:solidFill>
                <a:schemeClr val="dk1"/>
              </a:solidFill>
              <a:effectLst/>
              <a:latin typeface="Segoe UI" panose="020B0502040204020203" pitchFamily="34" charset="0"/>
              <a:ea typeface="+mn-ea"/>
              <a:cs typeface="Segoe UI" panose="020B0502040204020203" pitchFamily="34" charset="0"/>
            </a:rPr>
            <a:t>Voor het berekenen van de GPR score voor de energieprestatie is het primair energiegebruik van het gebouw nodig. Dat kan rechtstreeks uit de resultaten van de </a:t>
          </a:r>
          <a:r>
            <a:rPr lang="nl-NL" sz="900">
              <a:solidFill>
                <a:schemeClr val="dk1"/>
              </a:solidFill>
              <a:effectLst/>
              <a:latin typeface="Segoe UI" panose="020B0502040204020203" pitchFamily="34" charset="0"/>
              <a:ea typeface="+mn-ea"/>
              <a:cs typeface="Segoe UI" panose="020B0502040204020203" pitchFamily="34" charset="0"/>
            </a:rPr>
            <a:t>NTA</a:t>
          </a:r>
          <a:r>
            <a:rPr lang="nl-NL" sz="900" baseline="0">
              <a:solidFill>
                <a:schemeClr val="dk1"/>
              </a:solidFill>
              <a:effectLst/>
              <a:latin typeface="Segoe UI" panose="020B0502040204020203" pitchFamily="34" charset="0"/>
              <a:ea typeface="+mn-ea"/>
              <a:cs typeface="Segoe UI" panose="020B0502040204020203" pitchFamily="34" charset="0"/>
            </a:rPr>
            <a:t> 8800-berekening worden overgenomen.</a:t>
          </a:r>
          <a:endParaRPr lang="nl-NL" sz="900">
            <a:effectLst/>
            <a:latin typeface="Segoe UI" panose="020B0502040204020203" pitchFamily="34" charset="0"/>
            <a:cs typeface="Segoe UI" panose="020B0502040204020203" pitchFamily="34" charset="0"/>
          </a:endParaRPr>
        </a:p>
        <a:p>
          <a:endParaRPr lang="nl-NL" sz="900" b="1" baseline="0">
            <a:solidFill>
              <a:schemeClr val="dk1"/>
            </a:solidFill>
            <a:effectLst/>
            <a:latin typeface="Segoe UI" panose="020B0502040204020203" pitchFamily="34" charset="0"/>
            <a:ea typeface="+mn-ea"/>
            <a:cs typeface="Segoe UI" panose="020B0502040204020203" pitchFamily="34" charset="0"/>
          </a:endParaRPr>
        </a:p>
        <a:p>
          <a:r>
            <a:rPr lang="nl-NL" sz="900" b="1" baseline="0">
              <a:solidFill>
                <a:schemeClr val="dk1"/>
              </a:solidFill>
              <a:effectLst/>
              <a:latin typeface="Segoe UI" panose="020B0502040204020203" pitchFamily="34" charset="0"/>
              <a:ea typeface="+mn-ea"/>
              <a:cs typeface="Segoe UI" panose="020B0502040204020203" pitchFamily="34" charset="0"/>
            </a:rPr>
            <a:t>Combinatiegebouwen</a:t>
          </a:r>
          <a:endParaRPr lang="nl-NL" sz="900">
            <a:effectLst/>
            <a:latin typeface="Segoe UI" panose="020B0502040204020203" pitchFamily="34" charset="0"/>
            <a:cs typeface="Segoe UI" panose="020B0502040204020203" pitchFamily="34" charset="0"/>
          </a:endParaRPr>
        </a:p>
        <a:p>
          <a:r>
            <a:rPr lang="nl-NL" sz="900" b="0" baseline="0">
              <a:solidFill>
                <a:schemeClr val="dk1"/>
              </a:solidFill>
              <a:effectLst/>
              <a:latin typeface="Segoe UI" panose="020B0502040204020203" pitchFamily="34" charset="0"/>
              <a:ea typeface="+mn-ea"/>
              <a:cs typeface="Segoe UI" panose="020B0502040204020203" pitchFamily="34" charset="0"/>
            </a:rPr>
            <a:t>Een gebouw waarvoor een </a:t>
          </a:r>
          <a:r>
            <a:rPr lang="nl-NL" sz="900">
              <a:solidFill>
                <a:schemeClr val="dk1"/>
              </a:solidFill>
              <a:effectLst/>
              <a:latin typeface="Segoe UI" panose="020B0502040204020203" pitchFamily="34" charset="0"/>
              <a:ea typeface="+mn-ea"/>
              <a:cs typeface="Segoe UI" panose="020B0502040204020203" pitchFamily="34" charset="0"/>
            </a:rPr>
            <a:t>NTA</a:t>
          </a:r>
          <a:r>
            <a:rPr lang="nl-NL" sz="900" baseline="0">
              <a:solidFill>
                <a:schemeClr val="dk1"/>
              </a:solidFill>
              <a:effectLst/>
              <a:latin typeface="Segoe UI" panose="020B0502040204020203" pitchFamily="34" charset="0"/>
              <a:ea typeface="+mn-ea"/>
              <a:cs typeface="Segoe UI" panose="020B0502040204020203" pitchFamily="34" charset="0"/>
            </a:rPr>
            <a:t> 8800</a:t>
          </a:r>
          <a:r>
            <a:rPr lang="nl-NL" sz="900" b="0" baseline="0">
              <a:solidFill>
                <a:schemeClr val="dk1"/>
              </a:solidFill>
              <a:effectLst/>
              <a:latin typeface="Segoe UI" panose="020B0502040204020203" pitchFamily="34" charset="0"/>
              <a:ea typeface="+mn-ea"/>
              <a:cs typeface="Segoe UI" panose="020B0502040204020203" pitchFamily="34" charset="0"/>
            </a:rPr>
            <a:t>-berekening is gemaakt kan meerdere gebruiksfuncties hebben. Berekeningen cf. MPG, DPG en GPR Gebouw worden per gebruiksfunctie uitgevoerd. Resultaten van een </a:t>
          </a:r>
          <a:r>
            <a:rPr lang="nl-NL" sz="900">
              <a:solidFill>
                <a:schemeClr val="dk1"/>
              </a:solidFill>
              <a:effectLst/>
              <a:latin typeface="Segoe UI" panose="020B0502040204020203" pitchFamily="34" charset="0"/>
              <a:ea typeface="+mn-ea"/>
              <a:cs typeface="Segoe UI" panose="020B0502040204020203" pitchFamily="34" charset="0"/>
            </a:rPr>
            <a:t>NTA</a:t>
          </a:r>
          <a:r>
            <a:rPr lang="nl-NL" sz="900" baseline="0">
              <a:solidFill>
                <a:schemeClr val="dk1"/>
              </a:solidFill>
              <a:effectLst/>
              <a:latin typeface="Segoe UI" panose="020B0502040204020203" pitchFamily="34" charset="0"/>
              <a:ea typeface="+mn-ea"/>
              <a:cs typeface="Segoe UI" panose="020B0502040204020203" pitchFamily="34" charset="0"/>
            </a:rPr>
            <a:t> 8800</a:t>
          </a:r>
          <a:r>
            <a:rPr lang="nl-NL" sz="900" b="0" baseline="0">
              <a:solidFill>
                <a:schemeClr val="dk1"/>
              </a:solidFill>
              <a:effectLst/>
              <a:latin typeface="Segoe UI" panose="020B0502040204020203" pitchFamily="34" charset="0"/>
              <a:ea typeface="+mn-ea"/>
              <a:cs typeface="Segoe UI" panose="020B0502040204020203" pitchFamily="34" charset="0"/>
            </a:rPr>
            <a:t>-berekening van een gebouw met meerdere gebruiksfuncties, moeten vóórdat ze gebruikt kunnen worden in MPG, DPG en GPR Gebouw, eerst worden omgezet naar resultaten per gebruiksfunctie. Dat gebeurt ook op dit rekenblad.</a:t>
          </a:r>
          <a:endParaRPr lang="nl-NL" sz="900">
            <a:effectLst/>
            <a:latin typeface="Segoe UI" panose="020B0502040204020203" pitchFamily="34" charset="0"/>
            <a:cs typeface="Segoe UI" panose="020B0502040204020203" pitchFamily="34" charset="0"/>
          </a:endParaRPr>
        </a:p>
        <a:p>
          <a:endParaRPr lang="nl-NL" sz="900" b="1">
            <a:solidFill>
              <a:schemeClr val="dk1"/>
            </a:solidFill>
            <a:effectLst/>
            <a:latin typeface="Segoe UI" panose="020B0502040204020203" pitchFamily="34" charset="0"/>
            <a:ea typeface="+mn-ea"/>
            <a:cs typeface="Segoe UI" panose="020B0502040204020203" pitchFamily="34" charset="0"/>
          </a:endParaRPr>
        </a:p>
        <a:p>
          <a:r>
            <a:rPr lang="nl-NL" sz="1100" b="1">
              <a:solidFill>
                <a:schemeClr val="dk1"/>
              </a:solidFill>
              <a:effectLst/>
              <a:latin typeface="+mn-lt"/>
              <a:ea typeface="+mn-ea"/>
              <a:cs typeface="+mn-cs"/>
            </a:rPr>
            <a:t>Werkwijze</a:t>
          </a:r>
          <a:endParaRPr lang="nl-NL" sz="900">
            <a:effectLst/>
          </a:endParaRPr>
        </a:p>
        <a:p>
          <a:r>
            <a:rPr lang="nl-NL" sz="1100">
              <a:solidFill>
                <a:schemeClr val="dk1"/>
              </a:solidFill>
              <a:effectLst/>
              <a:latin typeface="+mn-lt"/>
              <a:ea typeface="+mn-ea"/>
              <a:cs typeface="+mn-cs"/>
            </a:rPr>
            <a:t>1.  bepaal in welke versie van GPR Gebouw de energiegebruiken moeten worden ingevuld</a:t>
          </a:r>
          <a:endParaRPr lang="nl-NL" sz="900">
            <a:effectLst/>
          </a:endParaRPr>
        </a:p>
        <a:p>
          <a:r>
            <a:rPr lang="nl-NL" sz="1100">
              <a:solidFill>
                <a:schemeClr val="dk1"/>
              </a:solidFill>
              <a:effectLst/>
              <a:latin typeface="+mn-lt"/>
              <a:ea typeface="+mn-ea"/>
              <a:cs typeface="+mn-cs"/>
            </a:rPr>
            <a:t>2.  neem de berekende finale gebruiken ('meterstanden') van het combinatiegebouw voor de verschillende energiedragers over uit de energieprestatieberekening.</a:t>
          </a:r>
          <a:endParaRPr lang="nl-NL" sz="900">
            <a:effectLst/>
          </a:endParaRPr>
        </a:p>
        <a:p>
          <a:r>
            <a:rPr lang="nl-NL" sz="1100">
              <a:solidFill>
                <a:schemeClr val="dk1"/>
              </a:solidFill>
              <a:effectLst/>
              <a:latin typeface="+mn-lt"/>
              <a:ea typeface="+mn-ea"/>
              <a:cs typeface="+mn-cs"/>
            </a:rPr>
            <a:t>3. neem het totaal primair energiegebruik van het combinatiegebouw over uit de energieprestatieberekening en vul in onder ‘EP2’.</a:t>
          </a:r>
          <a:endParaRPr lang="nl-NL" sz="900">
            <a:effectLst/>
          </a:endParaRPr>
        </a:p>
        <a:p>
          <a:r>
            <a:rPr lang="nl-NL" sz="1100">
              <a:solidFill>
                <a:schemeClr val="dk1"/>
              </a:solidFill>
              <a:effectLst/>
              <a:latin typeface="+mn-lt"/>
              <a:ea typeface="+mn-ea"/>
              <a:cs typeface="+mn-cs"/>
            </a:rPr>
            <a:t>3.  neem de totale CO</a:t>
          </a:r>
          <a:r>
            <a:rPr lang="nl-NL" sz="1100" baseline="-25000">
              <a:solidFill>
                <a:schemeClr val="dk1"/>
              </a:solidFill>
              <a:effectLst/>
              <a:latin typeface="+mn-lt"/>
              <a:ea typeface="+mn-ea"/>
              <a:cs typeface="+mn-cs"/>
            </a:rPr>
            <a:t>2</a:t>
          </a:r>
          <a:r>
            <a:rPr lang="nl-NL" sz="1100">
              <a:solidFill>
                <a:schemeClr val="dk1"/>
              </a:solidFill>
              <a:effectLst/>
              <a:latin typeface="+mn-lt"/>
              <a:ea typeface="+mn-ea"/>
              <a:cs typeface="+mn-cs"/>
            </a:rPr>
            <a:t>-emissie in kg van het combinatiegebouw over uit de energieprestatieberekening en vul in onder ‘CO2’.</a:t>
          </a:r>
          <a:endParaRPr lang="nl-NL" sz="900">
            <a:effectLst/>
          </a:endParaRPr>
        </a:p>
        <a:p>
          <a:r>
            <a:rPr lang="nl-NL" sz="1100">
              <a:solidFill>
                <a:schemeClr val="dk1"/>
              </a:solidFill>
              <a:effectLst/>
              <a:latin typeface="+mn-lt"/>
              <a:ea typeface="+mn-ea"/>
              <a:cs typeface="+mn-cs"/>
            </a:rPr>
            <a:t>4.  neem de gebruiksoppervlakte per gebruiksfunctie en de gemeenschappelijke ruimten over uit de energieprestatiemethode en vul in onder ‘gebruiksoppervlakte per gebruiksfunctie’.</a:t>
          </a:r>
          <a:endParaRPr lang="nl-NL" sz="900">
            <a:effectLst/>
          </a:endParaRPr>
        </a:p>
        <a:p>
          <a:r>
            <a:rPr lang="nl-NL" sz="1100">
              <a:solidFill>
                <a:schemeClr val="dk1"/>
              </a:solidFill>
              <a:effectLst/>
              <a:latin typeface="+mn-lt"/>
              <a:ea typeface="+mn-ea"/>
              <a:cs typeface="+mn-cs"/>
            </a:rPr>
            <a:t>5.  neem de cijfers met oranje randen over in MPG of GPR Gebouw.</a:t>
          </a:r>
          <a:endParaRPr lang="nl-NL" sz="900">
            <a:effectLst/>
          </a:endParaRPr>
        </a:p>
        <a:p>
          <a:endParaRPr lang="nl-NL" sz="1100" b="1">
            <a:solidFill>
              <a:schemeClr val="dk1"/>
            </a:solidFill>
            <a:effectLst/>
            <a:latin typeface="+mn-lt"/>
            <a:ea typeface="+mn-ea"/>
            <a:cs typeface="+mn-cs"/>
          </a:endParaRPr>
        </a:p>
        <a:p>
          <a:r>
            <a:rPr lang="nl-NL" sz="1100" b="1">
              <a:solidFill>
                <a:schemeClr val="dk1"/>
              </a:solidFill>
              <a:effectLst/>
              <a:latin typeface="+mn-lt"/>
              <a:ea typeface="+mn-ea"/>
              <a:cs typeface="+mn-cs"/>
            </a:rPr>
            <a:t>Aanvullende resultaten</a:t>
          </a:r>
          <a:endParaRPr lang="nl-NL" sz="900">
            <a:effectLst/>
          </a:endParaRPr>
        </a:p>
        <a:p>
          <a:r>
            <a:rPr lang="nl-NL" sz="1100">
              <a:solidFill>
                <a:schemeClr val="dk1"/>
              </a:solidFill>
              <a:effectLst/>
              <a:latin typeface="+mn-lt"/>
              <a:ea typeface="+mn-ea"/>
              <a:cs typeface="+mn-cs"/>
            </a:rPr>
            <a:t>Aanvullend geeft dit rekenblad ook de berekende score op:</a:t>
          </a:r>
          <a:endParaRPr lang="nl-NL" sz="900">
            <a:effectLst/>
          </a:endParaRPr>
        </a:p>
        <a:p>
          <a:r>
            <a:rPr lang="nl-NL" sz="1100">
              <a:solidFill>
                <a:schemeClr val="dk1"/>
              </a:solidFill>
              <a:effectLst/>
              <a:latin typeface="+mn-lt"/>
              <a:ea typeface="+mn-ea"/>
              <a:cs typeface="+mn-cs"/>
            </a:rPr>
            <a:t>- subthema '1.1 Energieprestatie' </a:t>
          </a:r>
          <a:endParaRPr lang="nl-NL" sz="900">
            <a:effectLst/>
          </a:endParaRPr>
        </a:p>
        <a:p>
          <a:r>
            <a:rPr lang="nl-NL" sz="1100">
              <a:solidFill>
                <a:schemeClr val="dk1"/>
              </a:solidFill>
              <a:effectLst/>
              <a:latin typeface="+mn-lt"/>
              <a:ea typeface="+mn-ea"/>
              <a:cs typeface="+mn-cs"/>
            </a:rPr>
            <a:t>- CO</a:t>
          </a:r>
          <a:r>
            <a:rPr lang="nl-NL" sz="1100" baseline="-25000">
              <a:solidFill>
                <a:schemeClr val="dk1"/>
              </a:solidFill>
              <a:effectLst/>
              <a:latin typeface="+mn-lt"/>
              <a:ea typeface="+mn-ea"/>
              <a:cs typeface="+mn-cs"/>
            </a:rPr>
            <a:t>2</a:t>
          </a:r>
          <a:r>
            <a:rPr lang="nl-NL" sz="1100">
              <a:solidFill>
                <a:schemeClr val="dk1"/>
              </a:solidFill>
              <a:effectLst/>
              <a:latin typeface="+mn-lt"/>
              <a:ea typeface="+mn-ea"/>
              <a:cs typeface="+mn-cs"/>
            </a:rPr>
            <a:t>-emissiereductie ten opzichte van 2006 (ten behoeve van subthema '1.2 Energieprestatie, aanvullend'</a:t>
          </a:r>
          <a:endParaRPr lang="nl-NL" sz="900">
            <a:effectLst/>
          </a:endParaRPr>
        </a:p>
        <a:p>
          <a:r>
            <a:rPr lang="nl-NL" sz="1100">
              <a:solidFill>
                <a:schemeClr val="dk1"/>
              </a:solidFill>
              <a:effectLst/>
              <a:latin typeface="+mn-lt"/>
              <a:ea typeface="+mn-ea"/>
              <a:cs typeface="+mn-cs"/>
            </a:rPr>
            <a:t>- subthema '2.1 Milieuprestatie gebouw (MPG)'</a:t>
          </a:r>
          <a:endParaRPr lang="nl-NL" sz="900">
            <a:effectLst/>
          </a:endParaRPr>
        </a:p>
        <a:p>
          <a:r>
            <a:rPr lang="nl-NL" sz="1100">
              <a:solidFill>
                <a:schemeClr val="dk1"/>
              </a:solidFill>
              <a:effectLst/>
              <a:latin typeface="+mn-lt"/>
              <a:ea typeface="+mn-ea"/>
              <a:cs typeface="+mn-cs"/>
            </a:rPr>
            <a:t>- DPG-index en DPG (integrale combinatie van milieu-impact van energie- en materiaalgebruik)</a:t>
          </a:r>
          <a:endParaRPr lang="nl-NL" sz="900">
            <a:effectLst/>
          </a:endParaRPr>
        </a:p>
        <a:p>
          <a:r>
            <a:rPr lang="nl-NL" sz="1100">
              <a:solidFill>
                <a:schemeClr val="dk1"/>
              </a:solidFill>
              <a:effectLst/>
              <a:latin typeface="+mn-lt"/>
              <a:ea typeface="+mn-ea"/>
              <a:cs typeface="+mn-cs"/>
            </a:rPr>
            <a:t>- Klimaatmonitor (milieu-effect 'klimaatverandering' / 'global warming potential')</a:t>
          </a:r>
          <a:endParaRPr lang="nl-NL" sz="900">
            <a:effectLst/>
          </a:endParaRPr>
        </a:p>
        <a:p>
          <a:endParaRPr lang="nl-NL" sz="900">
            <a:effectLst/>
            <a:latin typeface="Segoe UI" panose="020B0502040204020203" pitchFamily="34" charset="0"/>
            <a:cs typeface="Segoe UI" panose="020B0502040204020203" pitchFamily="34"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20955</xdr:rowOff>
    </xdr:from>
    <xdr:to>
      <xdr:col>3</xdr:col>
      <xdr:colOff>685799</xdr:colOff>
      <xdr:row>1</xdr:row>
      <xdr:rowOff>0</xdr:rowOff>
    </xdr:to>
    <xdr:pic>
      <xdr:nvPicPr>
        <xdr:cNvPr id="2" name="Afbeelding 1">
          <a:extLst>
            <a:ext uri="{FF2B5EF4-FFF2-40B4-BE49-F238E27FC236}">
              <a16:creationId xmlns:a16="http://schemas.microsoft.com/office/drawing/2014/main" id="{EEF11F62-CDDA-4115-ADB3-0114B74388D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2" t="1554" b="16892"/>
        <a:stretch/>
      </xdr:blipFill>
      <xdr:spPr bwMode="auto">
        <a:xfrm>
          <a:off x="609600" y="20955"/>
          <a:ext cx="3095624" cy="3981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816429</xdr:colOff>
      <xdr:row>5</xdr:row>
      <xdr:rowOff>10886</xdr:rowOff>
    </xdr:from>
    <xdr:ext cx="3907971" cy="2398939"/>
    <xdr:sp macro="" textlink="">
      <xdr:nvSpPr>
        <xdr:cNvPr id="3" name="Tekstvak 2">
          <a:extLst>
            <a:ext uri="{FF2B5EF4-FFF2-40B4-BE49-F238E27FC236}">
              <a16:creationId xmlns:a16="http://schemas.microsoft.com/office/drawing/2014/main" id="{54E7BAA4-2C0F-4B57-8B02-E16C2C646769}"/>
            </a:ext>
          </a:extLst>
        </xdr:cNvPr>
        <xdr:cNvSpPr txBox="1"/>
      </xdr:nvSpPr>
      <xdr:spPr>
        <a:xfrm>
          <a:off x="5474154" y="1344386"/>
          <a:ext cx="3907971" cy="2398939"/>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nl-NL" sz="1050">
              <a:solidFill>
                <a:schemeClr val="tx1"/>
              </a:solidFill>
              <a:effectLst/>
              <a:latin typeface="+mn-lt"/>
              <a:ea typeface="+mn-ea"/>
              <a:cs typeface="+mn-cs"/>
            </a:rPr>
            <a:t>Wanneer een woon- of utiliteitsgebouw is aangesloten op een warmtenet en subthema 1.1 wordt ingevoerd op basis van de beschikbare energielabels, kan de CO2-emissiereductie in subthema 1.2 met dit rekenblad berekend worden. </a:t>
          </a:r>
        </a:p>
        <a:p>
          <a:endParaRPr lang="nl-NL" sz="1050" b="1">
            <a:solidFill>
              <a:schemeClr val="tx1"/>
            </a:solidFill>
            <a:effectLst/>
            <a:latin typeface="+mn-lt"/>
            <a:ea typeface="+mn-ea"/>
            <a:cs typeface="+mn-cs"/>
          </a:endParaRPr>
        </a:p>
        <a:p>
          <a:r>
            <a:rPr lang="nl-NL" sz="1050" b="1">
              <a:solidFill>
                <a:schemeClr val="tx1"/>
              </a:solidFill>
              <a:effectLst/>
              <a:latin typeface="+mn-lt"/>
              <a:ea typeface="+mn-ea"/>
              <a:cs typeface="+mn-cs"/>
            </a:rPr>
            <a:t>Werkwijze</a:t>
          </a:r>
          <a:endParaRPr lang="nl-NL" sz="1050">
            <a:solidFill>
              <a:schemeClr val="tx1"/>
            </a:solidFill>
            <a:effectLst/>
            <a:latin typeface="+mn-lt"/>
            <a:ea typeface="+mn-ea"/>
            <a:cs typeface="+mn-cs"/>
          </a:endParaRPr>
        </a:p>
        <a:p>
          <a:pPr lvl="0"/>
          <a:r>
            <a:rPr lang="nl-NL" sz="1050">
              <a:solidFill>
                <a:schemeClr val="tx1"/>
              </a:solidFill>
              <a:effectLst/>
              <a:latin typeface="+mn-lt"/>
              <a:ea typeface="+mn-ea"/>
              <a:cs typeface="+mn-cs"/>
            </a:rPr>
            <a:t>1. Kies de juiste gebruiksfunctie en bepalingsmethode en voer in de witte cellen de gevraagde gegevens in: het bovenste deel is voor woningen, het onderste deel voor utiliteit. </a:t>
          </a:r>
        </a:p>
        <a:p>
          <a:pPr marL="0" marR="0" lvl="0" indent="0" defTabSz="914400" eaLnBrk="1" fontAlgn="auto" latinLnBrk="0" hangingPunct="1">
            <a:lnSpc>
              <a:spcPct val="100000"/>
            </a:lnSpc>
            <a:spcBef>
              <a:spcPts val="0"/>
            </a:spcBef>
            <a:spcAft>
              <a:spcPts val="0"/>
            </a:spcAft>
            <a:buClrTx/>
            <a:buSzTx/>
            <a:buFontTx/>
            <a:buNone/>
            <a:tabLst/>
            <a:defRPr/>
          </a:pPr>
          <a:r>
            <a:rPr lang="nl-NL" sz="1050">
              <a:solidFill>
                <a:schemeClr val="tx1"/>
              </a:solidFill>
              <a:effectLst/>
              <a:latin typeface="+mn-lt"/>
              <a:ea typeface="+mn-ea"/>
              <a:cs typeface="+mn-cs"/>
            </a:rPr>
            <a:t>2.</a:t>
          </a:r>
          <a:r>
            <a:rPr lang="nl-NL" sz="1050" baseline="0">
              <a:solidFill>
                <a:schemeClr val="tx1"/>
              </a:solidFill>
              <a:effectLst/>
              <a:latin typeface="+mn-lt"/>
              <a:ea typeface="+mn-ea"/>
              <a:cs typeface="+mn-cs"/>
            </a:rPr>
            <a:t> </a:t>
          </a:r>
          <a:r>
            <a:rPr lang="nl-NL" sz="1050">
              <a:solidFill>
                <a:schemeClr val="tx1"/>
              </a:solidFill>
              <a:effectLst/>
              <a:latin typeface="+mn-lt"/>
              <a:ea typeface="+mn-ea"/>
              <a:cs typeface="+mn-cs"/>
            </a:rPr>
            <a:t>Voor gebouwen met meerdere eenheden kunnen de gemiddelde gegevens worden bepaald in het rekenblad ‘combineren woningen of gebouwunits’.  </a:t>
          </a:r>
        </a:p>
        <a:p>
          <a:pPr marL="0" marR="0" lvl="0" indent="0" defTabSz="914400" eaLnBrk="1" fontAlgn="auto" latinLnBrk="0" hangingPunct="1">
            <a:lnSpc>
              <a:spcPct val="100000"/>
            </a:lnSpc>
            <a:spcBef>
              <a:spcPts val="0"/>
            </a:spcBef>
            <a:spcAft>
              <a:spcPts val="0"/>
            </a:spcAft>
            <a:buClrTx/>
            <a:buSzTx/>
            <a:buFontTx/>
            <a:buNone/>
            <a:tabLst/>
            <a:defRPr/>
          </a:pPr>
          <a:r>
            <a:rPr lang="nl-NL" sz="1050">
              <a:solidFill>
                <a:schemeClr val="tx1"/>
              </a:solidFill>
              <a:effectLst/>
              <a:latin typeface="+mn-lt"/>
              <a:ea typeface="+mn-ea"/>
              <a:cs typeface="+mn-cs"/>
            </a:rPr>
            <a:t>3. De waarde die in de oranje-omrande cel verschijnt, wordt bij maatregel 1.2.2 ingevoerd. </a:t>
          </a:r>
          <a:endParaRPr lang="nl-NL" sz="1050">
            <a:effectLst/>
          </a:endParaRPr>
        </a:p>
      </xdr:txBody>
    </xdr:sp>
    <xdr:clientData/>
  </xdr:oneCellAnchor>
</xdr:wsDr>
</file>

<file path=xl/drawings/drawing9.xml><?xml version="1.0" encoding="utf-8"?>
<xdr:wsDr xmlns:xdr="http://schemas.openxmlformats.org/drawingml/2006/spreadsheetDrawing" xmlns:a="http://schemas.openxmlformats.org/drawingml/2006/main">
  <xdr:twoCellAnchor editAs="oneCell">
    <xdr:from>
      <xdr:col>10</xdr:col>
      <xdr:colOff>4077</xdr:colOff>
      <xdr:row>3</xdr:row>
      <xdr:rowOff>0</xdr:rowOff>
    </xdr:from>
    <xdr:to>
      <xdr:col>19</xdr:col>
      <xdr:colOff>0</xdr:colOff>
      <xdr:row>23</xdr:row>
      <xdr:rowOff>0</xdr:rowOff>
    </xdr:to>
    <xdr:graphicFrame macro="">
      <xdr:nvGraphicFramePr>
        <xdr:cNvPr id="2" name="Grafiek 1">
          <a:extLst>
            <a:ext uri="{FF2B5EF4-FFF2-40B4-BE49-F238E27FC236}">
              <a16:creationId xmlns:a16="http://schemas.microsoft.com/office/drawing/2014/main" id="{BD2E8A9B-F2A0-4E96-B702-A994638178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28</xdr:row>
      <xdr:rowOff>106018</xdr:rowOff>
    </xdr:from>
    <xdr:to>
      <xdr:col>19</xdr:col>
      <xdr:colOff>0</xdr:colOff>
      <xdr:row>31</xdr:row>
      <xdr:rowOff>65442</xdr:rowOff>
    </xdr:to>
    <xdr:sp macro="" textlink="">
      <xdr:nvSpPr>
        <xdr:cNvPr id="3" name="Rechthoek 2">
          <a:extLst>
            <a:ext uri="{FF2B5EF4-FFF2-40B4-BE49-F238E27FC236}">
              <a16:creationId xmlns:a16="http://schemas.microsoft.com/office/drawing/2014/main" id="{33D7497A-EA51-4CD9-B046-456319F74B02}"/>
            </a:ext>
          </a:extLst>
        </xdr:cNvPr>
        <xdr:cNvSpPr/>
      </xdr:nvSpPr>
      <xdr:spPr>
        <a:xfrm>
          <a:off x="8191500" y="5373343"/>
          <a:ext cx="3981450" cy="702374"/>
        </a:xfrm>
        <a:prstGeom prst="rect">
          <a:avLst/>
        </a:prstGeom>
        <a:solidFill>
          <a:schemeClr val="bg1"/>
        </a:solidFill>
        <a:ln w="12700">
          <a:solidFill>
            <a:schemeClr val="bg1">
              <a:lumMod val="85000"/>
            </a:schemeClr>
          </a:solidFill>
          <a:prstDash val="solid"/>
        </a:ln>
        <a:effectLst>
          <a:outerShdw blurRad="127000" dist="88900" dir="10800000" algn="r" rotWithShape="0">
            <a:schemeClr val="tx1">
              <a:lumMod val="50000"/>
              <a:lumOff val="50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18000" bIns="18000" rtlCol="0" anchor="ctr"/>
        <a:lstStyle/>
        <a:p>
          <a:pPr algn="l"/>
          <a:r>
            <a:rPr lang="nl-NL" sz="800" i="1">
              <a:solidFill>
                <a:schemeClr val="bg1">
                  <a:lumMod val="50000"/>
                </a:schemeClr>
              </a:solidFill>
            </a:rPr>
            <a:t>Disclaimer</a:t>
          </a:r>
        </a:p>
        <a:p>
          <a:pPr algn="l"/>
          <a:r>
            <a:rPr lang="nl-NL" sz="800">
              <a:solidFill>
                <a:schemeClr val="bg1">
                  <a:lumMod val="50000"/>
                </a:schemeClr>
              </a:solidFill>
            </a:rPr>
            <a:t>Aan de Quick Carbon Indicator kunnen geen rechten worden ontleend.</a:t>
          </a:r>
          <a:r>
            <a:rPr lang="nl-NL" sz="800" baseline="0">
              <a:solidFill>
                <a:schemeClr val="bg1">
                  <a:lumMod val="50000"/>
                </a:schemeClr>
              </a:solidFill>
            </a:rPr>
            <a:t> Hoewel dit instrument met de grootst mogelijke zorg is samengesteld kunnen NEPROM en DGBC geen enkele aansprakelijkheid aanvaarden voor schade als gevolg van eventuele onjuistheden en/of uitvoering of gebruik van het instrument.</a:t>
          </a:r>
          <a:endParaRPr lang="nl-NL" sz="800">
            <a:solidFill>
              <a:schemeClr val="bg1">
                <a:lumMod val="50000"/>
              </a:schemeClr>
            </a:solidFill>
          </a:endParaRPr>
        </a:p>
      </xdr:txBody>
    </xdr:sp>
    <xdr:clientData/>
  </xdr:twoCellAnchor>
  <xdr:twoCellAnchor>
    <xdr:from>
      <xdr:col>10</xdr:col>
      <xdr:colOff>0</xdr:colOff>
      <xdr:row>24</xdr:row>
      <xdr:rowOff>0</xdr:rowOff>
    </xdr:from>
    <xdr:to>
      <xdr:col>19</xdr:col>
      <xdr:colOff>0</xdr:colOff>
      <xdr:row>28</xdr:row>
      <xdr:rowOff>0</xdr:rowOff>
    </xdr:to>
    <xdr:sp macro="" textlink="">
      <xdr:nvSpPr>
        <xdr:cNvPr id="4" name="Rechthoek 3">
          <a:extLst>
            <a:ext uri="{FF2B5EF4-FFF2-40B4-BE49-F238E27FC236}">
              <a16:creationId xmlns:a16="http://schemas.microsoft.com/office/drawing/2014/main" id="{211251C1-031B-41B1-BCD5-D64E67143BA6}"/>
            </a:ext>
          </a:extLst>
        </xdr:cNvPr>
        <xdr:cNvSpPr/>
      </xdr:nvSpPr>
      <xdr:spPr>
        <a:xfrm>
          <a:off x="8191500" y="4562475"/>
          <a:ext cx="3981450" cy="704850"/>
        </a:xfrm>
        <a:prstGeom prst="rect">
          <a:avLst/>
        </a:prstGeom>
        <a:solidFill>
          <a:schemeClr val="bg1"/>
        </a:solidFill>
        <a:ln w="12700">
          <a:solidFill>
            <a:schemeClr val="bg1">
              <a:lumMod val="85000"/>
            </a:schemeClr>
          </a:solidFill>
          <a:prstDash val="solid"/>
        </a:ln>
        <a:effectLst>
          <a:outerShdw blurRad="127000" dist="88900" dir="10800000" algn="r" rotWithShape="0">
            <a:schemeClr val="tx1">
              <a:lumMod val="50000"/>
              <a:lumOff val="50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nl-NL" sz="1100" baseline="0">
              <a:solidFill>
                <a:schemeClr val="tx1">
                  <a:lumMod val="50000"/>
                  <a:lumOff val="50000"/>
                </a:schemeClr>
              </a:solidFill>
              <a:effectLst/>
              <a:latin typeface="+mn-lt"/>
              <a:ea typeface="+mn-ea"/>
              <a:cs typeface="+mn-cs"/>
            </a:rPr>
            <a:t>In opdracht van:</a:t>
          </a:r>
          <a:endParaRPr lang="nl-NL" sz="1100" baseline="0">
            <a:solidFill>
              <a:schemeClr val="tx1">
                <a:lumMod val="50000"/>
                <a:lumOff val="50000"/>
              </a:schemeClr>
            </a:solidFill>
          </a:endParaRPr>
        </a:p>
        <a:p>
          <a:pPr algn="l"/>
          <a:endParaRPr lang="nl-NL" sz="800" baseline="0">
            <a:solidFill>
              <a:schemeClr val="tx1">
                <a:lumMod val="50000"/>
                <a:lumOff val="50000"/>
              </a:schemeClr>
            </a:solidFill>
          </a:endParaRPr>
        </a:p>
        <a:p>
          <a:pPr algn="l"/>
          <a:r>
            <a:rPr lang="nl-NL" sz="1100">
              <a:solidFill>
                <a:schemeClr val="tx1">
                  <a:lumMod val="50000"/>
                  <a:lumOff val="50000"/>
                </a:schemeClr>
              </a:solidFill>
              <a:effectLst/>
              <a:latin typeface="+mn-lt"/>
              <a:ea typeface="+mn-ea"/>
              <a:cs typeface="+mn-cs"/>
            </a:rPr>
            <a:t>Uitgevoerd</a:t>
          </a:r>
          <a:r>
            <a:rPr lang="nl-NL" sz="1100" baseline="0">
              <a:solidFill>
                <a:schemeClr val="tx1">
                  <a:lumMod val="50000"/>
                  <a:lumOff val="50000"/>
                </a:schemeClr>
              </a:solidFill>
              <a:effectLst/>
              <a:latin typeface="+mn-lt"/>
              <a:ea typeface="+mn-ea"/>
              <a:cs typeface="+mn-cs"/>
            </a:rPr>
            <a:t> door:</a:t>
          </a:r>
          <a:endParaRPr lang="nl-NL" sz="1100">
            <a:solidFill>
              <a:schemeClr val="tx1">
                <a:lumMod val="50000"/>
                <a:lumOff val="50000"/>
              </a:schemeClr>
            </a:solidFill>
          </a:endParaRPr>
        </a:p>
      </xdr:txBody>
    </xdr:sp>
    <xdr:clientData/>
  </xdr:twoCellAnchor>
  <xdr:twoCellAnchor editAs="oneCell">
    <xdr:from>
      <xdr:col>12</xdr:col>
      <xdr:colOff>178504</xdr:colOff>
      <xdr:row>25</xdr:row>
      <xdr:rowOff>100459</xdr:rowOff>
    </xdr:from>
    <xdr:to>
      <xdr:col>18</xdr:col>
      <xdr:colOff>397809</xdr:colOff>
      <xdr:row>27</xdr:row>
      <xdr:rowOff>20536</xdr:rowOff>
    </xdr:to>
    <xdr:grpSp>
      <xdr:nvGrpSpPr>
        <xdr:cNvPr id="5" name="Groep 4">
          <a:extLst>
            <a:ext uri="{FF2B5EF4-FFF2-40B4-BE49-F238E27FC236}">
              <a16:creationId xmlns:a16="http://schemas.microsoft.com/office/drawing/2014/main" id="{CB168898-F879-4FC8-A903-FDB5BB506055}"/>
            </a:ext>
          </a:extLst>
        </xdr:cNvPr>
        <xdr:cNvGrpSpPr/>
      </xdr:nvGrpSpPr>
      <xdr:grpSpPr>
        <a:xfrm>
          <a:off x="9820979" y="4980434"/>
          <a:ext cx="2711680" cy="288377"/>
          <a:chOff x="9287313" y="4487826"/>
          <a:chExt cx="2970584" cy="315998"/>
        </a:xfrm>
      </xdr:grpSpPr>
      <xdr:pic>
        <xdr:nvPicPr>
          <xdr:cNvPr id="6" name="Picture 2005521876" descr="Logo Copper8 200×200 – Kenniskaarten – het Groene Brein">
            <a:extLst>
              <a:ext uri="{FF2B5EF4-FFF2-40B4-BE49-F238E27FC236}">
                <a16:creationId xmlns:a16="http://schemas.microsoft.com/office/drawing/2014/main" id="{A17F664A-6938-9D5B-B83E-9ED01D4D881A}"/>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34500" b="41990"/>
          <a:stretch/>
        </xdr:blipFill>
        <xdr:spPr bwMode="auto">
          <a:xfrm>
            <a:off x="9997427" y="4488584"/>
            <a:ext cx="1075651" cy="253950"/>
          </a:xfrm>
          <a:prstGeom prst="rect">
            <a:avLst/>
          </a:prstGeom>
          <a:noFill/>
          <a:ln>
            <a:noFill/>
          </a:ln>
          <a:extLst>
            <a:ext uri="{53640926-AAD7-44D8-BBD7-CCE9431645EC}">
              <a14:shadowObscured xmlns:a14="http://schemas.microsoft.com/office/drawing/2010/main"/>
            </a:ext>
          </a:extLst>
        </xdr:spPr>
      </xdr:pic>
      <xdr:pic>
        <xdr:nvPicPr>
          <xdr:cNvPr id="7" name="Picture 1941999852" descr="NIBE | Experts in sustainability">
            <a:extLst>
              <a:ext uri="{FF2B5EF4-FFF2-40B4-BE49-F238E27FC236}">
                <a16:creationId xmlns:a16="http://schemas.microsoft.com/office/drawing/2014/main" id="{280724B4-92FE-55E6-F063-97BE26F2DD7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287313" y="4487826"/>
            <a:ext cx="534215" cy="301585"/>
          </a:xfrm>
          <a:prstGeom prst="rect">
            <a:avLst/>
          </a:prstGeom>
          <a:noFill/>
          <a:ln>
            <a:noFill/>
          </a:ln>
        </xdr:spPr>
      </xdr:pic>
      <xdr:pic>
        <xdr:nvPicPr>
          <xdr:cNvPr id="8" name="Picture 2114541842" descr="W/E adviseurs">
            <a:extLst>
              <a:ext uri="{FF2B5EF4-FFF2-40B4-BE49-F238E27FC236}">
                <a16:creationId xmlns:a16="http://schemas.microsoft.com/office/drawing/2014/main" id="{9908AF32-C050-15C1-BCCC-470ACFAE8CF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1217926" y="4499868"/>
            <a:ext cx="1039971" cy="303956"/>
          </a:xfrm>
          <a:prstGeom prst="rect">
            <a:avLst/>
          </a:prstGeom>
          <a:noFill/>
          <a:ln>
            <a:noFill/>
          </a:ln>
        </xdr:spPr>
      </xdr:pic>
    </xdr:grpSp>
    <xdr:clientData/>
  </xdr:twoCellAnchor>
  <xdr:twoCellAnchor editAs="oneCell">
    <xdr:from>
      <xdr:col>12</xdr:col>
      <xdr:colOff>168288</xdr:colOff>
      <xdr:row>24</xdr:row>
      <xdr:rowOff>105583</xdr:rowOff>
    </xdr:from>
    <xdr:to>
      <xdr:col>16</xdr:col>
      <xdr:colOff>73871</xdr:colOff>
      <xdr:row>25</xdr:row>
      <xdr:rowOff>60228</xdr:rowOff>
    </xdr:to>
    <xdr:grpSp>
      <xdr:nvGrpSpPr>
        <xdr:cNvPr id="9" name="Groep 8">
          <a:extLst>
            <a:ext uri="{FF2B5EF4-FFF2-40B4-BE49-F238E27FC236}">
              <a16:creationId xmlns:a16="http://schemas.microsoft.com/office/drawing/2014/main" id="{E6A66EF7-5475-4D13-B8F0-3D283B4C0E5C}"/>
            </a:ext>
          </a:extLst>
        </xdr:cNvPr>
        <xdr:cNvGrpSpPr/>
      </xdr:nvGrpSpPr>
      <xdr:grpSpPr>
        <a:xfrm>
          <a:off x="9807588" y="4712508"/>
          <a:ext cx="1658183" cy="224520"/>
          <a:chOff x="9241923" y="4818270"/>
          <a:chExt cx="1822883" cy="252000"/>
        </a:xfrm>
      </xdr:grpSpPr>
      <xdr:pic>
        <xdr:nvPicPr>
          <xdr:cNvPr id="10" name="Picture 2118301470" descr="Home - Dutch Green Building Council">
            <a:extLst>
              <a:ext uri="{FF2B5EF4-FFF2-40B4-BE49-F238E27FC236}">
                <a16:creationId xmlns:a16="http://schemas.microsoft.com/office/drawing/2014/main" id="{B3D3074E-1BAF-18B4-4EDE-0D0B2477936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0470013" y="4818270"/>
            <a:ext cx="594793" cy="252000"/>
          </a:xfrm>
          <a:prstGeom prst="rect">
            <a:avLst/>
          </a:prstGeom>
          <a:noFill/>
          <a:ln>
            <a:noFill/>
          </a:ln>
        </xdr:spPr>
      </xdr:pic>
      <xdr:pic>
        <xdr:nvPicPr>
          <xdr:cNvPr id="11" name="Afbeelding 10">
            <a:extLst>
              <a:ext uri="{FF2B5EF4-FFF2-40B4-BE49-F238E27FC236}">
                <a16:creationId xmlns:a16="http://schemas.microsoft.com/office/drawing/2014/main" id="{EB095C12-8435-1435-E1E7-638FDD8320FC}"/>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8475" t="26481" r="7035" b="25415"/>
          <a:stretch/>
        </xdr:blipFill>
        <xdr:spPr>
          <a:xfrm>
            <a:off x="9241923" y="4858179"/>
            <a:ext cx="1055766" cy="174198"/>
          </a:xfrm>
          <a:prstGeom prst="rect">
            <a:avLst/>
          </a:prstGeom>
        </xdr:spPr>
      </xdr:pic>
    </xdr:grpSp>
    <xdr:clientData/>
  </xdr:twoCellAnchor>
  <xdr:twoCellAnchor editAs="absolute">
    <xdr:from>
      <xdr:col>1</xdr:col>
      <xdr:colOff>0</xdr:colOff>
      <xdr:row>0</xdr:row>
      <xdr:rowOff>20955</xdr:rowOff>
    </xdr:from>
    <xdr:to>
      <xdr:col>3</xdr:col>
      <xdr:colOff>457575</xdr:colOff>
      <xdr:row>1</xdr:row>
      <xdr:rowOff>10980</xdr:rowOff>
    </xdr:to>
    <xdr:pic>
      <xdr:nvPicPr>
        <xdr:cNvPr id="12" name="Afbeelding 11">
          <a:extLst>
            <a:ext uri="{FF2B5EF4-FFF2-40B4-BE49-F238E27FC236}">
              <a16:creationId xmlns:a16="http://schemas.microsoft.com/office/drawing/2014/main" id="{33CFC32C-92D8-4FD4-89C8-319BF234E5B9}"/>
            </a:ext>
          </a:extLst>
        </xdr:cNvPr>
        <xdr:cNvPicPr>
          <a:picLocks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222" t="1554" b="16892"/>
        <a:stretch/>
      </xdr:blipFill>
      <xdr:spPr bwMode="auto">
        <a:xfrm>
          <a:off x="381000" y="20955"/>
          <a:ext cx="3096000" cy="39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20955</xdr:rowOff>
    </xdr:from>
    <xdr:to>
      <xdr:col>3</xdr:col>
      <xdr:colOff>685799</xdr:colOff>
      <xdr:row>1</xdr:row>
      <xdr:rowOff>0</xdr:rowOff>
    </xdr:to>
    <xdr:pic>
      <xdr:nvPicPr>
        <xdr:cNvPr id="3" name="Afbeelding 2">
          <a:extLst>
            <a:ext uri="{FF2B5EF4-FFF2-40B4-BE49-F238E27FC236}">
              <a16:creationId xmlns:a16="http://schemas.microsoft.com/office/drawing/2014/main" id="{F6EF2DAD-0BCB-4B86-9B56-453958F7D47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2" t="1554" b="16892"/>
        <a:stretch/>
      </xdr:blipFill>
      <xdr:spPr bwMode="auto">
        <a:xfrm>
          <a:off x="714375" y="20955"/>
          <a:ext cx="3095624" cy="3981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5</xdr:row>
      <xdr:rowOff>0</xdr:rowOff>
    </xdr:from>
    <xdr:ext cx="5314949" cy="1971676"/>
    <xdr:sp macro="" textlink="">
      <xdr:nvSpPr>
        <xdr:cNvPr id="5" name="Tekstvak 4">
          <a:hlinkClick xmlns:r="http://schemas.openxmlformats.org/officeDocument/2006/relationships" r:id="rId2"/>
          <a:extLst>
            <a:ext uri="{FF2B5EF4-FFF2-40B4-BE49-F238E27FC236}">
              <a16:creationId xmlns:a16="http://schemas.microsoft.com/office/drawing/2014/main" id="{2087BF11-BDD0-41CF-833A-5EF31BC86FC5}"/>
            </a:ext>
          </a:extLst>
        </xdr:cNvPr>
        <xdr:cNvSpPr txBox="1"/>
      </xdr:nvSpPr>
      <xdr:spPr>
        <a:xfrm>
          <a:off x="5305425" y="1333500"/>
          <a:ext cx="5314949" cy="1971676"/>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nl-NL" sz="1000">
              <a:solidFill>
                <a:schemeClr val="tx1"/>
              </a:solidFill>
              <a:effectLst/>
              <a:latin typeface="+mn-lt"/>
              <a:ea typeface="+mn-ea"/>
              <a:cs typeface="+mn-cs"/>
            </a:rPr>
            <a:t>Indien wordt</a:t>
          </a:r>
          <a:r>
            <a:rPr lang="nl-NL" sz="1000" baseline="0">
              <a:solidFill>
                <a:schemeClr val="tx1"/>
              </a:solidFill>
              <a:effectLst/>
              <a:latin typeface="+mn-lt"/>
              <a:ea typeface="+mn-ea"/>
              <a:cs typeface="+mn-cs"/>
            </a:rPr>
            <a:t> afgeweken van de default gebouwlevensduur kan met dit rekenblad de specifieke gebouwlevensduur worden bepaald. </a:t>
          </a:r>
          <a:r>
            <a:rPr lang="nl-NL" sz="1000">
              <a:solidFill>
                <a:schemeClr val="tx1"/>
              </a:solidFill>
              <a:effectLst/>
              <a:latin typeface="+mn-lt"/>
              <a:ea typeface="+mn-ea"/>
              <a:cs typeface="+mn-cs"/>
            </a:rPr>
            <a:t>Dat mag alleen als de afwijking goed kan</a:t>
          </a:r>
          <a:r>
            <a:rPr lang="nl-NL" sz="1000" baseline="0">
              <a:solidFill>
                <a:schemeClr val="tx1"/>
              </a:solidFill>
              <a:effectLst/>
              <a:latin typeface="+mn-lt"/>
              <a:ea typeface="+mn-ea"/>
              <a:cs typeface="+mn-cs"/>
            </a:rPr>
            <a:t> worden onderbouwd. Richtlijn is dat wanneer de opties 'goed' of 'uitmuntend' worden gekozen in het veld hieronder er een juiste onderbouwing beschikbaar is. Zie hiervoor ook Bijlage 4 van het rapport 'Onderzoek ‘Richtlijn specifieke gebouwlevensduur’, te downloaden via https://milieudatabase.nl/nl/downloads-plugin/download/80/</a:t>
          </a:r>
        </a:p>
        <a:p>
          <a:endParaRPr lang="nl-NL" sz="1000" b="1">
            <a:solidFill>
              <a:schemeClr val="tx1"/>
            </a:solidFill>
            <a:effectLst/>
            <a:latin typeface="+mn-lt"/>
            <a:ea typeface="+mn-ea"/>
            <a:cs typeface="+mn-cs"/>
          </a:endParaRPr>
        </a:p>
        <a:p>
          <a:r>
            <a:rPr lang="nl-NL" sz="1000" b="1">
              <a:solidFill>
                <a:schemeClr val="tx1"/>
              </a:solidFill>
              <a:effectLst/>
              <a:latin typeface="+mn-lt"/>
              <a:ea typeface="+mn-ea"/>
              <a:cs typeface="+mn-cs"/>
            </a:rPr>
            <a:t>Werkwijze</a:t>
          </a:r>
          <a:endParaRPr lang="nl-NL" sz="1000">
            <a:solidFill>
              <a:schemeClr val="tx1"/>
            </a:solidFill>
            <a:effectLst/>
            <a:latin typeface="+mn-lt"/>
            <a:ea typeface="+mn-ea"/>
            <a:cs typeface="+mn-cs"/>
          </a:endParaRPr>
        </a:p>
        <a:p>
          <a:pPr lvl="0"/>
          <a:r>
            <a:rPr lang="nl-NL" sz="1000">
              <a:solidFill>
                <a:schemeClr val="tx1"/>
              </a:solidFill>
              <a:effectLst/>
              <a:latin typeface="+mn-lt"/>
              <a:ea typeface="+mn-ea"/>
              <a:cs typeface="+mn-cs"/>
            </a:rPr>
            <a:t>1. geef aan of het om een woonfunctie of utilitaire</a:t>
          </a:r>
          <a:r>
            <a:rPr lang="nl-NL" sz="1000" baseline="0">
              <a:solidFill>
                <a:schemeClr val="tx1"/>
              </a:solidFill>
              <a:effectLst/>
              <a:latin typeface="+mn-lt"/>
              <a:ea typeface="+mn-ea"/>
              <a:cs typeface="+mn-cs"/>
            </a:rPr>
            <a:t> functie gaat.</a:t>
          </a:r>
          <a:endParaRPr lang="nl-NL" sz="1000">
            <a:solidFill>
              <a:schemeClr val="tx1"/>
            </a:solidFill>
            <a:effectLst/>
            <a:latin typeface="+mn-lt"/>
            <a:ea typeface="+mn-ea"/>
            <a:cs typeface="+mn-cs"/>
          </a:endParaRPr>
        </a:p>
        <a:p>
          <a:pPr lvl="0"/>
          <a:r>
            <a:rPr lang="nl-NL" sz="1000">
              <a:solidFill>
                <a:schemeClr val="tx1"/>
              </a:solidFill>
              <a:effectLst/>
              <a:latin typeface="+mn-lt"/>
              <a:ea typeface="+mn-ea"/>
              <a:cs typeface="+mn-cs"/>
            </a:rPr>
            <a:t>2. geef per kenmerk aan of het gebouw 'standaard', 'goed'</a:t>
          </a:r>
          <a:r>
            <a:rPr lang="nl-NL" sz="1000" baseline="0">
              <a:solidFill>
                <a:schemeClr val="tx1"/>
              </a:solidFill>
              <a:effectLst/>
              <a:latin typeface="+mn-lt"/>
              <a:ea typeface="+mn-ea"/>
              <a:cs typeface="+mn-cs"/>
            </a:rPr>
            <a:t> of 'uitmuntend' scoort.</a:t>
          </a:r>
          <a:endParaRPr lang="nl-NL" sz="1000">
            <a:solidFill>
              <a:schemeClr val="tx1"/>
            </a:solidFill>
            <a:effectLst/>
            <a:latin typeface="+mn-lt"/>
            <a:ea typeface="+mn-ea"/>
            <a:cs typeface="+mn-cs"/>
          </a:endParaRPr>
        </a:p>
        <a:p>
          <a:pPr lvl="0"/>
          <a:r>
            <a:rPr lang="nl-NL" sz="1000">
              <a:solidFill>
                <a:schemeClr val="tx1"/>
              </a:solidFill>
              <a:effectLst/>
              <a:latin typeface="+mn-lt"/>
              <a:ea typeface="+mn-ea"/>
              <a:cs typeface="+mn-cs"/>
            </a:rPr>
            <a:t>3. denk aan een onderbouwing</a:t>
          </a:r>
          <a:r>
            <a:rPr lang="nl-NL" sz="1000" baseline="0">
              <a:solidFill>
                <a:schemeClr val="tx1"/>
              </a:solidFill>
              <a:effectLst/>
              <a:latin typeface="+mn-lt"/>
              <a:ea typeface="+mn-ea"/>
              <a:cs typeface="+mn-cs"/>
            </a:rPr>
            <a:t> bij het maken van een keuze.</a:t>
          </a:r>
          <a:endParaRPr lang="nl-NL" sz="100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nl-NL" sz="1000">
              <a:solidFill>
                <a:schemeClr val="tx1"/>
              </a:solidFill>
              <a:effectLst/>
              <a:latin typeface="+mn-lt"/>
              <a:ea typeface="+mn-ea"/>
              <a:cs typeface="+mn-cs"/>
            </a:rPr>
            <a:t>4. neem het cijfer met oranje randen over in MPG of GPR Gebouw.</a:t>
          </a:r>
          <a:endParaRPr lang="nl-NL" sz="1000"/>
        </a:p>
      </xdr:txBody>
    </xdr:sp>
    <xdr:clientData/>
  </xdr:one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20955</xdr:rowOff>
    </xdr:from>
    <xdr:to>
      <xdr:col>3</xdr:col>
      <xdr:colOff>1693544</xdr:colOff>
      <xdr:row>1</xdr:row>
      <xdr:rowOff>0</xdr:rowOff>
    </xdr:to>
    <xdr:pic>
      <xdr:nvPicPr>
        <xdr:cNvPr id="2" name="Afbeelding 1">
          <a:extLst>
            <a:ext uri="{FF2B5EF4-FFF2-40B4-BE49-F238E27FC236}">
              <a16:creationId xmlns:a16="http://schemas.microsoft.com/office/drawing/2014/main" id="{1FBC6602-E686-45F9-B48D-F571A866A155}"/>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2" t="1554" b="16892"/>
        <a:stretch/>
      </xdr:blipFill>
      <xdr:spPr bwMode="auto">
        <a:xfrm>
          <a:off x="693420" y="20955"/>
          <a:ext cx="3436619"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446314</xdr:colOff>
      <xdr:row>5</xdr:row>
      <xdr:rowOff>10887</xdr:rowOff>
    </xdr:from>
    <xdr:ext cx="4239986" cy="1458685"/>
    <xdr:sp macro="" textlink="">
      <xdr:nvSpPr>
        <xdr:cNvPr id="3" name="Tekstvak 2">
          <a:extLst>
            <a:ext uri="{FF2B5EF4-FFF2-40B4-BE49-F238E27FC236}">
              <a16:creationId xmlns:a16="http://schemas.microsoft.com/office/drawing/2014/main" id="{570E07E2-053F-4225-BC93-C1F187210D4A}"/>
            </a:ext>
          </a:extLst>
        </xdr:cNvPr>
        <xdr:cNvSpPr txBox="1"/>
      </xdr:nvSpPr>
      <xdr:spPr>
        <a:xfrm>
          <a:off x="7433854" y="1412967"/>
          <a:ext cx="4239986" cy="1458685"/>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tIns="10800" bIns="10800" rtlCol="0" anchor="t">
          <a:noAutofit/>
        </a:bodyPr>
        <a:lstStyle/>
        <a:p>
          <a:r>
            <a:rPr lang="nl-NL" sz="1000">
              <a:solidFill>
                <a:schemeClr val="tx1"/>
              </a:solidFill>
              <a:effectLst/>
              <a:latin typeface="+mn-lt"/>
              <a:ea typeface="+mn-ea"/>
              <a:cs typeface="+mn-cs"/>
            </a:rPr>
            <a:t>De kruisjeslijst geeft voor verschillende gebruiksfuncties aan welke gebouwelementen moeten worden meegenomen in een GPR berekening:</a:t>
          </a:r>
        </a:p>
        <a:p>
          <a:endParaRPr lang="nl-NL" sz="1000">
            <a:solidFill>
              <a:schemeClr val="tx1"/>
            </a:solidFill>
            <a:effectLst/>
            <a:latin typeface="+mn-lt"/>
            <a:ea typeface="+mn-ea"/>
            <a:cs typeface="+mn-cs"/>
          </a:endParaRPr>
        </a:p>
        <a:p>
          <a:r>
            <a:rPr lang="nl-NL" sz="1000">
              <a:solidFill>
                <a:schemeClr val="tx1"/>
              </a:solidFill>
              <a:effectLst/>
              <a:latin typeface="+mn-lt"/>
              <a:ea typeface="+mn-ea"/>
              <a:cs typeface="+mn-cs"/>
            </a:rPr>
            <a:t>x</a:t>
          </a:r>
          <a:r>
            <a:rPr lang="nl-NL" sz="1000" baseline="0">
              <a:solidFill>
                <a:schemeClr val="tx1"/>
              </a:solidFill>
              <a:effectLst/>
              <a:latin typeface="+mn-lt"/>
              <a:ea typeface="+mn-ea"/>
              <a:cs typeface="+mn-cs"/>
            </a:rPr>
            <a:t> = nodig voor een berekening in GPR Gebouw</a:t>
          </a:r>
        </a:p>
        <a:p>
          <a:r>
            <a:rPr lang="nl-NL" sz="1000" baseline="0">
              <a:solidFill>
                <a:srgbClr val="FF0000"/>
              </a:solidFill>
              <a:effectLst/>
              <a:latin typeface="+mn-lt"/>
              <a:ea typeface="+mn-ea"/>
              <a:cs typeface="+mn-cs"/>
            </a:rPr>
            <a:t>x </a:t>
          </a:r>
          <a:r>
            <a:rPr lang="nl-NL" sz="1000" baseline="0">
              <a:solidFill>
                <a:schemeClr val="tx1"/>
              </a:solidFill>
              <a:effectLst/>
              <a:latin typeface="+mn-lt"/>
              <a:ea typeface="+mn-ea"/>
              <a:cs typeface="+mn-cs"/>
            </a:rPr>
            <a:t>= </a:t>
          </a:r>
          <a:r>
            <a:rPr lang="nl-NL" sz="1000">
              <a:solidFill>
                <a:schemeClr val="tx1"/>
              </a:solidFill>
              <a:effectLst/>
              <a:latin typeface="+mn-lt"/>
              <a:ea typeface="+mn-ea"/>
              <a:cs typeface="+mn-cs"/>
            </a:rPr>
            <a:t>aanvullend nodig voor GPR gebouw, maar niet voor Bouwbesluit/vergunningsaanvraag. Vanaf</a:t>
          </a:r>
          <a:r>
            <a:rPr lang="nl-NL" sz="1000" baseline="0">
              <a:solidFill>
                <a:schemeClr val="tx1"/>
              </a:solidFill>
              <a:effectLst/>
              <a:latin typeface="+mn-lt"/>
              <a:ea typeface="+mn-ea"/>
              <a:cs typeface="+mn-cs"/>
            </a:rPr>
            <a:t> de "bijeenkomstfunctie" heeft W/E adviseurs rode kruisen toegevoegd omdat de Bepalingsmethode hier niets over zegt. </a:t>
          </a:r>
          <a:endParaRPr lang="nl-NL" sz="1000">
            <a:solidFill>
              <a:schemeClr val="tx1"/>
            </a:solidFill>
            <a:effectLst/>
            <a:latin typeface="+mn-lt"/>
            <a:ea typeface="+mn-ea"/>
            <a:cs typeface="+mn-cs"/>
          </a:endParaRPr>
        </a:p>
        <a:p>
          <a:r>
            <a:rPr lang="nl-NL" sz="1000">
              <a:solidFill>
                <a:schemeClr val="tx1"/>
              </a:solidFill>
              <a:effectLst/>
              <a:latin typeface="+mn-lt"/>
              <a:ea typeface="+mn-ea"/>
              <a:cs typeface="+mn-cs"/>
            </a:rPr>
            <a:t>O = niet nodig voor GPR Gebouw of Bouwbesluit/vergunningsaanvraag.</a:t>
          </a:r>
        </a:p>
        <a:p>
          <a:pPr lvl="0"/>
          <a:endParaRPr lang="nl-NL" sz="1000">
            <a:effectLst/>
          </a:endParaRPr>
        </a:p>
      </xdr:txBody>
    </xdr:sp>
    <xdr:clientData/>
  </xdr:oneCellAnchor>
</xdr:wsDr>
</file>

<file path=xl/drawings/drawing12.xml><?xml version="1.0" encoding="utf-8"?>
<xdr:wsDr xmlns:xdr="http://schemas.openxmlformats.org/drawingml/2006/spreadsheetDrawing" xmlns:a="http://schemas.openxmlformats.org/drawingml/2006/main">
  <xdr:twoCellAnchor editAs="oneCell">
    <xdr:from>
      <xdr:col>1</xdr:col>
      <xdr:colOff>19050</xdr:colOff>
      <xdr:row>0</xdr:row>
      <xdr:rowOff>20955</xdr:rowOff>
    </xdr:from>
    <xdr:to>
      <xdr:col>4</xdr:col>
      <xdr:colOff>22859</xdr:colOff>
      <xdr:row>1</xdr:row>
      <xdr:rowOff>0</xdr:rowOff>
    </xdr:to>
    <xdr:pic>
      <xdr:nvPicPr>
        <xdr:cNvPr id="4" name="Afbeelding 3">
          <a:extLst>
            <a:ext uri="{FF2B5EF4-FFF2-40B4-BE49-F238E27FC236}">
              <a16:creationId xmlns:a16="http://schemas.microsoft.com/office/drawing/2014/main" id="{3712C849-CF6A-4AEB-9F8A-437373FD505A}"/>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2" t="1554" b="16892"/>
        <a:stretch/>
      </xdr:blipFill>
      <xdr:spPr bwMode="auto">
        <a:xfrm>
          <a:off x="733425" y="20955"/>
          <a:ext cx="3095624" cy="3981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469900</xdr:colOff>
      <xdr:row>4</xdr:row>
      <xdr:rowOff>215670</xdr:rowOff>
    </xdr:from>
    <xdr:to>
      <xdr:col>17</xdr:col>
      <xdr:colOff>932119</xdr:colOff>
      <xdr:row>11</xdr:row>
      <xdr:rowOff>17780</xdr:rowOff>
    </xdr:to>
    <xdr:pic>
      <xdr:nvPicPr>
        <xdr:cNvPr id="2" name="Afbeelding 1">
          <a:extLst>
            <a:ext uri="{FF2B5EF4-FFF2-40B4-BE49-F238E27FC236}">
              <a16:creationId xmlns:a16="http://schemas.microsoft.com/office/drawing/2014/main" id="{A75971FC-3C30-46B5-AB1B-0AF1A36A45B7}"/>
            </a:ext>
          </a:extLst>
        </xdr:cNvPr>
        <xdr:cNvPicPr>
          <a:picLocks noChangeAspect="1"/>
        </xdr:cNvPicPr>
      </xdr:nvPicPr>
      <xdr:blipFill rotWithShape="1">
        <a:blip xmlns:r="http://schemas.openxmlformats.org/officeDocument/2006/relationships" r:embed="rId2"/>
        <a:srcRect l="8508" t="19959" r="3613" b="21769"/>
        <a:stretch/>
      </xdr:blipFill>
      <xdr:spPr>
        <a:xfrm>
          <a:off x="12395200" y="1330095"/>
          <a:ext cx="4185150" cy="1335635"/>
        </a:xfrm>
        <a:prstGeom prst="rect">
          <a:avLst/>
        </a:prstGeom>
        <a:ln>
          <a:solidFill>
            <a:srgbClr val="9696AE"/>
          </a:solidFill>
        </a:ln>
      </xdr:spPr>
    </xdr:pic>
    <xdr:clientData/>
  </xdr:twoCellAnchor>
  <xdr:oneCellAnchor>
    <xdr:from>
      <xdr:col>7</xdr:col>
      <xdr:colOff>0</xdr:colOff>
      <xdr:row>5</xdr:row>
      <xdr:rowOff>0</xdr:rowOff>
    </xdr:from>
    <xdr:ext cx="5181600" cy="2009775"/>
    <xdr:sp macro="" textlink="">
      <xdr:nvSpPr>
        <xdr:cNvPr id="5" name="Tekstvak 4">
          <a:extLst>
            <a:ext uri="{FF2B5EF4-FFF2-40B4-BE49-F238E27FC236}">
              <a16:creationId xmlns:a16="http://schemas.microsoft.com/office/drawing/2014/main" id="{6ECB98B2-36EA-40C6-8382-C4659EA5FCC9}"/>
            </a:ext>
          </a:extLst>
        </xdr:cNvPr>
        <xdr:cNvSpPr txBox="1"/>
      </xdr:nvSpPr>
      <xdr:spPr>
        <a:xfrm>
          <a:off x="7096125" y="1333500"/>
          <a:ext cx="5181600" cy="2009775"/>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nl-NL" sz="1100">
              <a:solidFill>
                <a:schemeClr val="tx1"/>
              </a:solidFill>
              <a:effectLst/>
              <a:latin typeface="+mn-lt"/>
              <a:ea typeface="+mn-ea"/>
              <a:cs typeface="+mn-cs"/>
            </a:rPr>
            <a:t>Dit rekenblad berekent de hergebruikspotentie van producten voor 2.1.9 in het thema Milieu van GPR Gebouw. Voor het invullen van de hergebruikspotenti</a:t>
          </a:r>
          <a:r>
            <a:rPr lang="nl-NL" sz="1100" baseline="0">
              <a:solidFill>
                <a:schemeClr val="tx1"/>
              </a:solidFill>
              <a:effectLst/>
              <a:latin typeface="+mn-lt"/>
              <a:ea typeface="+mn-ea"/>
              <a:cs typeface="+mn-cs"/>
            </a:rPr>
            <a:t>e is een GPR materiaal berekening nodig.</a:t>
          </a:r>
          <a:endParaRPr lang="nl-NL" sz="1100">
            <a:solidFill>
              <a:schemeClr val="tx1"/>
            </a:solidFill>
            <a:effectLst/>
            <a:latin typeface="+mn-lt"/>
            <a:ea typeface="+mn-ea"/>
            <a:cs typeface="+mn-cs"/>
          </a:endParaRPr>
        </a:p>
        <a:p>
          <a:r>
            <a:rPr lang="nl-NL" sz="1100" b="1">
              <a:solidFill>
                <a:schemeClr val="tx1"/>
              </a:solidFill>
              <a:effectLst/>
              <a:latin typeface="+mn-lt"/>
              <a:ea typeface="+mn-ea"/>
              <a:cs typeface="+mn-cs"/>
            </a:rPr>
            <a:t>Werkwijze</a:t>
          </a:r>
          <a:endParaRPr lang="nl-NL">
            <a:effectLst/>
          </a:endParaRPr>
        </a:p>
        <a:p>
          <a:r>
            <a:rPr lang="nl-NL" sz="1100">
              <a:solidFill>
                <a:schemeClr val="tx1"/>
              </a:solidFill>
              <a:effectLst/>
              <a:latin typeface="+mn-lt"/>
              <a:ea typeface="+mn-ea"/>
              <a:cs typeface="+mn-cs"/>
            </a:rPr>
            <a:t>1. Neem de</a:t>
          </a:r>
          <a:r>
            <a:rPr lang="nl-NL" sz="1100" baseline="0">
              <a:solidFill>
                <a:schemeClr val="tx1"/>
              </a:solidFill>
              <a:effectLst/>
              <a:latin typeface="+mn-lt"/>
              <a:ea typeface="+mn-ea"/>
              <a:cs typeface="+mn-cs"/>
            </a:rPr>
            <a:t> resultaten uit de GPR materiaal berkening over.</a:t>
          </a:r>
          <a:endParaRPr lang="nl-NL" sz="1100">
            <a:solidFill>
              <a:schemeClr val="tx1"/>
            </a:solidFill>
            <a:effectLst/>
            <a:latin typeface="+mn-lt"/>
            <a:ea typeface="+mn-ea"/>
            <a:cs typeface="+mn-cs"/>
          </a:endParaRPr>
        </a:p>
        <a:p>
          <a:r>
            <a:rPr lang="nl-NL" sz="1100">
              <a:solidFill>
                <a:schemeClr val="tx1"/>
              </a:solidFill>
              <a:effectLst/>
              <a:latin typeface="+mn-lt"/>
              <a:ea typeface="+mn-ea"/>
              <a:cs typeface="+mn-cs"/>
            </a:rPr>
            <a:t>2. Neem</a:t>
          </a:r>
          <a:r>
            <a:rPr lang="nl-NL" sz="1100" baseline="0">
              <a:solidFill>
                <a:schemeClr val="tx1"/>
              </a:solidFill>
              <a:effectLst/>
              <a:latin typeface="+mn-lt"/>
              <a:ea typeface="+mn-ea"/>
              <a:cs typeface="+mn-cs"/>
            </a:rPr>
            <a:t> de producten over die bijdragen aan de hergebruikspotentie. Indien producten niet bijdragen hoeven deze ook niet ingevoerd te worden.</a:t>
          </a:r>
        </a:p>
        <a:p>
          <a:r>
            <a:rPr lang="nl-NL" sz="1100" baseline="0">
              <a:solidFill>
                <a:schemeClr val="tx1"/>
              </a:solidFill>
              <a:effectLst/>
              <a:latin typeface="+mn-lt"/>
              <a:ea typeface="+mn-ea"/>
              <a:cs typeface="+mn-cs"/>
            </a:rPr>
            <a:t>3. Voer per product de losmaakbaarheid, kwaliteitsfactor, marktwaarde en MPG van het product in. </a:t>
          </a:r>
        </a:p>
        <a:p>
          <a:r>
            <a:rPr lang="nl-NL" sz="1100" baseline="0">
              <a:solidFill>
                <a:schemeClr val="tx1"/>
              </a:solidFill>
              <a:effectLst/>
              <a:latin typeface="+mn-lt"/>
              <a:ea typeface="+mn-ea"/>
              <a:cs typeface="+mn-cs"/>
            </a:rPr>
            <a:t>4. Onderbouw deze keuzes.</a:t>
          </a:r>
        </a:p>
        <a:p>
          <a:r>
            <a:rPr lang="nl-NL" sz="1100" baseline="0">
              <a:solidFill>
                <a:schemeClr val="tx1"/>
              </a:solidFill>
              <a:effectLst/>
              <a:latin typeface="+mn-lt"/>
              <a:ea typeface="+mn-ea"/>
              <a:cs typeface="+mn-cs"/>
            </a:rPr>
            <a:t>5. Neem de hergebruikspotentie over vanuit het oranje omcirkelde veld in GPR.</a:t>
          </a:r>
        </a:p>
        <a:p>
          <a:endParaRPr lang="nl-NL">
            <a:effectLst/>
          </a:endParaRPr>
        </a:p>
        <a:p>
          <a:endParaRPr lang="nl-NL" sz="1100" b="1">
            <a:solidFill>
              <a:schemeClr val="tx1"/>
            </a:solidFill>
            <a:effectLst/>
            <a:latin typeface="+mn-lt"/>
            <a:ea typeface="+mn-ea"/>
            <a:cs typeface="+mn-cs"/>
          </a:endParaRPr>
        </a:p>
      </xdr:txBody>
    </xdr:sp>
    <xdr:clientData/>
  </xdr:oneCellAnchor>
</xdr:wsDr>
</file>

<file path=xl/drawings/drawing13.xml><?xml version="1.0" encoding="utf-8"?>
<xdr:wsDr xmlns:xdr="http://schemas.openxmlformats.org/drawingml/2006/spreadsheetDrawing" xmlns:a="http://schemas.openxmlformats.org/drawingml/2006/main">
  <xdr:oneCellAnchor>
    <xdr:from>
      <xdr:col>6</xdr:col>
      <xdr:colOff>1234327</xdr:colOff>
      <xdr:row>5</xdr:row>
      <xdr:rowOff>7620</xdr:rowOff>
    </xdr:from>
    <xdr:ext cx="6542555" cy="2421255"/>
    <xdr:sp macro="" textlink="">
      <xdr:nvSpPr>
        <xdr:cNvPr id="2" name="Tekstvak 1">
          <a:extLst>
            <a:ext uri="{FF2B5EF4-FFF2-40B4-BE49-F238E27FC236}">
              <a16:creationId xmlns:a16="http://schemas.microsoft.com/office/drawing/2014/main" id="{57144B58-84B2-4945-9A49-F78346F51CAD}"/>
            </a:ext>
          </a:extLst>
        </xdr:cNvPr>
        <xdr:cNvSpPr txBox="1"/>
      </xdr:nvSpPr>
      <xdr:spPr>
        <a:xfrm>
          <a:off x="10749802" y="1341120"/>
          <a:ext cx="6542555" cy="2421255"/>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nl-NL" sz="1100">
              <a:solidFill>
                <a:schemeClr val="tx1"/>
              </a:solidFill>
              <a:effectLst/>
              <a:latin typeface="+mn-lt"/>
              <a:ea typeface="+mn-ea"/>
              <a:cs typeface="+mn-cs"/>
            </a:rPr>
            <a:t>Dit rekenblad berekent de losmaakbaarheidsindex volgens Meetmethodiek</a:t>
          </a:r>
          <a:r>
            <a:rPr lang="nl-NL" sz="1100" baseline="0">
              <a:solidFill>
                <a:schemeClr val="tx1"/>
              </a:solidFill>
              <a:effectLst/>
              <a:latin typeface="+mn-lt"/>
              <a:ea typeface="+mn-ea"/>
              <a:cs typeface="+mn-cs"/>
            </a:rPr>
            <a:t> Losmaakbaarheid V2.0. Als uitbreiding hierop kan de</a:t>
          </a:r>
          <a:r>
            <a:rPr lang="nl-NL" sz="1100">
              <a:solidFill>
                <a:schemeClr val="tx1"/>
              </a:solidFill>
              <a:effectLst/>
              <a:latin typeface="+mn-lt"/>
              <a:ea typeface="+mn-ea"/>
              <a:cs typeface="+mn-cs"/>
            </a:rPr>
            <a:t> hergebruikspotentie van producten bepaald worden voor onderdeel 2.1.9 in het thema Milieu van GPR Gebouw 4.4. Voor het invullen </a:t>
          </a:r>
          <a:r>
            <a:rPr lang="nl-NL" sz="1100" baseline="0">
              <a:solidFill>
                <a:schemeClr val="tx1"/>
              </a:solidFill>
              <a:effectLst/>
              <a:latin typeface="+mn-lt"/>
              <a:ea typeface="+mn-ea"/>
              <a:cs typeface="+mn-cs"/>
            </a:rPr>
            <a:t>is een MPG berekening (GPR materiaal) nodig.</a:t>
          </a:r>
          <a:br>
            <a:rPr lang="nl-NL" sz="1100" baseline="0">
              <a:solidFill>
                <a:schemeClr val="tx1"/>
              </a:solidFill>
              <a:effectLst/>
              <a:latin typeface="+mn-lt"/>
              <a:ea typeface="+mn-ea"/>
              <a:cs typeface="+mn-cs"/>
            </a:rPr>
          </a:br>
          <a:r>
            <a:rPr lang="nl-NL" sz="1100" b="1">
              <a:solidFill>
                <a:schemeClr val="tx1"/>
              </a:solidFill>
              <a:effectLst/>
              <a:latin typeface="+mn-lt"/>
              <a:ea typeface="+mn-ea"/>
              <a:cs typeface="+mn-cs"/>
            </a:rPr>
            <a:t>Werkwijze</a:t>
          </a:r>
          <a:endParaRPr lang="nl-NL">
            <a:effectLst/>
          </a:endParaRPr>
        </a:p>
        <a:p>
          <a:r>
            <a:rPr lang="nl-NL" sz="1100">
              <a:solidFill>
                <a:schemeClr val="tx1"/>
              </a:solidFill>
              <a:effectLst/>
              <a:latin typeface="+mn-lt"/>
              <a:ea typeface="+mn-ea"/>
              <a:cs typeface="+mn-cs"/>
            </a:rPr>
            <a:t>1. Neem de</a:t>
          </a:r>
          <a:r>
            <a:rPr lang="nl-NL" sz="1100" baseline="0">
              <a:solidFill>
                <a:schemeClr val="tx1"/>
              </a:solidFill>
              <a:effectLst/>
              <a:latin typeface="+mn-lt"/>
              <a:ea typeface="+mn-ea"/>
              <a:cs typeface="+mn-cs"/>
            </a:rPr>
            <a:t> resultaten uit de GPR materiaal berekening over.</a:t>
          </a:r>
          <a:endParaRPr lang="nl-NL" sz="1100">
            <a:solidFill>
              <a:schemeClr val="tx1"/>
            </a:solidFill>
            <a:effectLst/>
            <a:latin typeface="+mn-lt"/>
            <a:ea typeface="+mn-ea"/>
            <a:cs typeface="+mn-cs"/>
          </a:endParaRPr>
        </a:p>
        <a:p>
          <a:r>
            <a:rPr lang="nl-NL" sz="1100">
              <a:solidFill>
                <a:schemeClr val="tx1"/>
              </a:solidFill>
              <a:effectLst/>
              <a:latin typeface="+mn-lt"/>
              <a:ea typeface="+mn-ea"/>
              <a:cs typeface="+mn-cs"/>
            </a:rPr>
            <a:t>2. Neem</a:t>
          </a:r>
          <a:r>
            <a:rPr lang="nl-NL" sz="1100" baseline="0">
              <a:solidFill>
                <a:schemeClr val="tx1"/>
              </a:solidFill>
              <a:effectLst/>
              <a:latin typeface="+mn-lt"/>
              <a:ea typeface="+mn-ea"/>
              <a:cs typeface="+mn-cs"/>
            </a:rPr>
            <a:t> de producten over die bijdragen aan de losmaakbaarheidsindex/ hergebruikspotentie. Indien producten niet bijdragen hoeven deze ook niet ingevoerd te worden.</a:t>
          </a:r>
        </a:p>
        <a:p>
          <a:r>
            <a:rPr lang="nl-NL" sz="1100" baseline="0">
              <a:solidFill>
                <a:schemeClr val="tx1"/>
              </a:solidFill>
              <a:effectLst/>
              <a:latin typeface="+mn-lt"/>
              <a:ea typeface="+mn-ea"/>
              <a:cs typeface="+mn-cs"/>
            </a:rPr>
            <a:t>3. Voer per product de losmaakbaarheid, MPG en maximale score van het product in om de losmaakbaarheidsindex te bepalen. Bij bestaande bouw moet de MPG van een product worden overgenomen die correspondeert met het scenario waarvoor het rekenblad wordt ingevuld (huidig of na ingreep). Voor de hergebruikspotentie dient aanvullend de kwaliteitsfactor en marktwaarde te worden ingevuld.</a:t>
          </a:r>
        </a:p>
        <a:p>
          <a:r>
            <a:rPr lang="nl-NL" sz="1100" baseline="0">
              <a:solidFill>
                <a:schemeClr val="tx1"/>
              </a:solidFill>
              <a:effectLst/>
              <a:latin typeface="+mn-lt"/>
              <a:ea typeface="+mn-ea"/>
              <a:cs typeface="+mn-cs"/>
            </a:rPr>
            <a:t>4. Onderbouw deze keuzes.</a:t>
          </a:r>
        </a:p>
        <a:p>
          <a:r>
            <a:rPr lang="nl-NL" sz="1100" baseline="0">
              <a:solidFill>
                <a:schemeClr val="tx1"/>
              </a:solidFill>
              <a:effectLst/>
              <a:latin typeface="+mn-lt"/>
              <a:ea typeface="+mn-ea"/>
              <a:cs typeface="+mn-cs"/>
            </a:rPr>
            <a:t>5A. Neem de losmaakbaarheidsindex over vanuit het groen omcirkelde veld in BREEAM.</a:t>
          </a:r>
        </a:p>
        <a:p>
          <a:r>
            <a:rPr lang="nl-NL" sz="1100" baseline="0">
              <a:solidFill>
                <a:schemeClr val="tx1"/>
              </a:solidFill>
              <a:effectLst/>
              <a:latin typeface="+mn-lt"/>
              <a:ea typeface="+mn-ea"/>
              <a:cs typeface="+mn-cs"/>
            </a:rPr>
            <a:t>5B. Neem de hergebruikspotentie over vanuit het oranje omcirckeld veld in GPR.</a:t>
          </a:r>
        </a:p>
        <a:p>
          <a:endParaRPr lang="nl-NL">
            <a:effectLst/>
          </a:endParaRPr>
        </a:p>
        <a:p>
          <a:endParaRPr lang="nl-NL" sz="1100" b="1">
            <a:solidFill>
              <a:schemeClr val="tx1"/>
            </a:solidFill>
            <a:effectLst/>
            <a:latin typeface="+mn-lt"/>
            <a:ea typeface="+mn-ea"/>
            <a:cs typeface="+mn-cs"/>
          </a:endParaRPr>
        </a:p>
      </xdr:txBody>
    </xdr:sp>
    <xdr:clientData/>
  </xdr:oneCellAnchor>
  <xdr:twoCellAnchor editAs="oneCell">
    <xdr:from>
      <xdr:col>1</xdr:col>
      <xdr:colOff>24765</xdr:colOff>
      <xdr:row>0</xdr:row>
      <xdr:rowOff>0</xdr:rowOff>
    </xdr:from>
    <xdr:to>
      <xdr:col>3</xdr:col>
      <xdr:colOff>475578</xdr:colOff>
      <xdr:row>1</xdr:row>
      <xdr:rowOff>671</xdr:rowOff>
    </xdr:to>
    <xdr:pic>
      <xdr:nvPicPr>
        <xdr:cNvPr id="3" name="GPR hulpmiddelen">
          <a:extLst>
            <a:ext uri="{FF2B5EF4-FFF2-40B4-BE49-F238E27FC236}">
              <a16:creationId xmlns:a16="http://schemas.microsoft.com/office/drawing/2014/main" id="{AA0F6416-BF65-4718-8ACD-F6F4CE14A095}"/>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2" t="1553" r="8403" b="17262"/>
        <a:stretch/>
      </xdr:blipFill>
      <xdr:spPr bwMode="auto">
        <a:xfrm>
          <a:off x="815340" y="0"/>
          <a:ext cx="3502623" cy="4197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949361</xdr:colOff>
      <xdr:row>13</xdr:row>
      <xdr:rowOff>86285</xdr:rowOff>
    </xdr:from>
    <xdr:ext cx="2576090" cy="614079"/>
    <mc:AlternateContent xmlns:mc="http://schemas.openxmlformats.org/markup-compatibility/2006" xmlns:a14="http://schemas.microsoft.com/office/drawing/2010/main">
      <mc:Choice Requires="a14">
        <xdr:sp macro="" textlink="">
          <xdr:nvSpPr>
            <xdr:cNvPr id="5" name="Tekstvak 4">
              <a:extLst>
                <a:ext uri="{FF2B5EF4-FFF2-40B4-BE49-F238E27FC236}">
                  <a16:creationId xmlns:a16="http://schemas.microsoft.com/office/drawing/2014/main" id="{67CE6E04-E304-446A-B920-E489762AC75E}"/>
                </a:ext>
              </a:extLst>
            </xdr:cNvPr>
            <xdr:cNvSpPr txBox="1"/>
          </xdr:nvSpPr>
          <xdr:spPr>
            <a:xfrm>
              <a:off x="17303786" y="3172385"/>
              <a:ext cx="2576090" cy="6140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nl-NL" sz="1400" b="0" i="1">
                        <a:latin typeface="Cambria Math" panose="02040503050406030204" pitchFamily="18" charset="0"/>
                      </a:rPr>
                      <m:t>𝐿𝐼</m:t>
                    </m:r>
                    <m:sSub>
                      <m:sSubPr>
                        <m:ctrlPr>
                          <a:rPr lang="nl-NL" sz="1400" b="0" i="1">
                            <a:latin typeface="Cambria Math" panose="02040503050406030204" pitchFamily="18" charset="0"/>
                          </a:rPr>
                        </m:ctrlPr>
                      </m:sSubPr>
                      <m:e>
                        <m:r>
                          <a:rPr lang="nl-NL" sz="1400" b="0" i="1">
                            <a:latin typeface="Cambria Math" panose="02040503050406030204" pitchFamily="18" charset="0"/>
                          </a:rPr>
                          <m:t>𝑝</m:t>
                        </m:r>
                      </m:e>
                      <m:sub>
                        <m:r>
                          <a:rPr lang="nl-NL" sz="1400" b="0" i="1">
                            <a:latin typeface="Cambria Math" panose="02040503050406030204" pitchFamily="18" charset="0"/>
                          </a:rPr>
                          <m:t>𝑛</m:t>
                        </m:r>
                      </m:sub>
                    </m:sSub>
                    <m:r>
                      <a:rPr lang="nl-NL" sz="1400" b="0" i="1">
                        <a:latin typeface="Cambria Math" panose="02040503050406030204" pitchFamily="18" charset="0"/>
                      </a:rPr>
                      <m:t>=</m:t>
                    </m:r>
                    <m:f>
                      <m:fPr>
                        <m:ctrlPr>
                          <a:rPr lang="nl-NL" sz="1400" b="0" i="1">
                            <a:latin typeface="Cambria Math" panose="02040503050406030204" pitchFamily="18" charset="0"/>
                          </a:rPr>
                        </m:ctrlPr>
                      </m:fPr>
                      <m:num>
                        <m:r>
                          <a:rPr lang="nl-NL" sz="1400" b="0" i="1">
                            <a:latin typeface="Cambria Math" panose="02040503050406030204" pitchFamily="18" charset="0"/>
                          </a:rPr>
                          <m:t>4</m:t>
                        </m:r>
                      </m:num>
                      <m:den>
                        <m:f>
                          <m:fPr>
                            <m:ctrlPr>
                              <a:rPr lang="nl-NL" sz="1400" b="0" i="1">
                                <a:latin typeface="Cambria Math" panose="02040503050406030204" pitchFamily="18" charset="0"/>
                              </a:rPr>
                            </m:ctrlPr>
                          </m:fPr>
                          <m:num>
                            <m:r>
                              <a:rPr lang="nl-NL" sz="1400" b="0" i="1">
                                <a:latin typeface="Cambria Math" panose="02040503050406030204" pitchFamily="18" charset="0"/>
                              </a:rPr>
                              <m:t>1</m:t>
                            </m:r>
                          </m:num>
                          <m:den>
                            <m:r>
                              <a:rPr lang="nl-NL" sz="1400" b="0" i="1">
                                <a:latin typeface="Cambria Math" panose="02040503050406030204" pitchFamily="18" charset="0"/>
                              </a:rPr>
                              <m:t>𝑇</m:t>
                            </m:r>
                            <m:sSub>
                              <m:sSubPr>
                                <m:ctrlPr>
                                  <a:rPr lang="nl-NL" sz="1400" b="0" i="1">
                                    <a:latin typeface="Cambria Math" panose="02040503050406030204" pitchFamily="18" charset="0"/>
                                  </a:rPr>
                                </m:ctrlPr>
                              </m:sSubPr>
                              <m:e>
                                <m:r>
                                  <a:rPr lang="nl-NL" sz="1400" b="0" i="1">
                                    <a:latin typeface="Cambria Math" panose="02040503050406030204" pitchFamily="18" charset="0"/>
                                  </a:rPr>
                                  <m:t>𝑉</m:t>
                                </m:r>
                              </m:e>
                              <m:sub>
                                <m:r>
                                  <a:rPr lang="nl-NL" sz="1400" b="0" i="1">
                                    <a:latin typeface="Cambria Math" panose="02040503050406030204" pitchFamily="18" charset="0"/>
                                  </a:rPr>
                                  <m:t>𝑛</m:t>
                                </m:r>
                              </m:sub>
                            </m:sSub>
                          </m:den>
                        </m:f>
                        <m:r>
                          <a:rPr lang="nl-NL" sz="1400" b="0" i="1">
                            <a:latin typeface="Cambria Math" panose="02040503050406030204" pitchFamily="18" charset="0"/>
                          </a:rPr>
                          <m:t>+</m:t>
                        </m:r>
                        <m:f>
                          <m:fPr>
                            <m:ctrlPr>
                              <a:rPr lang="nl-NL" sz="1400" b="0" i="1">
                                <a:latin typeface="Cambria Math" panose="02040503050406030204" pitchFamily="18" charset="0"/>
                              </a:rPr>
                            </m:ctrlPr>
                          </m:fPr>
                          <m:num>
                            <m:r>
                              <a:rPr lang="nl-NL" sz="1400" b="0" i="1">
                                <a:latin typeface="Cambria Math" panose="02040503050406030204" pitchFamily="18" charset="0"/>
                              </a:rPr>
                              <m:t>1</m:t>
                            </m:r>
                          </m:num>
                          <m:den>
                            <m:r>
                              <a:rPr lang="nl-NL" sz="1400" b="0" i="1">
                                <a:latin typeface="Cambria Math" panose="02040503050406030204" pitchFamily="18" charset="0"/>
                              </a:rPr>
                              <m:t>𝑇𝑜</m:t>
                            </m:r>
                            <m:sSub>
                              <m:sSubPr>
                                <m:ctrlPr>
                                  <a:rPr lang="nl-NL" sz="1400" b="0" i="1">
                                    <a:latin typeface="Cambria Math" panose="02040503050406030204" pitchFamily="18" charset="0"/>
                                  </a:rPr>
                                </m:ctrlPr>
                              </m:sSubPr>
                              <m:e>
                                <m:r>
                                  <a:rPr lang="nl-NL" sz="1400" b="0" i="1">
                                    <a:latin typeface="Cambria Math" panose="02040503050406030204" pitchFamily="18" charset="0"/>
                                  </a:rPr>
                                  <m:t>𝑉</m:t>
                                </m:r>
                              </m:e>
                              <m:sub>
                                <m:r>
                                  <a:rPr lang="nl-NL" sz="1400" b="0" i="1">
                                    <a:latin typeface="Cambria Math" panose="02040503050406030204" pitchFamily="18" charset="0"/>
                                  </a:rPr>
                                  <m:t>𝑛</m:t>
                                </m:r>
                              </m:sub>
                            </m:sSub>
                          </m:den>
                        </m:f>
                        <m:r>
                          <a:rPr lang="nl-NL" sz="1400" b="0" i="1">
                            <a:latin typeface="Cambria Math" panose="02040503050406030204" pitchFamily="18" charset="0"/>
                          </a:rPr>
                          <m:t>+</m:t>
                        </m:r>
                        <m:f>
                          <m:fPr>
                            <m:ctrlPr>
                              <a:rPr lang="nl-NL" sz="1400" b="0" i="1">
                                <a:latin typeface="Cambria Math" panose="02040503050406030204" pitchFamily="18" charset="0"/>
                              </a:rPr>
                            </m:ctrlPr>
                          </m:fPr>
                          <m:num>
                            <m:r>
                              <a:rPr lang="nl-NL" sz="1400" b="0" i="1">
                                <a:latin typeface="Cambria Math" panose="02040503050406030204" pitchFamily="18" charset="0"/>
                              </a:rPr>
                              <m:t>1</m:t>
                            </m:r>
                          </m:num>
                          <m:den>
                            <m:r>
                              <a:rPr lang="nl-NL" sz="1400" b="0" i="1">
                                <a:latin typeface="Cambria Math" panose="02040503050406030204" pitchFamily="18" charset="0"/>
                              </a:rPr>
                              <m:t>𝐷</m:t>
                            </m:r>
                            <m:sSub>
                              <m:sSubPr>
                                <m:ctrlPr>
                                  <a:rPr lang="nl-NL" sz="1400" b="0" i="1">
                                    <a:latin typeface="Cambria Math" panose="02040503050406030204" pitchFamily="18" charset="0"/>
                                  </a:rPr>
                                </m:ctrlPr>
                              </m:sSubPr>
                              <m:e>
                                <m:r>
                                  <a:rPr lang="nl-NL" sz="1400" b="0" i="1">
                                    <a:latin typeface="Cambria Math" panose="02040503050406030204" pitchFamily="18" charset="0"/>
                                  </a:rPr>
                                  <m:t>𝐾</m:t>
                                </m:r>
                              </m:e>
                              <m:sub>
                                <m:r>
                                  <a:rPr lang="nl-NL" sz="1400" b="0" i="1">
                                    <a:latin typeface="Cambria Math" panose="02040503050406030204" pitchFamily="18" charset="0"/>
                                  </a:rPr>
                                  <m:t>𝑛</m:t>
                                </m:r>
                              </m:sub>
                            </m:sSub>
                          </m:den>
                        </m:f>
                        <m:r>
                          <a:rPr lang="nl-NL" sz="1400" b="0" i="1">
                            <a:latin typeface="Cambria Math" panose="02040503050406030204" pitchFamily="18" charset="0"/>
                          </a:rPr>
                          <m:t>+</m:t>
                        </m:r>
                        <m:f>
                          <m:fPr>
                            <m:ctrlPr>
                              <a:rPr lang="nl-NL" sz="1400" b="0" i="1">
                                <a:latin typeface="Cambria Math" panose="02040503050406030204" pitchFamily="18" charset="0"/>
                              </a:rPr>
                            </m:ctrlPr>
                          </m:fPr>
                          <m:num>
                            <m:r>
                              <a:rPr lang="nl-NL" sz="1400" b="0" i="1">
                                <a:latin typeface="Cambria Math" panose="02040503050406030204" pitchFamily="18" charset="0"/>
                              </a:rPr>
                              <m:t>1</m:t>
                            </m:r>
                          </m:num>
                          <m:den>
                            <m:r>
                              <a:rPr lang="nl-NL" sz="1400" b="0" i="1">
                                <a:latin typeface="Cambria Math" panose="02040503050406030204" pitchFamily="18" charset="0"/>
                              </a:rPr>
                              <m:t>𝑅</m:t>
                            </m:r>
                            <m:sSub>
                              <m:sSubPr>
                                <m:ctrlPr>
                                  <a:rPr lang="nl-NL" sz="1400" b="0" i="1">
                                    <a:latin typeface="Cambria Math" panose="02040503050406030204" pitchFamily="18" charset="0"/>
                                  </a:rPr>
                                </m:ctrlPr>
                              </m:sSubPr>
                              <m:e>
                                <m:r>
                                  <a:rPr lang="nl-NL" sz="1400" b="0" i="1">
                                    <a:latin typeface="Cambria Math" panose="02040503050406030204" pitchFamily="18" charset="0"/>
                                  </a:rPr>
                                  <m:t>𝑂</m:t>
                                </m:r>
                              </m:e>
                              <m:sub>
                                <m:r>
                                  <a:rPr lang="nl-NL" sz="1400" b="0" i="1">
                                    <a:latin typeface="Cambria Math" panose="02040503050406030204" pitchFamily="18" charset="0"/>
                                  </a:rPr>
                                  <m:t>𝑛</m:t>
                                </m:r>
                              </m:sub>
                            </m:sSub>
                          </m:den>
                        </m:f>
                      </m:den>
                    </m:f>
                  </m:oMath>
                </m:oMathPara>
              </a14:m>
              <a:endParaRPr lang="nl-NL" sz="1100"/>
            </a:p>
          </xdr:txBody>
        </xdr:sp>
      </mc:Choice>
      <mc:Fallback xmlns="">
        <xdr:sp macro="" textlink="">
          <xdr:nvSpPr>
            <xdr:cNvPr id="5" name="Tekstvak 4">
              <a:extLst>
                <a:ext uri="{FF2B5EF4-FFF2-40B4-BE49-F238E27FC236}">
                  <a16:creationId xmlns:a16="http://schemas.microsoft.com/office/drawing/2014/main" id="{67CE6E04-E304-446A-B920-E489762AC75E}"/>
                </a:ext>
              </a:extLst>
            </xdr:cNvPr>
            <xdr:cNvSpPr txBox="1"/>
          </xdr:nvSpPr>
          <xdr:spPr>
            <a:xfrm>
              <a:off x="17303786" y="3172385"/>
              <a:ext cx="2576090" cy="6140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nl-NL" sz="1400" b="0" i="0">
                  <a:latin typeface="Cambria Math" panose="02040503050406030204" pitchFamily="18" charset="0"/>
                </a:rPr>
                <a:t>𝐿𝐼𝑝_𝑛=4/(1/(𝑇𝑉_𝑛 )+1/(𝑇𝑜𝑉_𝑛 )+1/(𝐷𝐾_𝑛 )+1/(𝑅𝑂_𝑛 ))</a:t>
              </a:r>
              <a:endParaRPr lang="nl-NL" sz="1100"/>
            </a:p>
          </xdr:txBody>
        </xdr:sp>
      </mc:Fallback>
    </mc:AlternateContent>
    <xdr:clientData/>
  </xdr:oneCellAnchor>
  <xdr:oneCellAnchor>
    <xdr:from>
      <xdr:col>12</xdr:col>
      <xdr:colOff>956309</xdr:colOff>
      <xdr:row>5</xdr:row>
      <xdr:rowOff>65779</xdr:rowOff>
    </xdr:from>
    <xdr:ext cx="1477969" cy="614848"/>
    <mc:AlternateContent xmlns:mc="http://schemas.openxmlformats.org/markup-compatibility/2006" xmlns:a14="http://schemas.microsoft.com/office/drawing/2010/main">
      <mc:Choice Requires="a14">
        <xdr:sp macro="" textlink="">
          <xdr:nvSpPr>
            <xdr:cNvPr id="6" name="Tekstvak 5">
              <a:extLst>
                <a:ext uri="{FF2B5EF4-FFF2-40B4-BE49-F238E27FC236}">
                  <a16:creationId xmlns:a16="http://schemas.microsoft.com/office/drawing/2014/main" id="{23E77D93-72F9-477F-9A4F-9F446927BB32}"/>
                </a:ext>
              </a:extLst>
            </xdr:cNvPr>
            <xdr:cNvSpPr txBox="1"/>
          </xdr:nvSpPr>
          <xdr:spPr>
            <a:xfrm>
              <a:off x="17310734" y="1399279"/>
              <a:ext cx="1477969" cy="6148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nl-NL" sz="1400" b="0" i="1">
                        <a:latin typeface="Cambria Math" panose="02040503050406030204" pitchFamily="18" charset="0"/>
                      </a:rPr>
                      <m:t>𝐿𝐼</m:t>
                    </m:r>
                    <m:sSub>
                      <m:sSubPr>
                        <m:ctrlPr>
                          <a:rPr lang="nl-NL" sz="1400" b="0" i="1">
                            <a:latin typeface="Cambria Math" panose="02040503050406030204" pitchFamily="18" charset="0"/>
                          </a:rPr>
                        </m:ctrlPr>
                      </m:sSubPr>
                      <m:e>
                        <m:r>
                          <a:rPr lang="nl-NL" sz="1400" b="0" i="1">
                            <a:latin typeface="Cambria Math" panose="02040503050406030204" pitchFamily="18" charset="0"/>
                          </a:rPr>
                          <m:t>𝑐</m:t>
                        </m:r>
                      </m:e>
                      <m:sub>
                        <m:r>
                          <a:rPr lang="nl-NL" sz="1400" b="0" i="1">
                            <a:latin typeface="Cambria Math" panose="02040503050406030204" pitchFamily="18" charset="0"/>
                          </a:rPr>
                          <m:t>𝑛</m:t>
                        </m:r>
                      </m:sub>
                    </m:sSub>
                    <m:r>
                      <a:rPr lang="nl-NL" sz="1400" b="0" i="1">
                        <a:latin typeface="Cambria Math" panose="02040503050406030204" pitchFamily="18" charset="0"/>
                      </a:rPr>
                      <m:t>=</m:t>
                    </m:r>
                    <m:f>
                      <m:fPr>
                        <m:ctrlPr>
                          <a:rPr lang="nl-NL" sz="1400" b="0" i="1">
                            <a:latin typeface="Cambria Math" panose="02040503050406030204" pitchFamily="18" charset="0"/>
                          </a:rPr>
                        </m:ctrlPr>
                      </m:fPr>
                      <m:num>
                        <m:r>
                          <a:rPr lang="nl-NL" sz="1400" b="0" i="1">
                            <a:latin typeface="Cambria Math" panose="02040503050406030204" pitchFamily="18" charset="0"/>
                          </a:rPr>
                          <m:t>2</m:t>
                        </m:r>
                      </m:num>
                      <m:den>
                        <m:f>
                          <m:fPr>
                            <m:ctrlPr>
                              <a:rPr lang="nl-NL" sz="1400" b="0" i="1">
                                <a:latin typeface="Cambria Math" panose="02040503050406030204" pitchFamily="18" charset="0"/>
                              </a:rPr>
                            </m:ctrlPr>
                          </m:fPr>
                          <m:num>
                            <m:r>
                              <a:rPr lang="nl-NL" sz="1400" b="0" i="1">
                                <a:latin typeface="Cambria Math" panose="02040503050406030204" pitchFamily="18" charset="0"/>
                              </a:rPr>
                              <m:t>1</m:t>
                            </m:r>
                          </m:num>
                          <m:den>
                            <m:r>
                              <a:rPr lang="nl-NL" sz="1400" b="0" i="1">
                                <a:latin typeface="Cambria Math" panose="02040503050406030204" pitchFamily="18" charset="0"/>
                              </a:rPr>
                              <m:t>𝑇</m:t>
                            </m:r>
                            <m:sSub>
                              <m:sSubPr>
                                <m:ctrlPr>
                                  <a:rPr lang="nl-NL" sz="1400" b="0" i="1">
                                    <a:latin typeface="Cambria Math" panose="02040503050406030204" pitchFamily="18" charset="0"/>
                                  </a:rPr>
                                </m:ctrlPr>
                              </m:sSubPr>
                              <m:e>
                                <m:r>
                                  <a:rPr lang="nl-NL" sz="1400" b="0" i="1">
                                    <a:latin typeface="Cambria Math" panose="02040503050406030204" pitchFamily="18" charset="0"/>
                                  </a:rPr>
                                  <m:t>𝑉</m:t>
                                </m:r>
                              </m:e>
                              <m:sub>
                                <m:r>
                                  <a:rPr lang="nl-NL" sz="1400" b="0" i="1">
                                    <a:latin typeface="Cambria Math" panose="02040503050406030204" pitchFamily="18" charset="0"/>
                                  </a:rPr>
                                  <m:t>𝑛</m:t>
                                </m:r>
                              </m:sub>
                            </m:sSub>
                          </m:den>
                        </m:f>
                        <m:r>
                          <a:rPr lang="nl-NL" sz="1400" b="0" i="1">
                            <a:latin typeface="Cambria Math" panose="02040503050406030204" pitchFamily="18" charset="0"/>
                          </a:rPr>
                          <m:t>+</m:t>
                        </m:r>
                        <m:f>
                          <m:fPr>
                            <m:ctrlPr>
                              <a:rPr lang="nl-NL" sz="1400" b="0" i="1">
                                <a:latin typeface="Cambria Math" panose="02040503050406030204" pitchFamily="18" charset="0"/>
                              </a:rPr>
                            </m:ctrlPr>
                          </m:fPr>
                          <m:num>
                            <m:r>
                              <a:rPr lang="nl-NL" sz="1400" b="0" i="1">
                                <a:latin typeface="Cambria Math" panose="02040503050406030204" pitchFamily="18" charset="0"/>
                              </a:rPr>
                              <m:t>1</m:t>
                            </m:r>
                          </m:num>
                          <m:den>
                            <m:r>
                              <a:rPr lang="nl-NL" sz="1400" b="0" i="1">
                                <a:latin typeface="Cambria Math" panose="02040503050406030204" pitchFamily="18" charset="0"/>
                              </a:rPr>
                              <m:t>𝑇𝑜</m:t>
                            </m:r>
                            <m:sSub>
                              <m:sSubPr>
                                <m:ctrlPr>
                                  <a:rPr lang="nl-NL" sz="1400" b="0" i="1">
                                    <a:latin typeface="Cambria Math" panose="02040503050406030204" pitchFamily="18" charset="0"/>
                                  </a:rPr>
                                </m:ctrlPr>
                              </m:sSubPr>
                              <m:e>
                                <m:r>
                                  <a:rPr lang="nl-NL" sz="1400" b="0" i="1">
                                    <a:latin typeface="Cambria Math" panose="02040503050406030204" pitchFamily="18" charset="0"/>
                                  </a:rPr>
                                  <m:t>𝑉</m:t>
                                </m:r>
                              </m:e>
                              <m:sub>
                                <m:r>
                                  <a:rPr lang="nl-NL" sz="1400" b="0" i="1">
                                    <a:latin typeface="Cambria Math" panose="02040503050406030204" pitchFamily="18" charset="0"/>
                                  </a:rPr>
                                  <m:t>𝑛</m:t>
                                </m:r>
                              </m:sub>
                            </m:sSub>
                          </m:den>
                        </m:f>
                      </m:den>
                    </m:f>
                  </m:oMath>
                </m:oMathPara>
              </a14:m>
              <a:endParaRPr lang="nl-NL" sz="1100"/>
            </a:p>
          </xdr:txBody>
        </xdr:sp>
      </mc:Choice>
      <mc:Fallback xmlns="">
        <xdr:sp macro="" textlink="">
          <xdr:nvSpPr>
            <xdr:cNvPr id="6" name="Tekstvak 5">
              <a:extLst>
                <a:ext uri="{FF2B5EF4-FFF2-40B4-BE49-F238E27FC236}">
                  <a16:creationId xmlns:a16="http://schemas.microsoft.com/office/drawing/2014/main" id="{23E77D93-72F9-477F-9A4F-9F446927BB32}"/>
                </a:ext>
              </a:extLst>
            </xdr:cNvPr>
            <xdr:cNvSpPr txBox="1"/>
          </xdr:nvSpPr>
          <xdr:spPr>
            <a:xfrm>
              <a:off x="17310734" y="1399279"/>
              <a:ext cx="1477969" cy="6148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nl-NL" sz="1400" b="0" i="0">
                  <a:latin typeface="Cambria Math" panose="02040503050406030204" pitchFamily="18" charset="0"/>
                </a:rPr>
                <a:t>𝐿𝐼𝑐_𝑛=2/(1/(𝑇𝑉_𝑛 )+1/(𝑇𝑜𝑉_𝑛 ))</a:t>
              </a:r>
              <a:endParaRPr lang="nl-NL" sz="1100"/>
            </a:p>
          </xdr:txBody>
        </xdr:sp>
      </mc:Fallback>
    </mc:AlternateContent>
    <xdr:clientData/>
  </xdr:oneCellAnchor>
  <xdr:oneCellAnchor>
    <xdr:from>
      <xdr:col>12</xdr:col>
      <xdr:colOff>948466</xdr:colOff>
      <xdr:row>9</xdr:row>
      <xdr:rowOff>87742</xdr:rowOff>
    </xdr:from>
    <xdr:ext cx="1486048" cy="614848"/>
    <mc:AlternateContent xmlns:mc="http://schemas.openxmlformats.org/markup-compatibility/2006" xmlns:a14="http://schemas.microsoft.com/office/drawing/2010/main">
      <mc:Choice Requires="a14">
        <xdr:sp macro="" textlink="">
          <xdr:nvSpPr>
            <xdr:cNvPr id="7" name="Tekstvak 6">
              <a:extLst>
                <a:ext uri="{FF2B5EF4-FFF2-40B4-BE49-F238E27FC236}">
                  <a16:creationId xmlns:a16="http://schemas.microsoft.com/office/drawing/2014/main" id="{8AC7DEB0-EB14-4A80-A3B0-12B6A99EC139}"/>
                </a:ext>
              </a:extLst>
            </xdr:cNvPr>
            <xdr:cNvSpPr txBox="1"/>
          </xdr:nvSpPr>
          <xdr:spPr>
            <a:xfrm>
              <a:off x="17302891" y="2297542"/>
              <a:ext cx="1486048" cy="6148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nl-NL" sz="1400" b="0" i="1">
                        <a:latin typeface="Cambria Math" panose="02040503050406030204" pitchFamily="18" charset="0"/>
                      </a:rPr>
                      <m:t>𝐿𝐼</m:t>
                    </m:r>
                    <m:sSub>
                      <m:sSubPr>
                        <m:ctrlPr>
                          <a:rPr lang="nl-NL" sz="1400" b="0" i="1">
                            <a:latin typeface="Cambria Math" panose="02040503050406030204" pitchFamily="18" charset="0"/>
                          </a:rPr>
                        </m:ctrlPr>
                      </m:sSubPr>
                      <m:e>
                        <m:r>
                          <a:rPr lang="nl-NL" sz="1400" b="0" i="1">
                            <a:latin typeface="Cambria Math" panose="02040503050406030204" pitchFamily="18" charset="0"/>
                          </a:rPr>
                          <m:t>𝑐</m:t>
                        </m:r>
                      </m:e>
                      <m:sub>
                        <m:r>
                          <a:rPr lang="nl-NL" sz="1400" b="0" i="1">
                            <a:latin typeface="Cambria Math" panose="02040503050406030204" pitchFamily="18" charset="0"/>
                          </a:rPr>
                          <m:t>𝑛</m:t>
                        </m:r>
                      </m:sub>
                    </m:sSub>
                    <m:r>
                      <a:rPr lang="nl-NL" sz="1400" b="0" i="1">
                        <a:latin typeface="Cambria Math" panose="02040503050406030204" pitchFamily="18" charset="0"/>
                      </a:rPr>
                      <m:t>=</m:t>
                    </m:r>
                    <m:f>
                      <m:fPr>
                        <m:ctrlPr>
                          <a:rPr lang="nl-NL" sz="1400" b="0" i="1">
                            <a:latin typeface="Cambria Math" panose="02040503050406030204" pitchFamily="18" charset="0"/>
                          </a:rPr>
                        </m:ctrlPr>
                      </m:fPr>
                      <m:num>
                        <m:r>
                          <a:rPr lang="nl-NL" sz="1400" b="0" i="1">
                            <a:latin typeface="Cambria Math" panose="02040503050406030204" pitchFamily="18" charset="0"/>
                          </a:rPr>
                          <m:t>2</m:t>
                        </m:r>
                      </m:num>
                      <m:den>
                        <m:f>
                          <m:fPr>
                            <m:ctrlPr>
                              <a:rPr lang="nl-NL" sz="1400" b="0" i="1">
                                <a:latin typeface="Cambria Math" panose="02040503050406030204" pitchFamily="18" charset="0"/>
                              </a:rPr>
                            </m:ctrlPr>
                          </m:fPr>
                          <m:num>
                            <m:r>
                              <a:rPr lang="nl-NL" sz="1400" b="0" i="1">
                                <a:latin typeface="Cambria Math" panose="02040503050406030204" pitchFamily="18" charset="0"/>
                              </a:rPr>
                              <m:t>1</m:t>
                            </m:r>
                          </m:num>
                          <m:den>
                            <m:r>
                              <a:rPr lang="nl-NL" sz="1400" b="0" i="1">
                                <a:latin typeface="Cambria Math" panose="02040503050406030204" pitchFamily="18" charset="0"/>
                              </a:rPr>
                              <m:t>𝐷</m:t>
                            </m:r>
                            <m:sSub>
                              <m:sSubPr>
                                <m:ctrlPr>
                                  <a:rPr lang="nl-NL" sz="1400" b="0" i="1">
                                    <a:latin typeface="Cambria Math" panose="02040503050406030204" pitchFamily="18" charset="0"/>
                                  </a:rPr>
                                </m:ctrlPr>
                              </m:sSubPr>
                              <m:e>
                                <m:r>
                                  <a:rPr lang="nl-NL" sz="1400" b="0" i="1">
                                    <a:latin typeface="Cambria Math" panose="02040503050406030204" pitchFamily="18" charset="0"/>
                                  </a:rPr>
                                  <m:t>𝐾</m:t>
                                </m:r>
                              </m:e>
                              <m:sub>
                                <m:r>
                                  <a:rPr lang="nl-NL" sz="1400" b="0" i="1">
                                    <a:latin typeface="Cambria Math" panose="02040503050406030204" pitchFamily="18" charset="0"/>
                                  </a:rPr>
                                  <m:t>𝑛</m:t>
                                </m:r>
                              </m:sub>
                            </m:sSub>
                          </m:den>
                        </m:f>
                        <m:r>
                          <a:rPr lang="nl-NL" sz="1400" b="0" i="1">
                            <a:latin typeface="Cambria Math" panose="02040503050406030204" pitchFamily="18" charset="0"/>
                          </a:rPr>
                          <m:t>+</m:t>
                        </m:r>
                        <m:f>
                          <m:fPr>
                            <m:ctrlPr>
                              <a:rPr lang="nl-NL" sz="1400" b="0" i="1">
                                <a:latin typeface="Cambria Math" panose="02040503050406030204" pitchFamily="18" charset="0"/>
                              </a:rPr>
                            </m:ctrlPr>
                          </m:fPr>
                          <m:num>
                            <m:r>
                              <a:rPr lang="nl-NL" sz="1400" b="0" i="1">
                                <a:latin typeface="Cambria Math" panose="02040503050406030204" pitchFamily="18" charset="0"/>
                              </a:rPr>
                              <m:t>1</m:t>
                            </m:r>
                          </m:num>
                          <m:den>
                            <m:r>
                              <a:rPr lang="nl-NL" sz="1400" b="0" i="1">
                                <a:latin typeface="Cambria Math" panose="02040503050406030204" pitchFamily="18" charset="0"/>
                              </a:rPr>
                              <m:t>𝑅</m:t>
                            </m:r>
                            <m:sSub>
                              <m:sSubPr>
                                <m:ctrlPr>
                                  <a:rPr lang="nl-NL" sz="1400" b="0" i="1">
                                    <a:latin typeface="Cambria Math" panose="02040503050406030204" pitchFamily="18" charset="0"/>
                                  </a:rPr>
                                </m:ctrlPr>
                              </m:sSubPr>
                              <m:e>
                                <m:r>
                                  <a:rPr lang="nl-NL" sz="1400" b="0" i="1">
                                    <a:latin typeface="Cambria Math" panose="02040503050406030204" pitchFamily="18" charset="0"/>
                                  </a:rPr>
                                  <m:t>𝑂</m:t>
                                </m:r>
                              </m:e>
                              <m:sub>
                                <m:r>
                                  <a:rPr lang="nl-NL" sz="1400" b="0" i="1">
                                    <a:latin typeface="Cambria Math" panose="02040503050406030204" pitchFamily="18" charset="0"/>
                                  </a:rPr>
                                  <m:t>𝑛</m:t>
                                </m:r>
                              </m:sub>
                            </m:sSub>
                          </m:den>
                        </m:f>
                      </m:den>
                    </m:f>
                  </m:oMath>
                </m:oMathPara>
              </a14:m>
              <a:endParaRPr lang="nl-NL" sz="1100"/>
            </a:p>
          </xdr:txBody>
        </xdr:sp>
      </mc:Choice>
      <mc:Fallback xmlns="">
        <xdr:sp macro="" textlink="">
          <xdr:nvSpPr>
            <xdr:cNvPr id="7" name="Tekstvak 6">
              <a:extLst>
                <a:ext uri="{FF2B5EF4-FFF2-40B4-BE49-F238E27FC236}">
                  <a16:creationId xmlns:a16="http://schemas.microsoft.com/office/drawing/2014/main" id="{8AC7DEB0-EB14-4A80-A3B0-12B6A99EC139}"/>
                </a:ext>
              </a:extLst>
            </xdr:cNvPr>
            <xdr:cNvSpPr txBox="1"/>
          </xdr:nvSpPr>
          <xdr:spPr>
            <a:xfrm>
              <a:off x="17302891" y="2297542"/>
              <a:ext cx="1486048" cy="6148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nl-NL" sz="1400" b="0" i="0">
                  <a:latin typeface="Cambria Math" panose="02040503050406030204" pitchFamily="18" charset="0"/>
                </a:rPr>
                <a:t>𝐿𝐼𝑐_𝑛=2/(1/(𝐷𝐾_𝑛 )+1/(𝑅𝑂_𝑛 ))</a:t>
              </a:r>
              <a:endParaRPr lang="nl-NL" sz="1100"/>
            </a:p>
          </xdr:txBody>
        </xdr:sp>
      </mc:Fallback>
    </mc:AlternateContent>
    <xdr:clientData/>
  </xdr:oneCellAnchor>
  <xdr:oneCellAnchor>
    <xdr:from>
      <xdr:col>19</xdr:col>
      <xdr:colOff>668767</xdr:colOff>
      <xdr:row>5</xdr:row>
      <xdr:rowOff>135929</xdr:rowOff>
    </xdr:from>
    <xdr:ext cx="3080273" cy="458908"/>
    <mc:AlternateContent xmlns:mc="http://schemas.openxmlformats.org/markup-compatibility/2006" xmlns:a14="http://schemas.microsoft.com/office/drawing/2010/main">
      <mc:Choice Requires="a14">
        <xdr:sp macro="" textlink="">
          <xdr:nvSpPr>
            <xdr:cNvPr id="8" name="Tekstvak 7">
              <a:extLst>
                <a:ext uri="{FF2B5EF4-FFF2-40B4-BE49-F238E27FC236}">
                  <a16:creationId xmlns:a16="http://schemas.microsoft.com/office/drawing/2014/main" id="{24ED52AD-5FC9-48B7-BF15-9A42A8C12F8C}"/>
                </a:ext>
              </a:extLst>
            </xdr:cNvPr>
            <xdr:cNvSpPr txBox="1"/>
          </xdr:nvSpPr>
          <xdr:spPr>
            <a:xfrm>
              <a:off x="27462592" y="1545629"/>
              <a:ext cx="3080273" cy="458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nl-NL" sz="1400" b="0" i="1">
                        <a:latin typeface="Cambria Math" panose="02040503050406030204" pitchFamily="18" charset="0"/>
                      </a:rPr>
                      <m:t>𝐻𝑝𝑟</m:t>
                    </m:r>
                    <m:r>
                      <a:rPr lang="nl-NL" sz="1400" b="0" i="0">
                        <a:latin typeface="Cambria Math" panose="02040503050406030204" pitchFamily="18" charset="0"/>
                      </a:rPr>
                      <m:t>=</m:t>
                    </m:r>
                    <m:f>
                      <m:fPr>
                        <m:ctrlPr>
                          <a:rPr lang="nl-NL" sz="1400" b="0" i="1">
                            <a:latin typeface="Cambria Math" panose="02040503050406030204" pitchFamily="18" charset="0"/>
                          </a:rPr>
                        </m:ctrlPr>
                      </m:fPr>
                      <m:num>
                        <m:nary>
                          <m:naryPr>
                            <m:chr m:val="∑"/>
                            <m:ctrlPr>
                              <a:rPr lang="nl-NL" sz="1400" b="0" i="1">
                                <a:latin typeface="Cambria Math" panose="02040503050406030204" pitchFamily="18" charset="0"/>
                              </a:rPr>
                            </m:ctrlPr>
                          </m:naryPr>
                          <m:sub>
                            <m:r>
                              <m:rPr>
                                <m:brk m:alnAt="23"/>
                              </m:rPr>
                              <a:rPr lang="nl-NL" sz="1400" b="0" i="1">
                                <a:latin typeface="Cambria Math" panose="02040503050406030204" pitchFamily="18" charset="0"/>
                              </a:rPr>
                              <m:t>𝑖</m:t>
                            </m:r>
                            <m:r>
                              <a:rPr lang="nl-NL" sz="1400" b="0" i="1">
                                <a:latin typeface="Cambria Math" panose="02040503050406030204" pitchFamily="18" charset="0"/>
                              </a:rPr>
                              <m:t>=1</m:t>
                            </m:r>
                          </m:sub>
                          <m:sup>
                            <m:r>
                              <a:rPr lang="nl-NL" sz="1400" b="0" i="1">
                                <a:latin typeface="Cambria Math" panose="02040503050406030204" pitchFamily="18" charset="0"/>
                              </a:rPr>
                              <m:t>𝑛</m:t>
                            </m:r>
                          </m:sup>
                          <m:e>
                            <m:r>
                              <a:rPr lang="nl-NL" sz="1400" b="0" i="1">
                                <a:latin typeface="Cambria Math" panose="02040503050406030204" pitchFamily="18" charset="0"/>
                              </a:rPr>
                              <m:t>𝑀𝑃</m:t>
                            </m:r>
                            <m:sSub>
                              <m:sSubPr>
                                <m:ctrlPr>
                                  <a:rPr lang="nl-NL" sz="1400" b="0" i="1">
                                    <a:latin typeface="Cambria Math" panose="02040503050406030204" pitchFamily="18" charset="0"/>
                                  </a:rPr>
                                </m:ctrlPr>
                              </m:sSubPr>
                              <m:e>
                                <m:r>
                                  <a:rPr lang="nl-NL" sz="1400" b="0" i="1">
                                    <a:latin typeface="Cambria Math" panose="02040503050406030204" pitchFamily="18" charset="0"/>
                                  </a:rPr>
                                  <m:t>𝐺</m:t>
                                </m:r>
                              </m:e>
                              <m:sub>
                                <m:r>
                                  <a:rPr lang="nl-NL" sz="1400" b="0" i="1">
                                    <a:latin typeface="Cambria Math" panose="02040503050406030204" pitchFamily="18" charset="0"/>
                                  </a:rPr>
                                  <m:t>𝑛</m:t>
                                </m:r>
                              </m:sub>
                            </m:sSub>
                            <m:r>
                              <a:rPr lang="nl-NL" sz="1400" b="0" i="1">
                                <a:latin typeface="Cambria Math" panose="02040503050406030204" pitchFamily="18" charset="0"/>
                              </a:rPr>
                              <m:t>∗</m:t>
                            </m:r>
                            <m:r>
                              <a:rPr lang="nl-NL" sz="1400" b="0" i="1">
                                <a:latin typeface="Cambria Math" panose="02040503050406030204" pitchFamily="18" charset="0"/>
                              </a:rPr>
                              <m:t>𝐿𝐼</m:t>
                            </m:r>
                            <m:sSub>
                              <m:sSubPr>
                                <m:ctrlPr>
                                  <a:rPr lang="nl-NL" sz="1400" b="0" i="1">
                                    <a:latin typeface="Cambria Math" panose="02040503050406030204" pitchFamily="18" charset="0"/>
                                  </a:rPr>
                                </m:ctrlPr>
                              </m:sSubPr>
                              <m:e>
                                <m:r>
                                  <a:rPr lang="nl-NL" sz="1400" b="0" i="1">
                                    <a:latin typeface="Cambria Math" panose="02040503050406030204" pitchFamily="18" charset="0"/>
                                  </a:rPr>
                                  <m:t>𝑝</m:t>
                                </m:r>
                              </m:e>
                              <m:sub>
                                <m:r>
                                  <a:rPr lang="nl-NL" sz="1400" b="0" i="1">
                                    <a:latin typeface="Cambria Math" panose="02040503050406030204" pitchFamily="18" charset="0"/>
                                  </a:rPr>
                                  <m:t>𝑛</m:t>
                                </m:r>
                              </m:sub>
                            </m:sSub>
                            <m:r>
                              <a:rPr lang="nl-NL" sz="1400" b="0" i="1">
                                <a:latin typeface="Cambria Math" panose="02040503050406030204" pitchFamily="18" charset="0"/>
                              </a:rPr>
                              <m:t>∗</m:t>
                            </m:r>
                            <m:r>
                              <a:rPr lang="nl-NL" sz="1400" b="0" i="1">
                                <a:latin typeface="Cambria Math" panose="02040503050406030204" pitchFamily="18" charset="0"/>
                              </a:rPr>
                              <m:t>𝐾𝑝</m:t>
                            </m:r>
                            <m:sSub>
                              <m:sSubPr>
                                <m:ctrlPr>
                                  <a:rPr lang="nl-NL" sz="1400" b="0" i="1">
                                    <a:latin typeface="Cambria Math" panose="02040503050406030204" pitchFamily="18" charset="0"/>
                                  </a:rPr>
                                </m:ctrlPr>
                              </m:sSubPr>
                              <m:e>
                                <m:r>
                                  <a:rPr lang="nl-NL" sz="1400" b="0" i="1">
                                    <a:latin typeface="Cambria Math" panose="02040503050406030204" pitchFamily="18" charset="0"/>
                                  </a:rPr>
                                  <m:t>𝑟</m:t>
                                </m:r>
                              </m:e>
                              <m:sub>
                                <m:r>
                                  <a:rPr lang="nl-NL" sz="1400" b="0" i="1">
                                    <a:latin typeface="Cambria Math" panose="02040503050406030204" pitchFamily="18" charset="0"/>
                                  </a:rPr>
                                  <m:t>𝑛</m:t>
                                </m:r>
                              </m:sub>
                            </m:sSub>
                            <m:r>
                              <a:rPr lang="nl-NL" sz="1400" b="0" i="1">
                                <a:latin typeface="Cambria Math" panose="02040503050406030204" pitchFamily="18" charset="0"/>
                              </a:rPr>
                              <m:t>∗</m:t>
                            </m:r>
                            <m:r>
                              <a:rPr lang="nl-NL" sz="1400" b="0" i="1">
                                <a:latin typeface="Cambria Math" panose="02040503050406030204" pitchFamily="18" charset="0"/>
                              </a:rPr>
                              <m:t>𝑀𝑝</m:t>
                            </m:r>
                            <m:sSub>
                              <m:sSubPr>
                                <m:ctrlPr>
                                  <a:rPr lang="nl-NL" sz="1400" b="0" i="1">
                                    <a:latin typeface="Cambria Math" panose="02040503050406030204" pitchFamily="18" charset="0"/>
                                  </a:rPr>
                                </m:ctrlPr>
                              </m:sSubPr>
                              <m:e>
                                <m:r>
                                  <a:rPr lang="nl-NL" sz="1400" b="0" i="1">
                                    <a:latin typeface="Cambria Math" panose="02040503050406030204" pitchFamily="18" charset="0"/>
                                  </a:rPr>
                                  <m:t>𝑟</m:t>
                                </m:r>
                              </m:e>
                              <m:sub>
                                <m:r>
                                  <a:rPr lang="nl-NL" sz="1400" b="0" i="1">
                                    <a:latin typeface="Cambria Math" panose="02040503050406030204" pitchFamily="18" charset="0"/>
                                  </a:rPr>
                                  <m:t>𝑛</m:t>
                                </m:r>
                              </m:sub>
                            </m:sSub>
                          </m:e>
                        </m:nary>
                      </m:num>
                      <m:den>
                        <m:r>
                          <a:rPr lang="nl-NL" sz="1400" b="0" i="1">
                            <a:latin typeface="Cambria Math" panose="02040503050406030204" pitchFamily="18" charset="0"/>
                          </a:rPr>
                          <m:t>𝑀𝑃</m:t>
                        </m:r>
                        <m:sSub>
                          <m:sSubPr>
                            <m:ctrlPr>
                              <a:rPr lang="nl-NL" sz="1400" b="0" i="1">
                                <a:latin typeface="Cambria Math" panose="02040503050406030204" pitchFamily="18" charset="0"/>
                              </a:rPr>
                            </m:ctrlPr>
                          </m:sSubPr>
                          <m:e>
                            <m:r>
                              <a:rPr lang="nl-NL" sz="1400" b="0" i="1">
                                <a:latin typeface="Cambria Math" panose="02040503050406030204" pitchFamily="18" charset="0"/>
                              </a:rPr>
                              <m:t>𝐺</m:t>
                            </m:r>
                          </m:e>
                          <m:sub>
                            <m:r>
                              <a:rPr lang="nl-NL" sz="1400" b="0" i="1">
                                <a:latin typeface="Cambria Math" panose="02040503050406030204" pitchFamily="18" charset="0"/>
                              </a:rPr>
                              <m:t>𝑒𝑥𝑐𝑙</m:t>
                            </m:r>
                            <m:r>
                              <a:rPr lang="nl-NL" sz="1400" b="0" i="1">
                                <a:latin typeface="Cambria Math" panose="02040503050406030204" pitchFamily="18" charset="0"/>
                              </a:rPr>
                              <m:t>. </m:t>
                            </m:r>
                            <m:r>
                              <a:rPr lang="nl-NL" sz="1400" b="0" i="1">
                                <a:latin typeface="Cambria Math" panose="02040503050406030204" pitchFamily="18" charset="0"/>
                              </a:rPr>
                              <m:t>𝑃𝑉</m:t>
                            </m:r>
                          </m:sub>
                        </m:sSub>
                      </m:den>
                    </m:f>
                  </m:oMath>
                </m:oMathPara>
              </a14:m>
              <a:endParaRPr lang="nl-NL" sz="1100"/>
            </a:p>
          </xdr:txBody>
        </xdr:sp>
      </mc:Choice>
      <mc:Fallback xmlns="">
        <xdr:sp macro="" textlink="">
          <xdr:nvSpPr>
            <xdr:cNvPr id="8" name="Tekstvak 7">
              <a:extLst>
                <a:ext uri="{FF2B5EF4-FFF2-40B4-BE49-F238E27FC236}">
                  <a16:creationId xmlns:a16="http://schemas.microsoft.com/office/drawing/2014/main" id="{24ED52AD-5FC9-48B7-BF15-9A42A8C12F8C}"/>
                </a:ext>
              </a:extLst>
            </xdr:cNvPr>
            <xdr:cNvSpPr txBox="1"/>
          </xdr:nvSpPr>
          <xdr:spPr>
            <a:xfrm>
              <a:off x="27462592" y="1545629"/>
              <a:ext cx="3080273" cy="458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nl-NL" sz="1400" b="0" i="0">
                  <a:latin typeface="Cambria Math" panose="02040503050406030204" pitchFamily="18" charset="0"/>
                </a:rPr>
                <a:t>𝐻𝑝𝑟=(∑_(𝑖=1)^𝑛▒〖𝑀𝑃𝐺_𝑛∗𝐿𝐼𝑝_𝑛∗𝐾𝑝𝑟_𝑛∗𝑀𝑝𝑟_𝑛 〗)/(𝑀𝑃𝐺_(𝑒𝑥𝑐𝑙. 𝑃𝑉) )</a:t>
              </a:r>
              <a:endParaRPr lang="nl-NL" sz="1100"/>
            </a:p>
          </xdr:txBody>
        </xdr:sp>
      </mc:Fallback>
    </mc:AlternateContent>
    <xdr:clientData/>
  </xdr:oneCellAnchor>
  <xdr:oneCellAnchor>
    <xdr:from>
      <xdr:col>15</xdr:col>
      <xdr:colOff>425597</xdr:colOff>
      <xdr:row>5</xdr:row>
      <xdr:rowOff>59615</xdr:rowOff>
    </xdr:from>
    <xdr:ext cx="3156474" cy="588174"/>
    <mc:AlternateContent xmlns:mc="http://schemas.openxmlformats.org/markup-compatibility/2006" xmlns:a14="http://schemas.microsoft.com/office/drawing/2010/main">
      <mc:Choice Requires="a14">
        <xdr:sp macro="" textlink="">
          <xdr:nvSpPr>
            <xdr:cNvPr id="9" name="Tekstvak 8">
              <a:extLst>
                <a:ext uri="{FF2B5EF4-FFF2-40B4-BE49-F238E27FC236}">
                  <a16:creationId xmlns:a16="http://schemas.microsoft.com/office/drawing/2014/main" id="{3C3617E6-EB14-4BB1-87AB-D32586C7BBE8}"/>
                </a:ext>
              </a:extLst>
            </xdr:cNvPr>
            <xdr:cNvSpPr txBox="1"/>
          </xdr:nvSpPr>
          <xdr:spPr>
            <a:xfrm>
              <a:off x="20189972" y="1393115"/>
              <a:ext cx="3156474" cy="5881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nl-NL" sz="1400" b="0" i="1">
                        <a:latin typeface="Cambria Math" panose="02040503050406030204" pitchFamily="18" charset="0"/>
                      </a:rPr>
                      <m:t>𝐿𝐼</m:t>
                    </m:r>
                    <m:sSub>
                      <m:sSubPr>
                        <m:ctrlPr>
                          <a:rPr lang="nl-NL" sz="1400" b="0" i="1">
                            <a:latin typeface="Cambria Math" panose="02040503050406030204" pitchFamily="18" charset="0"/>
                          </a:rPr>
                        </m:ctrlPr>
                      </m:sSubPr>
                      <m:e>
                        <m:r>
                          <a:rPr lang="nl-NL" sz="1400" b="0" i="1">
                            <a:latin typeface="Cambria Math" panose="02040503050406030204" pitchFamily="18" charset="0"/>
                          </a:rPr>
                          <m:t>𝑙</m:t>
                        </m:r>
                      </m:e>
                      <m:sub>
                        <m:r>
                          <a:rPr lang="nl-NL" sz="1400" b="0" i="1">
                            <a:latin typeface="Cambria Math" panose="02040503050406030204" pitchFamily="18" charset="0"/>
                          </a:rPr>
                          <m:t>𝑛</m:t>
                        </m:r>
                      </m:sub>
                    </m:sSub>
                    <m:r>
                      <a:rPr lang="nl-NL" sz="1400" b="0" i="1">
                        <a:latin typeface="Cambria Math" panose="02040503050406030204" pitchFamily="18" charset="0"/>
                      </a:rPr>
                      <m:t>=</m:t>
                    </m:r>
                    <m:f>
                      <m:fPr>
                        <m:ctrlPr>
                          <a:rPr lang="nl-NL" sz="1400" b="0" i="1">
                            <a:latin typeface="Cambria Math" panose="02040503050406030204" pitchFamily="18" charset="0"/>
                          </a:rPr>
                        </m:ctrlPr>
                      </m:fPr>
                      <m:num>
                        <m:r>
                          <a:rPr lang="nl-NL" sz="1400" b="0" i="1">
                            <a:latin typeface="Cambria Math" panose="02040503050406030204" pitchFamily="18" charset="0"/>
                          </a:rPr>
                          <m:t>1</m:t>
                        </m:r>
                      </m:num>
                      <m:den>
                        <m:nary>
                          <m:naryPr>
                            <m:chr m:val="∑"/>
                            <m:limLoc m:val="subSup"/>
                            <m:ctrlPr>
                              <a:rPr lang="nl-NL" sz="1400" b="0" i="1">
                                <a:latin typeface="Cambria Math" panose="02040503050406030204" pitchFamily="18" charset="0"/>
                              </a:rPr>
                            </m:ctrlPr>
                          </m:naryPr>
                          <m:sub>
                            <m:r>
                              <m:rPr>
                                <m:brk m:alnAt="25"/>
                              </m:rPr>
                              <a:rPr lang="nl-NL" sz="1400" b="0" i="1">
                                <a:latin typeface="Cambria Math" panose="02040503050406030204" pitchFamily="18" charset="0"/>
                              </a:rPr>
                              <m:t>𝑖</m:t>
                            </m:r>
                            <m:r>
                              <a:rPr lang="nl-NL" sz="1400" b="0" i="1">
                                <a:latin typeface="Cambria Math" panose="02040503050406030204" pitchFamily="18" charset="0"/>
                              </a:rPr>
                              <m:t>=1</m:t>
                            </m:r>
                          </m:sub>
                          <m:sup>
                            <m:r>
                              <a:rPr lang="nl-NL" sz="1400" b="0" i="1">
                                <a:latin typeface="Cambria Math" panose="02040503050406030204" pitchFamily="18" charset="0"/>
                              </a:rPr>
                              <m:t>𝑙</m:t>
                            </m:r>
                          </m:sup>
                          <m:e>
                            <m:r>
                              <a:rPr lang="nl-NL" sz="1400" b="0" i="1">
                                <a:latin typeface="Cambria Math" panose="02040503050406030204" pitchFamily="18" charset="0"/>
                              </a:rPr>
                              <m:t>𝑀𝑃</m:t>
                            </m:r>
                            <m:sSub>
                              <m:sSubPr>
                                <m:ctrlPr>
                                  <a:rPr lang="nl-NL" sz="1400" b="0" i="1">
                                    <a:latin typeface="Cambria Math" panose="02040503050406030204" pitchFamily="18" charset="0"/>
                                  </a:rPr>
                                </m:ctrlPr>
                              </m:sSubPr>
                              <m:e>
                                <m:r>
                                  <a:rPr lang="nl-NL" sz="1400" b="0" i="1">
                                    <a:latin typeface="Cambria Math" panose="02040503050406030204" pitchFamily="18" charset="0"/>
                                  </a:rPr>
                                  <m:t>𝐺</m:t>
                                </m:r>
                              </m:e>
                              <m:sub>
                                <m:r>
                                  <a:rPr lang="nl-NL" sz="1400" b="0" i="1">
                                    <a:latin typeface="Cambria Math" panose="02040503050406030204" pitchFamily="18" charset="0"/>
                                  </a:rPr>
                                  <m:t>𝑛</m:t>
                                </m:r>
                              </m:sub>
                            </m:sSub>
                          </m:e>
                        </m:nary>
                      </m:den>
                    </m:f>
                    <m:r>
                      <a:rPr lang="nl-NL" sz="1400" b="0" i="1">
                        <a:latin typeface="Cambria Math" panose="02040503050406030204" pitchFamily="18" charset="0"/>
                      </a:rPr>
                      <m:t>∗</m:t>
                    </m:r>
                    <m:nary>
                      <m:naryPr>
                        <m:chr m:val="∑"/>
                        <m:ctrlPr>
                          <a:rPr lang="nl-NL" sz="1400" b="0" i="1">
                            <a:latin typeface="Cambria Math" panose="02040503050406030204" pitchFamily="18" charset="0"/>
                          </a:rPr>
                        </m:ctrlPr>
                      </m:naryPr>
                      <m:sub>
                        <m:r>
                          <m:rPr>
                            <m:brk m:alnAt="23"/>
                          </m:rPr>
                          <a:rPr lang="nl-NL" sz="1400" b="0" i="1">
                            <a:latin typeface="Cambria Math" panose="02040503050406030204" pitchFamily="18" charset="0"/>
                          </a:rPr>
                          <m:t>𝑖</m:t>
                        </m:r>
                        <m:r>
                          <a:rPr lang="nl-NL" sz="1400" b="0" i="1">
                            <a:latin typeface="Cambria Math" panose="02040503050406030204" pitchFamily="18" charset="0"/>
                          </a:rPr>
                          <m:t>=1</m:t>
                        </m:r>
                      </m:sub>
                      <m:sup>
                        <m:r>
                          <a:rPr lang="nl-NL" sz="1400" b="0" i="1">
                            <a:latin typeface="Cambria Math" panose="02040503050406030204" pitchFamily="18" charset="0"/>
                          </a:rPr>
                          <m:t>𝑛</m:t>
                        </m:r>
                      </m:sup>
                      <m:e>
                        <m:r>
                          <a:rPr lang="nl-NL" sz="1400" b="0" i="1">
                            <a:latin typeface="Cambria Math" panose="02040503050406030204" pitchFamily="18" charset="0"/>
                          </a:rPr>
                          <m:t>𝑀𝑃</m:t>
                        </m:r>
                        <m:sSub>
                          <m:sSubPr>
                            <m:ctrlPr>
                              <a:rPr lang="nl-NL" sz="1400" b="0" i="1">
                                <a:latin typeface="Cambria Math" panose="02040503050406030204" pitchFamily="18" charset="0"/>
                              </a:rPr>
                            </m:ctrlPr>
                          </m:sSubPr>
                          <m:e>
                            <m:r>
                              <a:rPr lang="nl-NL" sz="1400" b="0" i="1">
                                <a:latin typeface="Cambria Math" panose="02040503050406030204" pitchFamily="18" charset="0"/>
                              </a:rPr>
                              <m:t>𝐺</m:t>
                            </m:r>
                          </m:e>
                          <m:sub>
                            <m:r>
                              <a:rPr lang="nl-NL" sz="1400" b="0" i="1">
                                <a:latin typeface="Cambria Math" panose="02040503050406030204" pitchFamily="18" charset="0"/>
                              </a:rPr>
                              <m:t>𝑛</m:t>
                            </m:r>
                          </m:sub>
                        </m:sSub>
                        <m:r>
                          <a:rPr lang="nl-NL" sz="1400" b="0" i="1">
                            <a:latin typeface="Cambria Math" panose="02040503050406030204" pitchFamily="18" charset="0"/>
                          </a:rPr>
                          <m:t>∗</m:t>
                        </m:r>
                        <m:r>
                          <a:rPr lang="nl-NL" sz="1400" b="0" i="1">
                            <a:latin typeface="Cambria Math" panose="02040503050406030204" pitchFamily="18" charset="0"/>
                          </a:rPr>
                          <m:t>𝐿𝐼</m:t>
                        </m:r>
                        <m:sSub>
                          <m:sSubPr>
                            <m:ctrlPr>
                              <a:rPr lang="nl-NL" sz="1400" b="0" i="1">
                                <a:latin typeface="Cambria Math" panose="02040503050406030204" pitchFamily="18" charset="0"/>
                              </a:rPr>
                            </m:ctrlPr>
                          </m:sSubPr>
                          <m:e>
                            <m:r>
                              <a:rPr lang="nl-NL" sz="1400" b="0" i="1">
                                <a:latin typeface="Cambria Math" panose="02040503050406030204" pitchFamily="18" charset="0"/>
                              </a:rPr>
                              <m:t>𝑝</m:t>
                            </m:r>
                          </m:e>
                          <m:sub>
                            <m:r>
                              <a:rPr lang="nl-NL" sz="1400" b="0" i="1">
                                <a:latin typeface="Cambria Math" panose="02040503050406030204" pitchFamily="18" charset="0"/>
                              </a:rPr>
                              <m:t>𝑛</m:t>
                            </m:r>
                          </m:sub>
                        </m:sSub>
                      </m:e>
                    </m:nary>
                  </m:oMath>
                </m:oMathPara>
              </a14:m>
              <a:endParaRPr lang="nl-NL" sz="1100"/>
            </a:p>
          </xdr:txBody>
        </xdr:sp>
      </mc:Choice>
      <mc:Fallback xmlns="">
        <xdr:sp macro="" textlink="">
          <xdr:nvSpPr>
            <xdr:cNvPr id="9" name="Tekstvak 8">
              <a:extLst>
                <a:ext uri="{FF2B5EF4-FFF2-40B4-BE49-F238E27FC236}">
                  <a16:creationId xmlns:a16="http://schemas.microsoft.com/office/drawing/2014/main" id="{3C3617E6-EB14-4BB1-87AB-D32586C7BBE8}"/>
                </a:ext>
              </a:extLst>
            </xdr:cNvPr>
            <xdr:cNvSpPr txBox="1"/>
          </xdr:nvSpPr>
          <xdr:spPr>
            <a:xfrm>
              <a:off x="20189972" y="1393115"/>
              <a:ext cx="3156474" cy="5881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nl-NL" sz="1400" b="0" i="0">
                  <a:latin typeface="Cambria Math" panose="02040503050406030204" pitchFamily="18" charset="0"/>
                </a:rPr>
                <a:t>𝐿𝐼𝑙_𝑛=1/(∑2_(𝑖=1)^𝑙▒〖𝑀𝑃𝐺_𝑛 〗)∗∑_(𝑖=1)^𝑛▒〖𝑀𝑃𝐺_𝑛∗𝐿𝐼𝑝_𝑛 〗</a:t>
              </a:r>
              <a:endParaRPr lang="nl-NL" sz="1100"/>
            </a:p>
          </xdr:txBody>
        </xdr:sp>
      </mc:Fallback>
    </mc:AlternateContent>
    <xdr:clientData/>
  </xdr:oneCellAnchor>
  <xdr:oneCellAnchor>
    <xdr:from>
      <xdr:col>15</xdr:col>
      <xdr:colOff>403411</xdr:colOff>
      <xdr:row>8</xdr:row>
      <xdr:rowOff>203387</xdr:rowOff>
    </xdr:from>
    <xdr:ext cx="3141233" cy="588174"/>
    <mc:AlternateContent xmlns:mc="http://schemas.openxmlformats.org/markup-compatibility/2006" xmlns:a14="http://schemas.microsoft.com/office/drawing/2010/main">
      <mc:Choice Requires="a14">
        <xdr:sp macro="" textlink="">
          <xdr:nvSpPr>
            <xdr:cNvPr id="10" name="Tekstvak 9">
              <a:extLst>
                <a:ext uri="{FF2B5EF4-FFF2-40B4-BE49-F238E27FC236}">
                  <a16:creationId xmlns:a16="http://schemas.microsoft.com/office/drawing/2014/main" id="{EC9CAE55-2937-49AC-A99F-8CA3DA2D4E8E}"/>
                </a:ext>
              </a:extLst>
            </xdr:cNvPr>
            <xdr:cNvSpPr txBox="1"/>
          </xdr:nvSpPr>
          <xdr:spPr>
            <a:xfrm>
              <a:off x="20167786" y="2194112"/>
              <a:ext cx="3141233" cy="5881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nl-NL" sz="1400" b="0" i="1">
                        <a:latin typeface="Cambria Math" panose="02040503050406030204" pitchFamily="18" charset="0"/>
                      </a:rPr>
                      <m:t>𝐿𝐼𝑔</m:t>
                    </m:r>
                    <m:r>
                      <a:rPr lang="nl-NL" sz="1400" b="0" i="1">
                        <a:latin typeface="Cambria Math" panose="02040503050406030204" pitchFamily="18" charset="0"/>
                      </a:rPr>
                      <m:t>=</m:t>
                    </m:r>
                    <m:f>
                      <m:fPr>
                        <m:ctrlPr>
                          <a:rPr lang="nl-NL" sz="1400" b="0" i="1">
                            <a:latin typeface="Cambria Math" panose="02040503050406030204" pitchFamily="18" charset="0"/>
                          </a:rPr>
                        </m:ctrlPr>
                      </m:fPr>
                      <m:num>
                        <m:r>
                          <a:rPr lang="nl-NL" sz="1400" b="0" i="1">
                            <a:latin typeface="Cambria Math" panose="02040503050406030204" pitchFamily="18" charset="0"/>
                          </a:rPr>
                          <m:t>1</m:t>
                        </m:r>
                      </m:num>
                      <m:den>
                        <m:r>
                          <a:rPr lang="nl-NL" sz="1400" b="0" i="1">
                            <a:latin typeface="Cambria Math" panose="02040503050406030204" pitchFamily="18" charset="0"/>
                          </a:rPr>
                          <m:t>𝑀𝑃</m:t>
                        </m:r>
                        <m:sSub>
                          <m:sSubPr>
                            <m:ctrlPr>
                              <a:rPr lang="nl-NL" sz="1400" b="0" i="1">
                                <a:latin typeface="Cambria Math" panose="02040503050406030204" pitchFamily="18" charset="0"/>
                              </a:rPr>
                            </m:ctrlPr>
                          </m:sSubPr>
                          <m:e>
                            <m:r>
                              <a:rPr lang="nl-NL" sz="1400" b="0" i="1">
                                <a:latin typeface="Cambria Math" panose="02040503050406030204" pitchFamily="18" charset="0"/>
                              </a:rPr>
                              <m:t>𝐺</m:t>
                            </m:r>
                          </m:e>
                          <m:sub>
                            <m:r>
                              <a:rPr lang="nl-NL" sz="1400" b="0" i="1">
                                <a:latin typeface="Cambria Math" panose="02040503050406030204" pitchFamily="18" charset="0"/>
                              </a:rPr>
                              <m:t>𝑡𝑜𝑡𝑎𝑎𝑙</m:t>
                            </m:r>
                          </m:sub>
                        </m:sSub>
                      </m:den>
                    </m:f>
                    <m:r>
                      <a:rPr lang="nl-NL" sz="1400" b="0" i="1">
                        <a:latin typeface="Cambria Math" panose="02040503050406030204" pitchFamily="18" charset="0"/>
                      </a:rPr>
                      <m:t>∗</m:t>
                    </m:r>
                    <m:nary>
                      <m:naryPr>
                        <m:chr m:val="∑"/>
                        <m:ctrlPr>
                          <a:rPr lang="nl-NL" sz="1400" b="0" i="1">
                            <a:latin typeface="Cambria Math" panose="02040503050406030204" pitchFamily="18" charset="0"/>
                          </a:rPr>
                        </m:ctrlPr>
                      </m:naryPr>
                      <m:sub>
                        <m:r>
                          <m:rPr>
                            <m:brk m:alnAt="23"/>
                          </m:rPr>
                          <a:rPr lang="nl-NL" sz="1400" b="0" i="1">
                            <a:latin typeface="Cambria Math" panose="02040503050406030204" pitchFamily="18" charset="0"/>
                          </a:rPr>
                          <m:t>𝑖</m:t>
                        </m:r>
                        <m:r>
                          <a:rPr lang="nl-NL" sz="1400" b="0" i="1">
                            <a:latin typeface="Cambria Math" panose="02040503050406030204" pitchFamily="18" charset="0"/>
                          </a:rPr>
                          <m:t>=1</m:t>
                        </m:r>
                      </m:sub>
                      <m:sup>
                        <m:r>
                          <a:rPr lang="nl-NL" sz="1400" b="0" i="1">
                            <a:latin typeface="Cambria Math" panose="02040503050406030204" pitchFamily="18" charset="0"/>
                          </a:rPr>
                          <m:t>𝑛</m:t>
                        </m:r>
                      </m:sup>
                      <m:e>
                        <m:r>
                          <a:rPr lang="nl-NL" sz="1400" b="0" i="1">
                            <a:latin typeface="Cambria Math" panose="02040503050406030204" pitchFamily="18" charset="0"/>
                          </a:rPr>
                          <m:t>𝑀𝑃</m:t>
                        </m:r>
                        <m:sSub>
                          <m:sSubPr>
                            <m:ctrlPr>
                              <a:rPr lang="nl-NL" sz="1400" b="0" i="1">
                                <a:latin typeface="Cambria Math" panose="02040503050406030204" pitchFamily="18" charset="0"/>
                              </a:rPr>
                            </m:ctrlPr>
                          </m:sSubPr>
                          <m:e>
                            <m:r>
                              <a:rPr lang="nl-NL" sz="1400" b="0" i="1">
                                <a:latin typeface="Cambria Math" panose="02040503050406030204" pitchFamily="18" charset="0"/>
                              </a:rPr>
                              <m:t>𝐺</m:t>
                            </m:r>
                          </m:e>
                          <m:sub>
                            <m:r>
                              <a:rPr lang="nl-NL" sz="1400" b="0" i="1">
                                <a:latin typeface="Cambria Math" panose="02040503050406030204" pitchFamily="18" charset="0"/>
                              </a:rPr>
                              <m:t>𝑛</m:t>
                            </m:r>
                          </m:sub>
                        </m:sSub>
                        <m:r>
                          <a:rPr lang="nl-NL" sz="1400" b="0" i="1">
                            <a:latin typeface="Cambria Math" panose="02040503050406030204" pitchFamily="18" charset="0"/>
                          </a:rPr>
                          <m:t>∗</m:t>
                        </m:r>
                        <m:r>
                          <a:rPr lang="nl-NL" sz="1400" b="0" i="1">
                            <a:latin typeface="Cambria Math" panose="02040503050406030204" pitchFamily="18" charset="0"/>
                          </a:rPr>
                          <m:t>𝐿𝐼</m:t>
                        </m:r>
                        <m:sSub>
                          <m:sSubPr>
                            <m:ctrlPr>
                              <a:rPr lang="nl-NL" sz="1400" b="0" i="1">
                                <a:latin typeface="Cambria Math" panose="02040503050406030204" pitchFamily="18" charset="0"/>
                              </a:rPr>
                            </m:ctrlPr>
                          </m:sSubPr>
                          <m:e>
                            <m:r>
                              <a:rPr lang="nl-NL" sz="1400" b="0" i="1">
                                <a:latin typeface="Cambria Math" panose="02040503050406030204" pitchFamily="18" charset="0"/>
                              </a:rPr>
                              <m:t>𝑝</m:t>
                            </m:r>
                          </m:e>
                          <m:sub>
                            <m:r>
                              <a:rPr lang="nl-NL" sz="1400" b="0" i="1">
                                <a:latin typeface="Cambria Math" panose="02040503050406030204" pitchFamily="18" charset="0"/>
                              </a:rPr>
                              <m:t>𝑛</m:t>
                            </m:r>
                          </m:sub>
                        </m:sSub>
                      </m:e>
                    </m:nary>
                  </m:oMath>
                </m:oMathPara>
              </a14:m>
              <a:endParaRPr lang="nl-NL" sz="1100"/>
            </a:p>
          </xdr:txBody>
        </xdr:sp>
      </mc:Choice>
      <mc:Fallback xmlns="">
        <xdr:sp macro="" textlink="">
          <xdr:nvSpPr>
            <xdr:cNvPr id="10" name="Tekstvak 9">
              <a:extLst>
                <a:ext uri="{FF2B5EF4-FFF2-40B4-BE49-F238E27FC236}">
                  <a16:creationId xmlns:a16="http://schemas.microsoft.com/office/drawing/2014/main" id="{EC9CAE55-2937-49AC-A99F-8CA3DA2D4E8E}"/>
                </a:ext>
              </a:extLst>
            </xdr:cNvPr>
            <xdr:cNvSpPr txBox="1"/>
          </xdr:nvSpPr>
          <xdr:spPr>
            <a:xfrm>
              <a:off x="20167786" y="2194112"/>
              <a:ext cx="3141233" cy="5881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nl-NL" sz="1400" b="0" i="0">
                  <a:latin typeface="Cambria Math" panose="02040503050406030204" pitchFamily="18" charset="0"/>
                </a:rPr>
                <a:t>𝐿𝐼𝑔=1/(𝑀𝑃𝐺_𝑡𝑜𝑡𝑎𝑎𝑙 )∗∑_(𝑖=1)^𝑛▒〖𝑀𝑃𝐺_𝑛∗𝐿𝐼𝑝_𝑛 〗</a:t>
              </a:r>
              <a:endParaRPr lang="nl-NL" sz="1100"/>
            </a:p>
          </xdr:txBody>
        </xdr:sp>
      </mc:Fallback>
    </mc:AlternateContent>
    <xdr:clientData/>
  </xdr:one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2365374</xdr:colOff>
      <xdr:row>0</xdr:row>
      <xdr:rowOff>398145</xdr:rowOff>
    </xdr:to>
    <xdr:pic>
      <xdr:nvPicPr>
        <xdr:cNvPr id="2" name="Afbeelding 1">
          <a:extLst>
            <a:ext uri="{FF2B5EF4-FFF2-40B4-BE49-F238E27FC236}">
              <a16:creationId xmlns:a16="http://schemas.microsoft.com/office/drawing/2014/main" id="{8D607F69-7033-4310-A398-B39513EFD03A}"/>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2" t="1554" b="16892"/>
        <a:stretch/>
      </xdr:blipFill>
      <xdr:spPr bwMode="auto">
        <a:xfrm>
          <a:off x="790575" y="0"/>
          <a:ext cx="3184524" cy="3981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20955</xdr:rowOff>
    </xdr:from>
    <xdr:to>
      <xdr:col>3</xdr:col>
      <xdr:colOff>1470659</xdr:colOff>
      <xdr:row>1</xdr:row>
      <xdr:rowOff>0</xdr:rowOff>
    </xdr:to>
    <xdr:pic>
      <xdr:nvPicPr>
        <xdr:cNvPr id="2" name="Afbeelding 1">
          <a:extLst>
            <a:ext uri="{FF2B5EF4-FFF2-40B4-BE49-F238E27FC236}">
              <a16:creationId xmlns:a16="http://schemas.microsoft.com/office/drawing/2014/main" id="{8459EC4E-A787-4EEF-BE73-0F0A7DEF5D9E}"/>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2" t="1554" b="16892"/>
        <a:stretch/>
      </xdr:blipFill>
      <xdr:spPr bwMode="auto">
        <a:xfrm>
          <a:off x="714375" y="20955"/>
          <a:ext cx="3095624" cy="3981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388621</xdr:colOff>
      <xdr:row>5</xdr:row>
      <xdr:rowOff>5714</xdr:rowOff>
    </xdr:from>
    <xdr:ext cx="3783329" cy="2537461"/>
    <xdr:sp macro="" textlink="">
      <xdr:nvSpPr>
        <xdr:cNvPr id="3" name="Tekstvak 2">
          <a:extLst>
            <a:ext uri="{FF2B5EF4-FFF2-40B4-BE49-F238E27FC236}">
              <a16:creationId xmlns:a16="http://schemas.microsoft.com/office/drawing/2014/main" id="{2DFCD1E5-109D-4B02-9824-6771A01357F0}"/>
            </a:ext>
          </a:extLst>
        </xdr:cNvPr>
        <xdr:cNvSpPr txBox="1"/>
      </xdr:nvSpPr>
      <xdr:spPr>
        <a:xfrm>
          <a:off x="6970396" y="1339214"/>
          <a:ext cx="3783329" cy="2537461"/>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nl-NL" sz="1000">
              <a:solidFill>
                <a:schemeClr val="tx1"/>
              </a:solidFill>
              <a:effectLst/>
              <a:latin typeface="+mn-lt"/>
              <a:ea typeface="+mn-ea"/>
              <a:cs typeface="+mn-cs"/>
            </a:rPr>
            <a:t>Berekenen score op het item 2.1.4 circulaire materialen in het thema Milieu van GPR Gebouw. Voor het invullen van de circulaire materialen</a:t>
          </a:r>
          <a:r>
            <a:rPr lang="nl-NL" sz="1000" baseline="0">
              <a:solidFill>
                <a:schemeClr val="tx1"/>
              </a:solidFill>
              <a:effectLst/>
              <a:latin typeface="+mn-lt"/>
              <a:ea typeface="+mn-ea"/>
              <a:cs typeface="+mn-cs"/>
            </a:rPr>
            <a:t> is een GPR Materiaal berekening nodig.</a:t>
          </a:r>
          <a:endParaRPr lang="nl-NL" sz="1000">
            <a:effectLst/>
          </a:endParaRPr>
        </a:p>
        <a:p>
          <a:r>
            <a:rPr lang="nl-NL" sz="1000" b="1">
              <a:solidFill>
                <a:sysClr val="windowText" lastClr="000000"/>
              </a:solidFill>
              <a:effectLst/>
              <a:latin typeface="+mn-lt"/>
              <a:ea typeface="+mn-ea"/>
              <a:cs typeface="+mn-cs"/>
            </a:rPr>
            <a:t>Werkwijze</a:t>
          </a:r>
          <a:endParaRPr lang="nl-NL" sz="1000">
            <a:solidFill>
              <a:sysClr val="windowText" lastClr="000000"/>
            </a:solidFill>
            <a:effectLst/>
          </a:endParaRPr>
        </a:p>
        <a:p>
          <a:r>
            <a:rPr lang="nl-NL" sz="1000">
              <a:solidFill>
                <a:sysClr val="windowText" lastClr="000000"/>
              </a:solidFill>
              <a:effectLst/>
              <a:latin typeface="+mn-lt"/>
              <a:ea typeface="+mn-ea"/>
              <a:cs typeface="+mn-cs"/>
            </a:rPr>
            <a:t>1. Neem de</a:t>
          </a:r>
          <a:r>
            <a:rPr lang="nl-NL" sz="1000" baseline="0">
              <a:solidFill>
                <a:sysClr val="windowText" lastClr="000000"/>
              </a:solidFill>
              <a:effectLst/>
              <a:latin typeface="+mn-lt"/>
              <a:ea typeface="+mn-ea"/>
              <a:cs typeface="+mn-cs"/>
            </a:rPr>
            <a:t> resultaten uit de GPR Materiaal berkening over.</a:t>
          </a:r>
          <a:endParaRPr lang="nl-NL" sz="1000">
            <a:solidFill>
              <a:sysClr val="windowText" lastClr="000000"/>
            </a:solidFill>
            <a:effectLst/>
          </a:endParaRPr>
        </a:p>
        <a:p>
          <a:r>
            <a:rPr lang="nl-NL" sz="1000">
              <a:solidFill>
                <a:sysClr val="windowText" lastClr="000000"/>
              </a:solidFill>
              <a:effectLst/>
              <a:latin typeface="+mn-lt"/>
              <a:ea typeface="+mn-ea"/>
              <a:cs typeface="+mn-cs"/>
            </a:rPr>
            <a:t>2. Neem</a:t>
          </a:r>
          <a:r>
            <a:rPr lang="nl-NL" sz="1000" baseline="0">
              <a:solidFill>
                <a:sysClr val="windowText" lastClr="000000"/>
              </a:solidFill>
              <a:effectLst/>
              <a:latin typeface="+mn-lt"/>
              <a:ea typeface="+mn-ea"/>
              <a:cs typeface="+mn-cs"/>
            </a:rPr>
            <a:t> de producten over die bijdragen aan het circulair materiaal gebruik.</a:t>
          </a:r>
          <a:endParaRPr lang="nl-NL" sz="1000">
            <a:solidFill>
              <a:sysClr val="windowText" lastClr="000000"/>
            </a:solidFill>
            <a:effectLst/>
          </a:endParaRPr>
        </a:p>
        <a:p>
          <a:r>
            <a:rPr lang="nl-NL" sz="1000" baseline="0">
              <a:solidFill>
                <a:sysClr val="windowText" lastClr="000000"/>
              </a:solidFill>
              <a:effectLst/>
              <a:latin typeface="+mn-lt"/>
              <a:ea typeface="+mn-ea"/>
              <a:cs typeface="+mn-cs"/>
            </a:rPr>
            <a:t>3. Voer per product de MPG in vanuit GPR Materiaal en de keuze voor secundair of biobased. </a:t>
          </a:r>
          <a:r>
            <a:rPr lang="nl-NL" sz="1050" baseline="0">
              <a:solidFill>
                <a:schemeClr val="tx1"/>
              </a:solidFill>
              <a:effectLst/>
              <a:latin typeface="+mn-lt"/>
              <a:ea typeface="+mn-ea"/>
              <a:cs typeface="+mn-cs"/>
            </a:rPr>
            <a:t>Bij bestaande bouw moet de MPG van een product worden overgenomen die correspondeert met het scenario waarvoor het rekenblad wordt ingevuld (huidig of na ingreep). </a:t>
          </a:r>
          <a:endParaRPr lang="nl-NL" sz="1000">
            <a:solidFill>
              <a:sysClr val="windowText" lastClr="000000"/>
            </a:solidFill>
            <a:effectLst/>
          </a:endParaRPr>
        </a:p>
        <a:p>
          <a:r>
            <a:rPr lang="nl-NL" sz="1000" baseline="0">
              <a:solidFill>
                <a:sysClr val="windowText" lastClr="000000"/>
              </a:solidFill>
              <a:effectLst/>
              <a:latin typeface="+mn-lt"/>
              <a:ea typeface="+mn-ea"/>
              <a:cs typeface="+mn-cs"/>
            </a:rPr>
            <a:t>4. Onderbouw deze keuzes.</a:t>
          </a:r>
          <a:endParaRPr lang="nl-NL" sz="1000">
            <a:solidFill>
              <a:sysClr val="windowText" lastClr="000000"/>
            </a:solidFill>
            <a:effectLst/>
          </a:endParaRPr>
        </a:p>
        <a:p>
          <a:r>
            <a:rPr lang="nl-NL" sz="1000" baseline="0">
              <a:solidFill>
                <a:sysClr val="windowText" lastClr="000000"/>
              </a:solidFill>
              <a:effectLst/>
              <a:latin typeface="+mn-lt"/>
              <a:ea typeface="+mn-ea"/>
              <a:cs typeface="+mn-cs"/>
            </a:rPr>
            <a:t>5. Neem de circulaire materiaal score over vanuit het oranje omcirkelde veld in GPR.</a:t>
          </a:r>
          <a:endParaRPr lang="nl-NL" sz="1000">
            <a:solidFill>
              <a:sysClr val="windowText" lastClr="000000"/>
            </a:solidFill>
            <a:effectLst/>
          </a:endParaRPr>
        </a:p>
        <a:p>
          <a:endParaRPr lang="nl-NL" sz="1000" b="1">
            <a:solidFill>
              <a:schemeClr val="tx1"/>
            </a:solidFill>
            <a:effectLst/>
            <a:latin typeface="+mn-lt"/>
            <a:ea typeface="+mn-ea"/>
            <a:cs typeface="+mn-cs"/>
          </a:endParaRPr>
        </a:p>
      </xdr:txBody>
    </xdr:sp>
    <xdr:clientData/>
  </xdr:oneCellAnchor>
</xdr:wsDr>
</file>

<file path=xl/drawings/drawing16.xml><?xml version="1.0" encoding="utf-8"?>
<xdr:wsDr xmlns:xdr="http://schemas.openxmlformats.org/drawingml/2006/spreadsheetDrawing" xmlns:a="http://schemas.openxmlformats.org/drawingml/2006/main">
  <xdr:twoCellAnchor editAs="oneCell">
    <xdr:from>
      <xdr:col>4</xdr:col>
      <xdr:colOff>472521</xdr:colOff>
      <xdr:row>27</xdr:row>
      <xdr:rowOff>1011</xdr:rowOff>
    </xdr:from>
    <xdr:to>
      <xdr:col>4</xdr:col>
      <xdr:colOff>670521</xdr:colOff>
      <xdr:row>27</xdr:row>
      <xdr:rowOff>210441</xdr:rowOff>
    </xdr:to>
    <xdr:pic>
      <xdr:nvPicPr>
        <xdr:cNvPr id="2" name="Afbeelding 1">
          <a:extLst>
            <a:ext uri="{FF2B5EF4-FFF2-40B4-BE49-F238E27FC236}">
              <a16:creationId xmlns:a16="http://schemas.microsoft.com/office/drawing/2014/main" id="{445009BD-DC5F-46E2-AAB6-98387C3F9C4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72081" y="6874251"/>
          <a:ext cx="201810" cy="205620"/>
        </a:xfrm>
        <a:prstGeom prst="rect">
          <a:avLst/>
        </a:prstGeom>
      </xdr:spPr>
    </xdr:pic>
    <xdr:clientData/>
  </xdr:twoCellAnchor>
  <xdr:twoCellAnchor editAs="oneCell">
    <xdr:from>
      <xdr:col>1</xdr:col>
      <xdr:colOff>0</xdr:colOff>
      <xdr:row>0</xdr:row>
      <xdr:rowOff>1</xdr:rowOff>
    </xdr:from>
    <xdr:to>
      <xdr:col>4</xdr:col>
      <xdr:colOff>209549</xdr:colOff>
      <xdr:row>1</xdr:row>
      <xdr:rowOff>1</xdr:rowOff>
    </xdr:to>
    <xdr:pic>
      <xdr:nvPicPr>
        <xdr:cNvPr id="3" name="Afbeelding 2">
          <a:extLst>
            <a:ext uri="{FF2B5EF4-FFF2-40B4-BE49-F238E27FC236}">
              <a16:creationId xmlns:a16="http://schemas.microsoft.com/office/drawing/2014/main" id="{ACEF2762-1189-458B-9A9B-99AB66D2467C}"/>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22" t="1554" b="16892"/>
        <a:stretch/>
      </xdr:blipFill>
      <xdr:spPr bwMode="auto">
        <a:xfrm>
          <a:off x="609600" y="1"/>
          <a:ext cx="3097529"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981075</xdr:colOff>
      <xdr:row>4</xdr:row>
      <xdr:rowOff>219075</xdr:rowOff>
    </xdr:from>
    <xdr:ext cx="4207248" cy="2209800"/>
    <xdr:sp macro="" textlink="">
      <xdr:nvSpPr>
        <xdr:cNvPr id="4" name="Tekstvak 3">
          <a:extLst>
            <a:ext uri="{FF2B5EF4-FFF2-40B4-BE49-F238E27FC236}">
              <a16:creationId xmlns:a16="http://schemas.microsoft.com/office/drawing/2014/main" id="{B23D74A9-0C3D-429D-A7B1-1282DBD1F219}"/>
            </a:ext>
          </a:extLst>
        </xdr:cNvPr>
        <xdr:cNvSpPr txBox="1"/>
      </xdr:nvSpPr>
      <xdr:spPr>
        <a:xfrm>
          <a:off x="5564281" y="1339663"/>
          <a:ext cx="4207248" cy="2209800"/>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nl-NL" sz="1050">
              <a:solidFill>
                <a:schemeClr val="tx1"/>
              </a:solidFill>
              <a:effectLst/>
              <a:latin typeface="+mn-lt"/>
              <a:ea typeface="+mn-ea"/>
              <a:cs typeface="+mn-cs"/>
            </a:rPr>
            <a:t>Dit rekenblad geeft een indicatie van EP1 van een utiliteitsgebouw of woning, op basis van oppervlakte en isolatiewaarde van bouwdelen.</a:t>
          </a:r>
        </a:p>
        <a:p>
          <a:r>
            <a:rPr lang="nl-NL" sz="1050">
              <a:solidFill>
                <a:schemeClr val="tx1"/>
              </a:solidFill>
              <a:effectLst/>
              <a:latin typeface="+mn-lt"/>
              <a:ea typeface="+mn-ea"/>
              <a:cs typeface="+mn-cs"/>
            </a:rPr>
            <a:t>Deze indicatie wordt vergeleken met de nieuwbouweis van de woning of het utiliteitsgebouw.</a:t>
          </a:r>
        </a:p>
        <a:p>
          <a:r>
            <a:rPr lang="nl-NL" sz="1050">
              <a:solidFill>
                <a:schemeClr val="tx1"/>
              </a:solidFill>
              <a:effectLst/>
              <a:latin typeface="+mn-lt"/>
              <a:ea typeface="+mn-ea"/>
              <a:cs typeface="+mn-cs"/>
            </a:rPr>
            <a:t>De waarde van EP1 ten opzichte van de nieuwbouweis wordt in GPR Gebouw gebruikt bij de Toekomstwaarde.</a:t>
          </a:r>
        </a:p>
        <a:p>
          <a:endParaRPr lang="nl-NL" sz="1050" b="1">
            <a:solidFill>
              <a:schemeClr val="tx1"/>
            </a:solidFill>
            <a:effectLst/>
            <a:latin typeface="+mn-lt"/>
            <a:ea typeface="+mn-ea"/>
            <a:cs typeface="+mn-cs"/>
          </a:endParaRPr>
        </a:p>
        <a:p>
          <a:r>
            <a:rPr lang="nl-NL" sz="1050" b="1">
              <a:solidFill>
                <a:schemeClr val="tx1"/>
              </a:solidFill>
              <a:effectLst/>
              <a:latin typeface="+mn-lt"/>
              <a:ea typeface="+mn-ea"/>
              <a:cs typeface="+mn-cs"/>
            </a:rPr>
            <a:t>Werkwijze</a:t>
          </a:r>
          <a:endParaRPr lang="nl-NL" sz="105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nl-NL" sz="1050">
              <a:solidFill>
                <a:schemeClr val="tx1"/>
              </a:solidFill>
              <a:effectLst/>
              <a:latin typeface="+mn-lt"/>
              <a:ea typeface="+mn-ea"/>
              <a:cs typeface="+mn-cs"/>
            </a:rPr>
            <a:t>1. Kies de juiste gebruiksfunctie en naam van het referentietype.</a:t>
          </a:r>
        </a:p>
        <a:p>
          <a:pPr marL="0" marR="0" lvl="0" indent="0" defTabSz="914400" eaLnBrk="1" fontAlgn="auto" latinLnBrk="0" hangingPunct="1">
            <a:lnSpc>
              <a:spcPct val="100000"/>
            </a:lnSpc>
            <a:spcBef>
              <a:spcPts val="0"/>
            </a:spcBef>
            <a:spcAft>
              <a:spcPts val="0"/>
            </a:spcAft>
            <a:buClrTx/>
            <a:buSzTx/>
            <a:buFontTx/>
            <a:buNone/>
            <a:tabLst/>
            <a:defRPr/>
          </a:pPr>
          <a:r>
            <a:rPr lang="nl-NL" sz="1050">
              <a:solidFill>
                <a:schemeClr val="tx1"/>
              </a:solidFill>
              <a:effectLst/>
              <a:latin typeface="+mn-lt"/>
              <a:ea typeface="+mn-ea"/>
              <a:cs typeface="+mn-cs"/>
            </a:rPr>
            <a:t>2. Vul de oppervlakten in van de verschillende bouwdelen.</a:t>
          </a:r>
        </a:p>
        <a:p>
          <a:pPr marL="0" marR="0" lvl="0" indent="0" defTabSz="914400" eaLnBrk="1" fontAlgn="auto" latinLnBrk="0" hangingPunct="1">
            <a:lnSpc>
              <a:spcPct val="100000"/>
            </a:lnSpc>
            <a:spcBef>
              <a:spcPts val="0"/>
            </a:spcBef>
            <a:spcAft>
              <a:spcPts val="0"/>
            </a:spcAft>
            <a:buClrTx/>
            <a:buSzTx/>
            <a:buFontTx/>
            <a:buNone/>
            <a:tabLst/>
            <a:defRPr/>
          </a:pPr>
          <a:r>
            <a:rPr lang="nl-NL" sz="1050">
              <a:solidFill>
                <a:schemeClr val="tx1"/>
              </a:solidFill>
              <a:effectLst/>
              <a:latin typeface="+mn-lt"/>
              <a:ea typeface="+mn-ea"/>
              <a:cs typeface="+mn-cs"/>
            </a:rPr>
            <a:t>3. Vul de Rc en U-waarden in van de verschillende</a:t>
          </a:r>
          <a:r>
            <a:rPr lang="nl-NL" sz="1050" baseline="0">
              <a:solidFill>
                <a:schemeClr val="tx1"/>
              </a:solidFill>
              <a:effectLst/>
              <a:latin typeface="+mn-lt"/>
              <a:ea typeface="+mn-ea"/>
              <a:cs typeface="+mn-cs"/>
            </a:rPr>
            <a:t> bouwdelen.</a:t>
          </a:r>
          <a:endParaRPr lang="nl-NL" sz="1050">
            <a:solidFill>
              <a:schemeClr val="tx1"/>
            </a:solidFill>
            <a:effectLst/>
            <a:latin typeface="+mn-lt"/>
            <a:ea typeface="+mn-ea"/>
            <a:cs typeface="+mn-cs"/>
          </a:endParaRPr>
        </a:p>
        <a:p>
          <a:pPr eaLnBrk="1" fontAlgn="auto" latinLnBrk="0" hangingPunct="1"/>
          <a:r>
            <a:rPr lang="nl-NL" sz="1050">
              <a:solidFill>
                <a:schemeClr val="tx1"/>
              </a:solidFill>
              <a:effectLst/>
              <a:latin typeface="+mn-lt"/>
              <a:ea typeface="+mn-ea"/>
              <a:cs typeface="+mn-cs"/>
            </a:rPr>
            <a:t>4. Neem het cijfer met oranje randen over in GPR Gebouw</a:t>
          </a:r>
          <a:r>
            <a:rPr lang="nl-NL" sz="1050" baseline="0">
              <a:solidFill>
                <a:schemeClr val="tx1"/>
              </a:solidFill>
              <a:effectLst/>
              <a:latin typeface="+mn-lt"/>
              <a:ea typeface="+mn-ea"/>
              <a:cs typeface="+mn-cs"/>
            </a:rPr>
            <a:t> bij toekomstwaarde.</a:t>
          </a:r>
          <a:endParaRPr lang="nl-NL" sz="105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nl-NL" sz="1050">
            <a:effectLst/>
          </a:endParaRPr>
        </a:p>
      </xdr:txBody>
    </xdr:sp>
    <xdr:clientData/>
  </xdr:one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0</xdr:row>
      <xdr:rowOff>1</xdr:rowOff>
    </xdr:from>
    <xdr:to>
      <xdr:col>3</xdr:col>
      <xdr:colOff>954404</xdr:colOff>
      <xdr:row>1</xdr:row>
      <xdr:rowOff>1</xdr:rowOff>
    </xdr:to>
    <xdr:pic>
      <xdr:nvPicPr>
        <xdr:cNvPr id="3" name="Afbeelding 2">
          <a:extLst>
            <a:ext uri="{FF2B5EF4-FFF2-40B4-BE49-F238E27FC236}">
              <a16:creationId xmlns:a16="http://schemas.microsoft.com/office/drawing/2014/main" id="{FFC4DFF1-B23F-4E43-923E-679443EB3DA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2" t="1554" b="16892"/>
        <a:stretch/>
      </xdr:blipFill>
      <xdr:spPr bwMode="auto">
        <a:xfrm>
          <a:off x="714375" y="1"/>
          <a:ext cx="3097529"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10887</xdr:colOff>
      <xdr:row>4</xdr:row>
      <xdr:rowOff>217713</xdr:rowOff>
    </xdr:from>
    <xdr:ext cx="3785506" cy="2394858"/>
    <xdr:sp macro="" textlink="">
      <xdr:nvSpPr>
        <xdr:cNvPr id="4" name="Tekstvak 3">
          <a:extLst>
            <a:ext uri="{FF2B5EF4-FFF2-40B4-BE49-F238E27FC236}">
              <a16:creationId xmlns:a16="http://schemas.microsoft.com/office/drawing/2014/main" id="{F4AA296B-497E-48C8-961B-EC51FD7FA3C9}"/>
            </a:ext>
          </a:extLst>
        </xdr:cNvPr>
        <xdr:cNvSpPr txBox="1"/>
      </xdr:nvSpPr>
      <xdr:spPr>
        <a:xfrm>
          <a:off x="5807530" y="1333499"/>
          <a:ext cx="3785506" cy="2394858"/>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nl-NL" sz="1100">
              <a:solidFill>
                <a:schemeClr val="tx1"/>
              </a:solidFill>
              <a:effectLst/>
              <a:latin typeface="+mn-lt"/>
              <a:ea typeface="+mn-ea"/>
              <a:cs typeface="+mn-cs"/>
            </a:rPr>
            <a:t>Dit rekenblad geeft aan of de warmtebehoefte</a:t>
          </a:r>
          <a:r>
            <a:rPr lang="nl-NL" sz="1100" baseline="0">
              <a:solidFill>
                <a:schemeClr val="tx1"/>
              </a:solidFill>
              <a:effectLst/>
              <a:latin typeface="+mn-lt"/>
              <a:ea typeface="+mn-ea"/>
              <a:cs typeface="+mn-cs"/>
            </a:rPr>
            <a:t> van het gebouw voldoet aan de 'standaard'. </a:t>
          </a:r>
          <a:endParaRPr lang="nl-NL" sz="1100">
            <a:solidFill>
              <a:schemeClr val="tx1"/>
            </a:solidFill>
            <a:effectLst/>
            <a:latin typeface="+mn-lt"/>
            <a:ea typeface="+mn-ea"/>
            <a:cs typeface="+mn-cs"/>
          </a:endParaRPr>
        </a:p>
        <a:p>
          <a:endParaRPr lang="nl-NL" sz="1100" b="1">
            <a:solidFill>
              <a:schemeClr val="tx1"/>
            </a:solidFill>
            <a:effectLst/>
            <a:latin typeface="+mn-lt"/>
            <a:ea typeface="+mn-ea"/>
            <a:cs typeface="+mn-cs"/>
          </a:endParaRPr>
        </a:p>
        <a:p>
          <a:r>
            <a:rPr lang="nl-NL" sz="1100" b="1">
              <a:solidFill>
                <a:schemeClr val="tx1"/>
              </a:solidFill>
              <a:effectLst/>
              <a:latin typeface="+mn-lt"/>
              <a:ea typeface="+mn-ea"/>
              <a:cs typeface="+mn-cs"/>
            </a:rPr>
            <a:t>Werkwijze</a:t>
          </a:r>
          <a:endParaRPr lang="nl-NL" sz="110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nl-NL" sz="1100">
              <a:solidFill>
                <a:schemeClr val="tx1"/>
              </a:solidFill>
              <a:effectLst/>
              <a:latin typeface="+mn-lt"/>
              <a:ea typeface="+mn-ea"/>
              <a:cs typeface="+mn-cs"/>
            </a:rPr>
            <a:t>1. Kies de juiste gebruiksfunctie en naam van het referentietype.</a:t>
          </a:r>
        </a:p>
        <a:p>
          <a:pPr marL="0" marR="0" lvl="0" indent="0" defTabSz="914400" eaLnBrk="1" fontAlgn="auto" latinLnBrk="0" hangingPunct="1">
            <a:lnSpc>
              <a:spcPct val="100000"/>
            </a:lnSpc>
            <a:spcBef>
              <a:spcPts val="0"/>
            </a:spcBef>
            <a:spcAft>
              <a:spcPts val="0"/>
            </a:spcAft>
            <a:buClrTx/>
            <a:buSzTx/>
            <a:buFontTx/>
            <a:buNone/>
            <a:tabLst/>
            <a:defRPr/>
          </a:pPr>
          <a:r>
            <a:rPr lang="nl-NL" sz="1100">
              <a:solidFill>
                <a:schemeClr val="tx1"/>
              </a:solidFill>
              <a:effectLst/>
              <a:latin typeface="+mn-lt"/>
              <a:ea typeface="+mn-ea"/>
              <a:cs typeface="+mn-cs"/>
            </a:rPr>
            <a:t>2. Kies</a:t>
          </a:r>
          <a:r>
            <a:rPr lang="nl-NL" sz="1100" baseline="0">
              <a:solidFill>
                <a:schemeClr val="tx1"/>
              </a:solidFill>
              <a:effectLst/>
              <a:latin typeface="+mn-lt"/>
              <a:ea typeface="+mn-ea"/>
              <a:cs typeface="+mn-cs"/>
            </a:rPr>
            <a:t> het juiste ventilatiesysteem.</a:t>
          </a:r>
          <a:endParaRPr lang="nl-NL" sz="110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nl-NL" sz="1100">
              <a:solidFill>
                <a:schemeClr val="tx1"/>
              </a:solidFill>
              <a:effectLst/>
              <a:latin typeface="+mn-lt"/>
              <a:ea typeface="+mn-ea"/>
              <a:cs typeface="+mn-cs"/>
            </a:rPr>
            <a:t>3. Vul de Rc en U-waarden in van de verschillende</a:t>
          </a:r>
          <a:r>
            <a:rPr lang="nl-NL" sz="1100" baseline="0">
              <a:solidFill>
                <a:schemeClr val="tx1"/>
              </a:solidFill>
              <a:effectLst/>
              <a:latin typeface="+mn-lt"/>
              <a:ea typeface="+mn-ea"/>
              <a:cs typeface="+mn-cs"/>
            </a:rPr>
            <a:t> bouwdelen.</a:t>
          </a:r>
          <a:endParaRPr lang="nl-NL" sz="1100">
            <a:solidFill>
              <a:schemeClr val="tx1"/>
            </a:solidFill>
            <a:effectLst/>
            <a:latin typeface="+mn-lt"/>
            <a:ea typeface="+mn-ea"/>
            <a:cs typeface="+mn-cs"/>
          </a:endParaRPr>
        </a:p>
        <a:p>
          <a:pPr eaLnBrk="1" fontAlgn="auto" latinLnBrk="0" hangingPunct="1"/>
          <a:r>
            <a:rPr lang="nl-NL" sz="1100">
              <a:solidFill>
                <a:schemeClr val="tx1"/>
              </a:solidFill>
              <a:effectLst/>
              <a:latin typeface="+mn-lt"/>
              <a:ea typeface="+mn-ea"/>
              <a:cs typeface="+mn-cs"/>
            </a:rPr>
            <a:t>4. In het</a:t>
          </a:r>
          <a:r>
            <a:rPr lang="nl-NL" sz="1100" baseline="0">
              <a:solidFill>
                <a:schemeClr val="tx1"/>
              </a:solidFill>
              <a:effectLst/>
              <a:latin typeface="+mn-lt"/>
              <a:ea typeface="+mn-ea"/>
              <a:cs typeface="+mn-cs"/>
            </a:rPr>
            <a:t> groene vak is te zien of het gebouw voldoent aan de 'standaard'.</a:t>
          </a:r>
          <a:endParaRPr lang="nl-N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nl-NL">
            <a:effectLst/>
          </a:endParaRPr>
        </a:p>
      </xdr:txBody>
    </xdr:sp>
    <xdr:clientData/>
  </xdr:one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1922960</xdr:colOff>
      <xdr:row>1</xdr:row>
      <xdr:rowOff>2721</xdr:rowOff>
    </xdr:to>
    <xdr:pic>
      <xdr:nvPicPr>
        <xdr:cNvPr id="3" name="Afbeelding 2">
          <a:extLst>
            <a:ext uri="{FF2B5EF4-FFF2-40B4-BE49-F238E27FC236}">
              <a16:creationId xmlns:a16="http://schemas.microsoft.com/office/drawing/2014/main" id="{115F7DB8-75C3-47FB-A8EB-62611DB3B6F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2" t="1554" b="16892"/>
        <a:stretch/>
      </xdr:blipFill>
      <xdr:spPr bwMode="auto">
        <a:xfrm>
          <a:off x="609600" y="0"/>
          <a:ext cx="3090725" cy="4218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0</xdr:colOff>
      <xdr:row>4</xdr:row>
      <xdr:rowOff>219074</xdr:rowOff>
    </xdr:from>
    <xdr:ext cx="6143625" cy="1285875"/>
    <xdr:sp macro="" textlink="">
      <xdr:nvSpPr>
        <xdr:cNvPr id="2" name="Tekstvak 3">
          <a:extLst>
            <a:ext uri="{FF2B5EF4-FFF2-40B4-BE49-F238E27FC236}">
              <a16:creationId xmlns:a16="http://schemas.microsoft.com/office/drawing/2014/main" id="{2C4D976D-AEDF-4CAA-B412-74787AA38DCE}"/>
            </a:ext>
          </a:extLst>
        </xdr:cNvPr>
        <xdr:cNvSpPr txBox="1"/>
      </xdr:nvSpPr>
      <xdr:spPr>
        <a:xfrm>
          <a:off x="5905500" y="1333499"/>
          <a:ext cx="6143625" cy="1285875"/>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nl-NL" sz="1100" b="0" i="0">
              <a:solidFill>
                <a:schemeClr val="tx1"/>
              </a:solidFill>
              <a:effectLst/>
              <a:latin typeface="+mn-lt"/>
              <a:ea typeface="+mn-ea"/>
              <a:cs typeface="+mn-cs"/>
            </a:rPr>
            <a:t>W/E en DGBC hebben samen gewerkt aan een methode om de adaptiviteit van gebouwen in kaart te brengen, als basis voor de instrumenten GPR Gebouw en BREEAM-NL. De ontwikkelde methode geeft een indicatie van het adaptief vermogen van een gebouw in een nog onbekende toekomst. De methode is niet bedoeld voor de beoordeling van de geschiktheid van een gebouw om in het heden (zonder of met een beperkte ingreep) aan een behoefte te kunnen voldoen.</a:t>
          </a:r>
        </a:p>
        <a:p>
          <a:r>
            <a:rPr lang="nl-NL" sz="1100" b="0" i="0">
              <a:solidFill>
                <a:schemeClr val="tx1"/>
              </a:solidFill>
              <a:effectLst/>
              <a:latin typeface="+mn-lt"/>
              <a:ea typeface="+mn-ea"/>
              <a:cs typeface="+mn-cs"/>
            </a:rPr>
            <a:t>Het gebruik van deze methode in GPR Gebouw is bedoeld de methode zelf in de praktijk te testen en te ontwikkelen.</a:t>
          </a:r>
          <a:endParaRPr lang="nl-NL">
            <a:effectLst/>
          </a:endParaRPr>
        </a:p>
      </xdr:txBody>
    </xdr:sp>
    <xdr:clientData/>
  </xdr:one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4</xdr:col>
      <xdr:colOff>898070</xdr:colOff>
      <xdr:row>1</xdr:row>
      <xdr:rowOff>2721</xdr:rowOff>
    </xdr:to>
    <xdr:pic>
      <xdr:nvPicPr>
        <xdr:cNvPr id="3" name="Afbeelding 2">
          <a:extLst>
            <a:ext uri="{FF2B5EF4-FFF2-40B4-BE49-F238E27FC236}">
              <a16:creationId xmlns:a16="http://schemas.microsoft.com/office/drawing/2014/main" id="{2D8E39ED-18D8-434A-A77C-F82E23725C1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2" t="1554" b="16892"/>
        <a:stretch/>
      </xdr:blipFill>
      <xdr:spPr bwMode="auto">
        <a:xfrm>
          <a:off x="209550" y="0"/>
          <a:ext cx="3090725" cy="4218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7</xdr:col>
      <xdr:colOff>462180</xdr:colOff>
      <xdr:row>17</xdr:row>
      <xdr:rowOff>39111</xdr:rowOff>
    </xdr:from>
    <xdr:to>
      <xdr:col>7</xdr:col>
      <xdr:colOff>704115</xdr:colOff>
      <xdr:row>17</xdr:row>
      <xdr:rowOff>267914</xdr:rowOff>
    </xdr:to>
    <xdr:pic>
      <xdr:nvPicPr>
        <xdr:cNvPr id="2" name="Afbeelding 1">
          <a:extLst>
            <a:ext uri="{FF2B5EF4-FFF2-40B4-BE49-F238E27FC236}">
              <a16:creationId xmlns:a16="http://schemas.microsoft.com/office/drawing/2014/main" id="{F98A40F9-D4A1-4F4A-8CFF-832EF9A41ED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45466" y="4284540"/>
          <a:ext cx="238125" cy="228803"/>
        </a:xfrm>
        <a:prstGeom prst="rect">
          <a:avLst/>
        </a:prstGeom>
      </xdr:spPr>
    </xdr:pic>
    <xdr:clientData/>
  </xdr:twoCellAnchor>
  <xdr:twoCellAnchor editAs="oneCell">
    <xdr:from>
      <xdr:col>10</xdr:col>
      <xdr:colOff>483951</xdr:colOff>
      <xdr:row>17</xdr:row>
      <xdr:rowOff>39111</xdr:rowOff>
    </xdr:from>
    <xdr:to>
      <xdr:col>10</xdr:col>
      <xdr:colOff>703450</xdr:colOff>
      <xdr:row>17</xdr:row>
      <xdr:rowOff>287396</xdr:rowOff>
    </xdr:to>
    <xdr:pic>
      <xdr:nvPicPr>
        <xdr:cNvPr id="3" name="Afbeelding 2">
          <a:extLst>
            <a:ext uri="{FF2B5EF4-FFF2-40B4-BE49-F238E27FC236}">
              <a16:creationId xmlns:a16="http://schemas.microsoft.com/office/drawing/2014/main" id="{F26644F4-32AB-4A91-89A2-7EA9CD9E06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663580" y="4284540"/>
          <a:ext cx="223309" cy="244475"/>
        </a:xfrm>
        <a:prstGeom prst="rect">
          <a:avLst/>
        </a:prstGeom>
      </xdr:spPr>
    </xdr:pic>
    <xdr:clientData/>
  </xdr:twoCellAnchor>
  <xdr:twoCellAnchor editAs="oneCell">
    <xdr:from>
      <xdr:col>9</xdr:col>
      <xdr:colOff>462180</xdr:colOff>
      <xdr:row>17</xdr:row>
      <xdr:rowOff>28225</xdr:rowOff>
    </xdr:from>
    <xdr:to>
      <xdr:col>9</xdr:col>
      <xdr:colOff>708349</xdr:colOff>
      <xdr:row>17</xdr:row>
      <xdr:rowOff>249840</xdr:rowOff>
    </xdr:to>
    <xdr:pic>
      <xdr:nvPicPr>
        <xdr:cNvPr id="4" name="Afbeelding 3">
          <a:extLst>
            <a:ext uri="{FF2B5EF4-FFF2-40B4-BE49-F238E27FC236}">
              <a16:creationId xmlns:a16="http://schemas.microsoft.com/office/drawing/2014/main" id="{6C6FFA3E-D73D-4827-AC7C-AFFD1756ECC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509694" y="4273654"/>
          <a:ext cx="242359" cy="225425"/>
        </a:xfrm>
        <a:prstGeom prst="rect">
          <a:avLst/>
        </a:prstGeom>
      </xdr:spPr>
    </xdr:pic>
    <xdr:clientData/>
  </xdr:twoCellAnchor>
  <xdr:twoCellAnchor editAs="oneCell">
    <xdr:from>
      <xdr:col>8</xdr:col>
      <xdr:colOff>462180</xdr:colOff>
      <xdr:row>17</xdr:row>
      <xdr:rowOff>56829</xdr:rowOff>
    </xdr:from>
    <xdr:to>
      <xdr:col>8</xdr:col>
      <xdr:colOff>704115</xdr:colOff>
      <xdr:row>17</xdr:row>
      <xdr:rowOff>289442</xdr:rowOff>
    </xdr:to>
    <xdr:pic>
      <xdr:nvPicPr>
        <xdr:cNvPr id="5" name="Afbeelding 4">
          <a:extLst>
            <a:ext uri="{FF2B5EF4-FFF2-40B4-BE49-F238E27FC236}">
              <a16:creationId xmlns:a16="http://schemas.microsoft.com/office/drawing/2014/main" id="{BB9D32AA-1151-45ED-B1FB-E29606D72C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377580" y="4302258"/>
          <a:ext cx="238125" cy="228803"/>
        </a:xfrm>
        <a:prstGeom prst="rect">
          <a:avLst/>
        </a:prstGeom>
      </xdr:spPr>
    </xdr:pic>
    <xdr:clientData/>
  </xdr:twoCellAnchor>
  <xdr:twoCellAnchor editAs="oneCell">
    <xdr:from>
      <xdr:col>11</xdr:col>
      <xdr:colOff>483951</xdr:colOff>
      <xdr:row>17</xdr:row>
      <xdr:rowOff>28225</xdr:rowOff>
    </xdr:from>
    <xdr:to>
      <xdr:col>11</xdr:col>
      <xdr:colOff>722076</xdr:colOff>
      <xdr:row>17</xdr:row>
      <xdr:rowOff>247300</xdr:rowOff>
    </xdr:to>
    <xdr:pic>
      <xdr:nvPicPr>
        <xdr:cNvPr id="6" name="Afbeelding 5">
          <a:extLst>
            <a:ext uri="{FF2B5EF4-FFF2-40B4-BE49-F238E27FC236}">
              <a16:creationId xmlns:a16="http://schemas.microsoft.com/office/drawing/2014/main" id="{869E28BE-3759-4E40-9CDE-410535590F3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795694" y="4273654"/>
          <a:ext cx="238125" cy="228600"/>
        </a:xfrm>
        <a:prstGeom prst="rect">
          <a:avLst/>
        </a:prstGeom>
      </xdr:spPr>
    </xdr:pic>
    <xdr:clientData/>
  </xdr:twoCellAnchor>
  <xdr:twoCellAnchor editAs="oneCell">
    <xdr:from>
      <xdr:col>1</xdr:col>
      <xdr:colOff>9525</xdr:colOff>
      <xdr:row>0</xdr:row>
      <xdr:rowOff>0</xdr:rowOff>
    </xdr:from>
    <xdr:to>
      <xdr:col>3</xdr:col>
      <xdr:colOff>1508759</xdr:colOff>
      <xdr:row>0</xdr:row>
      <xdr:rowOff>396240</xdr:rowOff>
    </xdr:to>
    <xdr:pic>
      <xdr:nvPicPr>
        <xdr:cNvPr id="9" name="Afbeelding 8">
          <a:extLst>
            <a:ext uri="{FF2B5EF4-FFF2-40B4-BE49-F238E27FC236}">
              <a16:creationId xmlns:a16="http://schemas.microsoft.com/office/drawing/2014/main" id="{8FB0878E-9E87-498D-B738-EC1A821C7ACE}"/>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222" t="1554" b="16892"/>
        <a:stretch/>
      </xdr:blipFill>
      <xdr:spPr bwMode="auto">
        <a:xfrm>
          <a:off x="723900" y="219075"/>
          <a:ext cx="3097529" cy="40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1099457</xdr:colOff>
      <xdr:row>4</xdr:row>
      <xdr:rowOff>228599</xdr:rowOff>
    </xdr:from>
    <xdr:ext cx="7347857" cy="2220686"/>
    <xdr:sp macro="" textlink="">
      <xdr:nvSpPr>
        <xdr:cNvPr id="7" name="Tekstvak 6">
          <a:extLst>
            <a:ext uri="{FF2B5EF4-FFF2-40B4-BE49-F238E27FC236}">
              <a16:creationId xmlns:a16="http://schemas.microsoft.com/office/drawing/2014/main" id="{7E2C24F6-4A66-4450-B20C-AE47E6C99E75}"/>
            </a:ext>
          </a:extLst>
        </xdr:cNvPr>
        <xdr:cNvSpPr txBox="1"/>
      </xdr:nvSpPr>
      <xdr:spPr>
        <a:xfrm>
          <a:off x="8882743" y="1382485"/>
          <a:ext cx="7347857" cy="2220686"/>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nl-NL" sz="1100">
              <a:solidFill>
                <a:schemeClr val="tx1"/>
              </a:solidFill>
              <a:effectLst/>
              <a:latin typeface="+mn-lt"/>
              <a:ea typeface="+mn-ea"/>
              <a:cs typeface="+mn-cs"/>
            </a:rPr>
            <a:t>Met dit rekenblad kunnen GPR scores van meerdere GPR-berekeningen worden samengevoegd tot één (naar oppervlakte gewogen) gemiddelde.</a:t>
          </a:r>
        </a:p>
        <a:p>
          <a:r>
            <a:rPr lang="nl-NL" sz="1100">
              <a:solidFill>
                <a:schemeClr val="tx1"/>
              </a:solidFill>
              <a:effectLst/>
              <a:latin typeface="+mn-lt"/>
              <a:ea typeface="+mn-ea"/>
              <a:cs typeface="+mn-cs"/>
            </a:rPr>
            <a:t>Het rekenblad combineert de resultaten van maximaal 10 GPR berekeningen tot één gewogen resultaat. Het</a:t>
          </a:r>
          <a:r>
            <a:rPr lang="nl-NL" sz="1100" baseline="0">
              <a:solidFill>
                <a:schemeClr val="tx1"/>
              </a:solidFill>
              <a:effectLst/>
              <a:latin typeface="+mn-lt"/>
              <a:ea typeface="+mn-ea"/>
              <a:cs typeface="+mn-cs"/>
            </a:rPr>
            <a:t> rekenblad </a:t>
          </a:r>
          <a:r>
            <a:rPr lang="nl-NL" sz="1100">
              <a:solidFill>
                <a:schemeClr val="tx1"/>
              </a:solidFill>
              <a:effectLst/>
              <a:latin typeface="+mn-lt"/>
              <a:ea typeface="+mn-ea"/>
              <a:cs typeface="+mn-cs"/>
            </a:rPr>
            <a:t>is toepasbaar wanneer een gebouw meerdere gebruiksfuncties bevat of wanneer een gebouw bestaat uit een nieuw en een bestaand deel.</a:t>
          </a:r>
          <a:endParaRPr lang="nl-NL">
            <a:effectLst/>
          </a:endParaRPr>
        </a:p>
        <a:p>
          <a:endParaRPr lang="nl-NL" sz="1100" b="1">
            <a:solidFill>
              <a:schemeClr val="tx1"/>
            </a:solidFill>
            <a:effectLst/>
            <a:latin typeface="+mn-lt"/>
            <a:ea typeface="+mn-ea"/>
            <a:cs typeface="+mn-cs"/>
          </a:endParaRPr>
        </a:p>
        <a:p>
          <a:r>
            <a:rPr lang="nl-NL" sz="1100" b="1">
              <a:solidFill>
                <a:schemeClr val="tx1"/>
              </a:solidFill>
              <a:effectLst/>
              <a:latin typeface="+mn-lt"/>
              <a:ea typeface="+mn-ea"/>
              <a:cs typeface="+mn-cs"/>
            </a:rPr>
            <a:t>Werkwijze</a:t>
          </a:r>
          <a:endParaRPr lang="nl-NL" sz="1100">
            <a:solidFill>
              <a:schemeClr val="tx1"/>
            </a:solidFill>
            <a:effectLst/>
            <a:latin typeface="+mn-lt"/>
            <a:ea typeface="+mn-ea"/>
            <a:cs typeface="+mn-cs"/>
          </a:endParaRPr>
        </a:p>
        <a:p>
          <a:pPr lvl="0"/>
          <a:r>
            <a:rPr lang="nl-NL" sz="1100">
              <a:solidFill>
                <a:schemeClr val="tx1"/>
              </a:solidFill>
              <a:effectLst/>
              <a:latin typeface="+mn-lt"/>
              <a:ea typeface="+mn-ea"/>
              <a:cs typeface="+mn-cs"/>
            </a:rPr>
            <a:t>1. bepaal welke GPR berekeningen moeten worden samengevoegd.</a:t>
          </a:r>
        </a:p>
        <a:p>
          <a:pPr lvl="0"/>
          <a:r>
            <a:rPr lang="nl-NL" sz="1100">
              <a:solidFill>
                <a:schemeClr val="tx1"/>
              </a:solidFill>
              <a:effectLst/>
              <a:latin typeface="+mn-lt"/>
              <a:ea typeface="+mn-ea"/>
              <a:cs typeface="+mn-cs"/>
            </a:rPr>
            <a:t>2. vul per thema de ambities voor het gecombineerde gebouw in (optioneel).</a:t>
          </a:r>
        </a:p>
        <a:p>
          <a:pPr lvl="0"/>
          <a:r>
            <a:rPr lang="nl-NL" sz="1100">
              <a:solidFill>
                <a:schemeClr val="tx1"/>
              </a:solidFill>
              <a:effectLst/>
              <a:latin typeface="+mn-lt"/>
              <a:ea typeface="+mn-ea"/>
              <a:cs typeface="+mn-cs"/>
            </a:rPr>
            <a:t>3. vul per GPR berekening de volgende parameters in: 'Gebouwcategorie', 'Gebruiksoppervlakte' en de GPR-scores per thema. </a:t>
          </a:r>
        </a:p>
        <a:p>
          <a:pPr lvl="0"/>
          <a:r>
            <a:rPr lang="nl-NL" sz="1100">
              <a:solidFill>
                <a:schemeClr val="tx1"/>
              </a:solidFill>
              <a:effectLst/>
              <a:latin typeface="+mn-lt"/>
              <a:ea typeface="+mn-ea"/>
              <a:cs typeface="+mn-cs"/>
            </a:rPr>
            <a:t>4. het berekende gewogen resultaat staat onderaan het rekenblad bij 'Combinatiegebouw totaal'. De GPR score die voldoet aan de ambitie kleurt groen en de GPR score die niet voldoet kleurt rood.</a:t>
          </a:r>
        </a:p>
        <a:p>
          <a:pPr lvl="0"/>
          <a:endParaRPr lang="nl-NL" sz="1100">
            <a:solidFill>
              <a:schemeClr val="tx1"/>
            </a:solidFill>
            <a:effectLst/>
            <a:latin typeface="+mn-lt"/>
            <a:ea typeface="+mn-ea"/>
            <a:cs typeface="+mn-cs"/>
          </a:endParaRPr>
        </a:p>
        <a:p>
          <a:endParaRPr lang="nl-NL" sz="1100"/>
        </a:p>
      </xdr:txBody>
    </xdr:sp>
    <xdr:clientData/>
  </xdr:oneCellAnchor>
</xdr:wsDr>
</file>

<file path=xl/drawings/drawing21.xml><?xml version="1.0" encoding="utf-8"?>
<xdr:wsDr xmlns:xdr="http://schemas.openxmlformats.org/drawingml/2006/spreadsheetDrawing" xmlns:a="http://schemas.openxmlformats.org/drawingml/2006/main">
  <xdr:oneCellAnchor>
    <xdr:from>
      <xdr:col>7</xdr:col>
      <xdr:colOff>398226</xdr:colOff>
      <xdr:row>18</xdr:row>
      <xdr:rowOff>48636</xdr:rowOff>
    </xdr:from>
    <xdr:ext cx="238125" cy="228803"/>
    <xdr:pic>
      <xdr:nvPicPr>
        <xdr:cNvPr id="2" name="Afbeelding 1">
          <a:extLst>
            <a:ext uri="{FF2B5EF4-FFF2-40B4-BE49-F238E27FC236}">
              <a16:creationId xmlns:a16="http://schemas.microsoft.com/office/drawing/2014/main" id="{AC90DB16-195C-446D-ACE1-C3B0227848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11397" y="5012522"/>
          <a:ext cx="238125" cy="228803"/>
        </a:xfrm>
        <a:prstGeom prst="rect">
          <a:avLst/>
        </a:prstGeom>
      </xdr:spPr>
    </xdr:pic>
    <xdr:clientData/>
  </xdr:oneCellAnchor>
  <xdr:oneCellAnchor>
    <xdr:from>
      <xdr:col>10</xdr:col>
      <xdr:colOff>376454</xdr:colOff>
      <xdr:row>18</xdr:row>
      <xdr:rowOff>59522</xdr:rowOff>
    </xdr:from>
    <xdr:ext cx="232834" cy="234950"/>
    <xdr:pic>
      <xdr:nvPicPr>
        <xdr:cNvPr id="3" name="Afbeelding 2">
          <a:extLst>
            <a:ext uri="{FF2B5EF4-FFF2-40B4-BE49-F238E27FC236}">
              <a16:creationId xmlns:a16="http://schemas.microsoft.com/office/drawing/2014/main" id="{99653BAD-0CC7-4A0C-AE69-3F302E2E5AD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94083" y="5023408"/>
          <a:ext cx="232834" cy="234950"/>
        </a:xfrm>
        <a:prstGeom prst="rect">
          <a:avLst/>
        </a:prstGeom>
      </xdr:spPr>
    </xdr:pic>
    <xdr:clientData/>
  </xdr:oneCellAnchor>
  <xdr:oneCellAnchor>
    <xdr:from>
      <xdr:col>9</xdr:col>
      <xdr:colOff>398226</xdr:colOff>
      <xdr:row>18</xdr:row>
      <xdr:rowOff>59522</xdr:rowOff>
    </xdr:from>
    <xdr:ext cx="242359" cy="225425"/>
    <xdr:pic>
      <xdr:nvPicPr>
        <xdr:cNvPr id="4" name="Afbeelding 3">
          <a:extLst>
            <a:ext uri="{FF2B5EF4-FFF2-40B4-BE49-F238E27FC236}">
              <a16:creationId xmlns:a16="http://schemas.microsoft.com/office/drawing/2014/main" id="{4F09DC76-6503-4668-84F0-8B76BD6C452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14369" y="5023408"/>
          <a:ext cx="242359" cy="225425"/>
        </a:xfrm>
        <a:prstGeom prst="rect">
          <a:avLst/>
        </a:prstGeom>
      </xdr:spPr>
    </xdr:pic>
    <xdr:clientData/>
  </xdr:oneCellAnchor>
  <xdr:oneCellAnchor>
    <xdr:from>
      <xdr:col>8</xdr:col>
      <xdr:colOff>398226</xdr:colOff>
      <xdr:row>18</xdr:row>
      <xdr:rowOff>44583</xdr:rowOff>
    </xdr:from>
    <xdr:ext cx="238125" cy="228803"/>
    <xdr:pic>
      <xdr:nvPicPr>
        <xdr:cNvPr id="5" name="Afbeelding 4">
          <a:extLst>
            <a:ext uri="{FF2B5EF4-FFF2-40B4-BE49-F238E27FC236}">
              <a16:creationId xmlns:a16="http://schemas.microsoft.com/office/drawing/2014/main" id="{6B6A033A-51CE-4896-AA8C-19EEC0BC852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812883" y="5008469"/>
          <a:ext cx="238125" cy="228803"/>
        </a:xfrm>
        <a:prstGeom prst="rect">
          <a:avLst/>
        </a:prstGeom>
      </xdr:spPr>
    </xdr:pic>
    <xdr:clientData/>
  </xdr:oneCellAnchor>
  <xdr:oneCellAnchor>
    <xdr:from>
      <xdr:col>11</xdr:col>
      <xdr:colOff>387341</xdr:colOff>
      <xdr:row>18</xdr:row>
      <xdr:rowOff>48636</xdr:rowOff>
    </xdr:from>
    <xdr:ext cx="238125" cy="228600"/>
    <xdr:pic>
      <xdr:nvPicPr>
        <xdr:cNvPr id="6" name="Afbeelding 5">
          <a:extLst>
            <a:ext uri="{FF2B5EF4-FFF2-40B4-BE49-F238E27FC236}">
              <a16:creationId xmlns:a16="http://schemas.microsoft.com/office/drawing/2014/main" id="{3EE242D3-A7B3-4543-B78B-71E5AE2409B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806455" y="5012522"/>
          <a:ext cx="238125" cy="228600"/>
        </a:xfrm>
        <a:prstGeom prst="rect">
          <a:avLst/>
        </a:prstGeom>
      </xdr:spPr>
    </xdr:pic>
    <xdr:clientData/>
  </xdr:oneCellAnchor>
  <xdr:oneCellAnchor>
    <xdr:from>
      <xdr:col>1</xdr:col>
      <xdr:colOff>0</xdr:colOff>
      <xdr:row>0</xdr:row>
      <xdr:rowOff>0</xdr:rowOff>
    </xdr:from>
    <xdr:ext cx="3097529" cy="400050"/>
    <xdr:pic>
      <xdr:nvPicPr>
        <xdr:cNvPr id="7" name="Afbeelding 6">
          <a:extLst>
            <a:ext uri="{FF2B5EF4-FFF2-40B4-BE49-F238E27FC236}">
              <a16:creationId xmlns:a16="http://schemas.microsoft.com/office/drawing/2014/main" id="{A216944A-4F06-4A53-9370-3B5708FB9B1C}"/>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222" t="1554" b="16892"/>
        <a:stretch/>
      </xdr:blipFill>
      <xdr:spPr bwMode="auto">
        <a:xfrm>
          <a:off x="638175" y="0"/>
          <a:ext cx="3097529" cy="4000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4083</xdr:colOff>
      <xdr:row>4</xdr:row>
      <xdr:rowOff>217713</xdr:rowOff>
    </xdr:from>
    <xdr:ext cx="6716484" cy="2362201"/>
    <xdr:sp macro="" textlink="">
      <xdr:nvSpPr>
        <xdr:cNvPr id="8" name="Tekstvak 7">
          <a:extLst>
            <a:ext uri="{FF2B5EF4-FFF2-40B4-BE49-F238E27FC236}">
              <a16:creationId xmlns:a16="http://schemas.microsoft.com/office/drawing/2014/main" id="{C15D38B1-9F67-4DE5-85FF-C123A27A59BE}"/>
            </a:ext>
          </a:extLst>
        </xdr:cNvPr>
        <xdr:cNvSpPr txBox="1"/>
      </xdr:nvSpPr>
      <xdr:spPr>
        <a:xfrm>
          <a:off x="7379154" y="1333499"/>
          <a:ext cx="6716484" cy="2362201"/>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nl-NL" sz="1100">
              <a:solidFill>
                <a:schemeClr val="tx1"/>
              </a:solidFill>
              <a:effectLst/>
              <a:latin typeface="+mn-lt"/>
              <a:ea typeface="+mn-ea"/>
              <a:cs typeface="+mn-cs"/>
            </a:rPr>
            <a:t>Met dit rekenblad kunnen GPR scores van DPG-berekeningen meerdere GPR-berekeningen gebruiksoppervlaktegewogen worden gemiddeld.</a:t>
          </a:r>
        </a:p>
        <a:p>
          <a:pPr marL="0" marR="0" lvl="0" indent="0" defTabSz="914400" eaLnBrk="1" fontAlgn="auto" latinLnBrk="0" hangingPunct="1">
            <a:lnSpc>
              <a:spcPct val="100000"/>
            </a:lnSpc>
            <a:spcBef>
              <a:spcPts val="0"/>
            </a:spcBef>
            <a:spcAft>
              <a:spcPts val="0"/>
            </a:spcAft>
            <a:buClrTx/>
            <a:buSzTx/>
            <a:buFontTx/>
            <a:buNone/>
            <a:tabLst/>
            <a:defRPr/>
          </a:pPr>
          <a:r>
            <a:rPr lang="nl-NL" sz="1100">
              <a:solidFill>
                <a:schemeClr val="tx1"/>
              </a:solidFill>
              <a:effectLst/>
              <a:latin typeface="+mn-lt"/>
              <a:ea typeface="+mn-ea"/>
              <a:cs typeface="+mn-cs"/>
            </a:rPr>
            <a:t>Het rekenblad combineert de resultaten van maximaal 10 GPR berekeningen tot één gewogen resultaat. Het</a:t>
          </a:r>
          <a:r>
            <a:rPr lang="nl-NL" sz="1100" baseline="0">
              <a:solidFill>
                <a:schemeClr val="tx1"/>
              </a:solidFill>
              <a:effectLst/>
              <a:latin typeface="+mn-lt"/>
              <a:ea typeface="+mn-ea"/>
              <a:cs typeface="+mn-cs"/>
            </a:rPr>
            <a:t> rekenblad </a:t>
          </a:r>
          <a:r>
            <a:rPr lang="nl-NL" sz="1100">
              <a:solidFill>
                <a:schemeClr val="tx1"/>
              </a:solidFill>
              <a:effectLst/>
              <a:latin typeface="+mn-lt"/>
              <a:ea typeface="+mn-ea"/>
              <a:cs typeface="+mn-cs"/>
            </a:rPr>
            <a:t>is toepasbaar wanneer een gebouw meerdere gebruiksfuncties bevat of wanneer een gebouw bestaat uit een nieuw en een bestaand deel.</a:t>
          </a:r>
        </a:p>
        <a:p>
          <a:endParaRPr lang="nl-NL" sz="1100" b="1">
            <a:solidFill>
              <a:schemeClr val="tx1"/>
            </a:solidFill>
            <a:effectLst/>
            <a:latin typeface="+mn-lt"/>
            <a:ea typeface="+mn-ea"/>
            <a:cs typeface="+mn-cs"/>
          </a:endParaRPr>
        </a:p>
        <a:p>
          <a:r>
            <a:rPr lang="nl-NL" sz="1100" b="1">
              <a:solidFill>
                <a:schemeClr val="tx1"/>
              </a:solidFill>
              <a:effectLst/>
              <a:latin typeface="+mn-lt"/>
              <a:ea typeface="+mn-ea"/>
              <a:cs typeface="+mn-cs"/>
            </a:rPr>
            <a:t>Werkwijze</a:t>
          </a:r>
          <a:endParaRPr lang="nl-NL" sz="1100">
            <a:solidFill>
              <a:schemeClr val="tx1"/>
            </a:solidFill>
            <a:effectLst/>
            <a:latin typeface="+mn-lt"/>
            <a:ea typeface="+mn-ea"/>
            <a:cs typeface="+mn-cs"/>
          </a:endParaRPr>
        </a:p>
        <a:p>
          <a:r>
            <a:rPr lang="nl-NL" sz="1100">
              <a:solidFill>
                <a:schemeClr val="tx1"/>
              </a:solidFill>
              <a:effectLst/>
              <a:latin typeface="+mn-lt"/>
              <a:ea typeface="+mn-ea"/>
              <a:cs typeface="+mn-cs"/>
            </a:rPr>
            <a:t>1. bepaal welke GPR berekeningen moeten worden samengevoegd.</a:t>
          </a:r>
          <a:endParaRPr lang="nl-NL">
            <a:effectLst/>
          </a:endParaRPr>
        </a:p>
        <a:p>
          <a:r>
            <a:rPr lang="nl-NL" sz="1100">
              <a:solidFill>
                <a:schemeClr val="tx1"/>
              </a:solidFill>
              <a:effectLst/>
              <a:latin typeface="+mn-lt"/>
              <a:ea typeface="+mn-ea"/>
              <a:cs typeface="+mn-cs"/>
            </a:rPr>
            <a:t>2. vul per thema de ambities voor het gecombineerde gebouw in (optioneel).</a:t>
          </a:r>
          <a:endParaRPr lang="nl-NL">
            <a:effectLst/>
          </a:endParaRPr>
        </a:p>
        <a:p>
          <a:r>
            <a:rPr lang="nl-NL" sz="1100">
              <a:solidFill>
                <a:schemeClr val="tx1"/>
              </a:solidFill>
              <a:effectLst/>
              <a:latin typeface="+mn-lt"/>
              <a:ea typeface="+mn-ea"/>
              <a:cs typeface="+mn-cs"/>
            </a:rPr>
            <a:t>3. vul per GPR berekening de volgende parameters in: 'Gebouwcategorie', 'Gebruiksoppervlakte' en de GPR-scores per thema. </a:t>
          </a:r>
          <a:endParaRPr lang="nl-NL">
            <a:effectLst/>
          </a:endParaRPr>
        </a:p>
        <a:p>
          <a:r>
            <a:rPr lang="nl-NL" sz="1100">
              <a:solidFill>
                <a:schemeClr val="tx1"/>
              </a:solidFill>
              <a:effectLst/>
              <a:latin typeface="+mn-lt"/>
              <a:ea typeface="+mn-ea"/>
              <a:cs typeface="+mn-cs"/>
            </a:rPr>
            <a:t>4. het berekende gewogen resultaat staat onderaan het rekenblad bij 'Combinatiegebouw totaal'. De GPR score die voldoet aan de ambitie kleurt groen en de GPR score die niet voldoet kleurt rood.</a:t>
          </a:r>
          <a:endParaRPr lang="nl-NL">
            <a:effectLst/>
          </a:endParaRPr>
        </a:p>
        <a:p>
          <a:endParaRPr lang="nl-NL" sz="1100"/>
        </a:p>
      </xdr:txBody>
    </xdr:sp>
    <xdr:clientData/>
  </xdr:oneCellAnchor>
</xdr:wsDr>
</file>

<file path=xl/drawings/drawing22.xml><?xml version="1.0" encoding="utf-8"?>
<xdr:wsDr xmlns:xdr="http://schemas.openxmlformats.org/drawingml/2006/spreadsheetDrawing" xmlns:a="http://schemas.openxmlformats.org/drawingml/2006/main">
  <xdr:twoCellAnchor editAs="oneCell">
    <xdr:from>
      <xdr:col>0</xdr:col>
      <xdr:colOff>28576</xdr:colOff>
      <xdr:row>4</xdr:row>
      <xdr:rowOff>180977</xdr:rowOff>
    </xdr:from>
    <xdr:to>
      <xdr:col>0</xdr:col>
      <xdr:colOff>587284</xdr:colOff>
      <xdr:row>7</xdr:row>
      <xdr:rowOff>57151</xdr:rowOff>
    </xdr:to>
    <xdr:pic>
      <xdr:nvPicPr>
        <xdr:cNvPr id="2" name="Afbeelding 1">
          <a:extLst>
            <a:ext uri="{FF2B5EF4-FFF2-40B4-BE49-F238E27FC236}">
              <a16:creationId xmlns:a16="http://schemas.microsoft.com/office/drawing/2014/main" id="{6E0D7FF1-C7F6-4073-9215-03FCDAFF14C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6" y="1295402"/>
          <a:ext cx="554898" cy="523874"/>
        </a:xfrm>
        <a:prstGeom prst="rect">
          <a:avLst/>
        </a:prstGeom>
      </xdr:spPr>
    </xdr:pic>
    <xdr:clientData/>
  </xdr:twoCellAnchor>
  <xdr:twoCellAnchor editAs="oneCell">
    <xdr:from>
      <xdr:col>0</xdr:col>
      <xdr:colOff>607696</xdr:colOff>
      <xdr:row>0</xdr:row>
      <xdr:rowOff>19050</xdr:rowOff>
    </xdr:from>
    <xdr:to>
      <xdr:col>3</xdr:col>
      <xdr:colOff>1882140</xdr:colOff>
      <xdr:row>1</xdr:row>
      <xdr:rowOff>1905</xdr:rowOff>
    </xdr:to>
    <xdr:pic>
      <xdr:nvPicPr>
        <xdr:cNvPr id="3" name="Afbeelding 2">
          <a:extLst>
            <a:ext uri="{FF2B5EF4-FFF2-40B4-BE49-F238E27FC236}">
              <a16:creationId xmlns:a16="http://schemas.microsoft.com/office/drawing/2014/main" id="{FB6CD0D4-19A9-4FA8-A42D-E8B96C110506}"/>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22" t="1554" b="16892"/>
        <a:stretch/>
      </xdr:blipFill>
      <xdr:spPr bwMode="auto">
        <a:xfrm>
          <a:off x="607696" y="15240"/>
          <a:ext cx="3366134"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643618</xdr:colOff>
      <xdr:row>5</xdr:row>
      <xdr:rowOff>10886</xdr:rowOff>
    </xdr:from>
    <xdr:ext cx="5052332" cy="1469571"/>
    <xdr:sp macro="" textlink="">
      <xdr:nvSpPr>
        <xdr:cNvPr id="4" name="Tekstvak 3">
          <a:extLst>
            <a:ext uri="{FF2B5EF4-FFF2-40B4-BE49-F238E27FC236}">
              <a16:creationId xmlns:a16="http://schemas.microsoft.com/office/drawing/2014/main" id="{7BD9A411-A627-4BBF-9000-6803A09E0749}"/>
            </a:ext>
          </a:extLst>
        </xdr:cNvPr>
        <xdr:cNvSpPr txBox="1"/>
      </xdr:nvSpPr>
      <xdr:spPr>
        <a:xfrm>
          <a:off x="6225268" y="1344386"/>
          <a:ext cx="5052332" cy="1469571"/>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nl-NL" sz="1000">
              <a:solidFill>
                <a:schemeClr val="tx1"/>
              </a:solidFill>
              <a:effectLst/>
              <a:latin typeface="+mn-lt"/>
              <a:ea typeface="+mn-ea"/>
              <a:cs typeface="+mn-cs"/>
            </a:rPr>
            <a:t>Dit rekenblad berekent de CirculariteitsPrestatie Gebouw (CPG) op basis van 5 strategieën, aan de hand van (deel) resultaten en invoer van een GPR Gebouw-berekening.</a:t>
          </a:r>
        </a:p>
        <a:p>
          <a:endParaRPr lang="nl-NL" sz="1000" b="1">
            <a:solidFill>
              <a:schemeClr val="tx1"/>
            </a:solidFill>
            <a:effectLst/>
            <a:latin typeface="+mn-lt"/>
            <a:ea typeface="+mn-ea"/>
            <a:cs typeface="+mn-cs"/>
          </a:endParaRPr>
        </a:p>
        <a:p>
          <a:r>
            <a:rPr lang="nl-NL" sz="1000" b="1">
              <a:solidFill>
                <a:schemeClr val="tx1"/>
              </a:solidFill>
              <a:effectLst/>
              <a:latin typeface="+mn-lt"/>
              <a:ea typeface="+mn-ea"/>
              <a:cs typeface="+mn-cs"/>
            </a:rPr>
            <a:t>Werkwijze</a:t>
          </a:r>
          <a:endParaRPr lang="nl-NL" sz="1000">
            <a:solidFill>
              <a:schemeClr val="tx1"/>
            </a:solidFill>
            <a:effectLst/>
            <a:latin typeface="+mn-lt"/>
            <a:ea typeface="+mn-ea"/>
            <a:cs typeface="+mn-cs"/>
          </a:endParaRPr>
        </a:p>
        <a:p>
          <a:pPr lvl="0"/>
          <a:r>
            <a:rPr lang="nl-NL" sz="1000">
              <a:solidFill>
                <a:schemeClr val="tx1"/>
              </a:solidFill>
              <a:effectLst/>
              <a:latin typeface="+mn-lt"/>
              <a:ea typeface="+mn-ea"/>
              <a:cs typeface="+mn-cs"/>
            </a:rPr>
            <a:t>1. Bepaal de gebruiksfunctie.</a:t>
          </a:r>
        </a:p>
        <a:p>
          <a:pPr lvl="0"/>
          <a:r>
            <a:rPr lang="nl-NL" sz="1000">
              <a:solidFill>
                <a:schemeClr val="tx1"/>
              </a:solidFill>
              <a:effectLst/>
              <a:latin typeface="+mn-lt"/>
              <a:ea typeface="+mn-ea"/>
              <a:cs typeface="+mn-cs"/>
            </a:rPr>
            <a:t>2. Neem per</a:t>
          </a:r>
          <a:r>
            <a:rPr lang="nl-NL" sz="1000" baseline="0">
              <a:solidFill>
                <a:schemeClr val="tx1"/>
              </a:solidFill>
              <a:effectLst/>
              <a:latin typeface="+mn-lt"/>
              <a:ea typeface="+mn-ea"/>
              <a:cs typeface="+mn-cs"/>
            </a:rPr>
            <a:t> substrategie de gevraagde resultaten over uit GPR Gebouw. Let op! dit verschilt per categorie. Lees daarom de beschrijving in de info-blokken aangegeven met een </a:t>
          </a:r>
          <a:r>
            <a:rPr lang="nl-NL" sz="1000" b="0" i="0" u="none" strike="noStrike">
              <a:solidFill>
                <a:srgbClr val="548235"/>
              </a:solidFill>
              <a:effectLst/>
              <a:latin typeface="Webdings" panose="05030102010509060703" pitchFamily="18" charset="2"/>
            </a:rPr>
            <a:t>i</a:t>
          </a:r>
          <a:r>
            <a:rPr lang="nl-NL" sz="1000"/>
            <a:t>.</a:t>
          </a:r>
          <a:endParaRPr lang="nl-NL" sz="1000">
            <a:solidFill>
              <a:schemeClr val="tx1"/>
            </a:solidFill>
            <a:effectLst/>
            <a:latin typeface="+mn-lt"/>
            <a:ea typeface="+mn-ea"/>
            <a:cs typeface="+mn-cs"/>
          </a:endParaRPr>
        </a:p>
        <a:p>
          <a:pPr lvl="0"/>
          <a:r>
            <a:rPr lang="nl-NL" sz="1000">
              <a:solidFill>
                <a:schemeClr val="tx1"/>
              </a:solidFill>
              <a:effectLst/>
              <a:latin typeface="+mn-lt"/>
              <a:ea typeface="+mn-ea"/>
              <a:cs typeface="+mn-cs"/>
            </a:rPr>
            <a:t>3. De</a:t>
          </a:r>
          <a:r>
            <a:rPr lang="nl-NL" sz="1000" baseline="0">
              <a:solidFill>
                <a:schemeClr val="tx1"/>
              </a:solidFill>
              <a:effectLst/>
              <a:latin typeface="+mn-lt"/>
              <a:ea typeface="+mn-ea"/>
              <a:cs typeface="+mn-cs"/>
            </a:rPr>
            <a:t> Circulariteitsprestatie Gebouw is te vinden in het groene vak. </a:t>
          </a:r>
          <a:endParaRPr lang="nl-NL" sz="1000">
            <a:solidFill>
              <a:schemeClr val="tx1"/>
            </a:solidFill>
            <a:effectLst/>
            <a:latin typeface="+mn-lt"/>
            <a:ea typeface="+mn-ea"/>
            <a:cs typeface="+mn-cs"/>
          </a:endParaRPr>
        </a:p>
        <a:p>
          <a:endParaRPr lang="nl-NL" sz="1000"/>
        </a:p>
      </xdr:txBody>
    </xdr:sp>
    <xdr:clientData/>
  </xdr:oneCellAnchor>
</xdr:wsDr>
</file>

<file path=xl/drawings/drawing23.xml><?xml version="1.0" encoding="utf-8"?>
<xdr:wsDr xmlns:xdr="http://schemas.openxmlformats.org/drawingml/2006/spreadsheetDrawing" xmlns:a="http://schemas.openxmlformats.org/drawingml/2006/main">
  <xdr:twoCellAnchor editAs="oneCell">
    <xdr:from>
      <xdr:col>0</xdr:col>
      <xdr:colOff>28576</xdr:colOff>
      <xdr:row>4</xdr:row>
      <xdr:rowOff>180976</xdr:rowOff>
    </xdr:from>
    <xdr:to>
      <xdr:col>1</xdr:col>
      <xdr:colOff>1234</xdr:colOff>
      <xdr:row>7</xdr:row>
      <xdr:rowOff>91440</xdr:rowOff>
    </xdr:to>
    <xdr:pic>
      <xdr:nvPicPr>
        <xdr:cNvPr id="2" name="Afbeelding 1">
          <a:extLst>
            <a:ext uri="{FF2B5EF4-FFF2-40B4-BE49-F238E27FC236}">
              <a16:creationId xmlns:a16="http://schemas.microsoft.com/office/drawing/2014/main" id="{E6DD7D9B-538F-45DB-9376-2577C26D7C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6" y="1295401"/>
          <a:ext cx="582258" cy="567689"/>
        </a:xfrm>
        <a:prstGeom prst="rect">
          <a:avLst/>
        </a:prstGeom>
      </xdr:spPr>
    </xdr:pic>
    <xdr:clientData/>
  </xdr:twoCellAnchor>
  <xdr:twoCellAnchor editAs="oneCell">
    <xdr:from>
      <xdr:col>0</xdr:col>
      <xdr:colOff>607696</xdr:colOff>
      <xdr:row>0</xdr:row>
      <xdr:rowOff>19050</xdr:rowOff>
    </xdr:from>
    <xdr:to>
      <xdr:col>3</xdr:col>
      <xdr:colOff>1882140</xdr:colOff>
      <xdr:row>1</xdr:row>
      <xdr:rowOff>0</xdr:rowOff>
    </xdr:to>
    <xdr:pic>
      <xdr:nvPicPr>
        <xdr:cNvPr id="3" name="Afbeelding 2">
          <a:extLst>
            <a:ext uri="{FF2B5EF4-FFF2-40B4-BE49-F238E27FC236}">
              <a16:creationId xmlns:a16="http://schemas.microsoft.com/office/drawing/2014/main" id="{3A9EA433-9D56-4A16-81A6-1E0468BD0DC3}"/>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22" t="1554" b="16892"/>
        <a:stretch/>
      </xdr:blipFill>
      <xdr:spPr bwMode="auto">
        <a:xfrm>
          <a:off x="607696" y="19050"/>
          <a:ext cx="3103244" cy="40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651782</xdr:colOff>
      <xdr:row>5</xdr:row>
      <xdr:rowOff>10886</xdr:rowOff>
    </xdr:from>
    <xdr:ext cx="5593896" cy="1469571"/>
    <xdr:sp macro="" textlink="">
      <xdr:nvSpPr>
        <xdr:cNvPr id="4" name="Tekstvak 3">
          <a:extLst>
            <a:ext uri="{FF2B5EF4-FFF2-40B4-BE49-F238E27FC236}">
              <a16:creationId xmlns:a16="http://schemas.microsoft.com/office/drawing/2014/main" id="{9ADD20A5-3E95-40DF-8C47-1D3D0005F4FC}"/>
            </a:ext>
          </a:extLst>
        </xdr:cNvPr>
        <xdr:cNvSpPr txBox="1"/>
      </xdr:nvSpPr>
      <xdr:spPr>
        <a:xfrm>
          <a:off x="6233432" y="1344386"/>
          <a:ext cx="5593896" cy="1469571"/>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nl-NL" sz="1100">
              <a:solidFill>
                <a:schemeClr val="tx1"/>
              </a:solidFill>
              <a:effectLst/>
              <a:latin typeface="+mn-lt"/>
              <a:ea typeface="+mn-ea"/>
              <a:cs typeface="+mn-cs"/>
            </a:rPr>
            <a:t>Dit rekenblad berekent de CirculariteitsPrestatie Gebouw (CPG) op basis van 5 strategieën, aan de hand van (deel) resultaten en invoer van een GPR Gebouw-berekening.</a:t>
          </a:r>
        </a:p>
        <a:p>
          <a:endParaRPr lang="nl-NL" sz="1100" b="1">
            <a:solidFill>
              <a:schemeClr val="tx1"/>
            </a:solidFill>
            <a:effectLst/>
            <a:latin typeface="+mn-lt"/>
            <a:ea typeface="+mn-ea"/>
            <a:cs typeface="+mn-cs"/>
          </a:endParaRPr>
        </a:p>
        <a:p>
          <a:r>
            <a:rPr lang="nl-NL" sz="1100" b="1">
              <a:solidFill>
                <a:schemeClr val="tx1"/>
              </a:solidFill>
              <a:effectLst/>
              <a:latin typeface="+mn-lt"/>
              <a:ea typeface="+mn-ea"/>
              <a:cs typeface="+mn-cs"/>
            </a:rPr>
            <a:t>Werkwijze</a:t>
          </a:r>
          <a:endParaRPr lang="nl-NL" sz="1100">
            <a:solidFill>
              <a:schemeClr val="tx1"/>
            </a:solidFill>
            <a:effectLst/>
            <a:latin typeface="+mn-lt"/>
            <a:ea typeface="+mn-ea"/>
            <a:cs typeface="+mn-cs"/>
          </a:endParaRPr>
        </a:p>
        <a:p>
          <a:pPr lvl="0"/>
          <a:r>
            <a:rPr lang="nl-NL" sz="1100">
              <a:solidFill>
                <a:schemeClr val="tx1"/>
              </a:solidFill>
              <a:effectLst/>
              <a:latin typeface="+mn-lt"/>
              <a:ea typeface="+mn-ea"/>
              <a:cs typeface="+mn-cs"/>
            </a:rPr>
            <a:t>1. Bepaal de gebruiksfunctie.</a:t>
          </a:r>
        </a:p>
        <a:p>
          <a:pPr lvl="0"/>
          <a:r>
            <a:rPr lang="nl-NL" sz="1100">
              <a:solidFill>
                <a:schemeClr val="tx1"/>
              </a:solidFill>
              <a:effectLst/>
              <a:latin typeface="+mn-lt"/>
              <a:ea typeface="+mn-ea"/>
              <a:cs typeface="+mn-cs"/>
            </a:rPr>
            <a:t>2. Neem per</a:t>
          </a:r>
          <a:r>
            <a:rPr lang="nl-NL" sz="1100" baseline="0">
              <a:solidFill>
                <a:schemeClr val="tx1"/>
              </a:solidFill>
              <a:effectLst/>
              <a:latin typeface="+mn-lt"/>
              <a:ea typeface="+mn-ea"/>
              <a:cs typeface="+mn-cs"/>
            </a:rPr>
            <a:t> substrategie de gevraagde resultaten over uit GPR Gebouw. Let op! dit verschilt per categorie. Lees daarom de beschrijving in de info-blokken aangegeven met een </a:t>
          </a:r>
          <a:r>
            <a:rPr lang="nl-NL" sz="1100" b="0" i="0" u="none" strike="noStrike">
              <a:solidFill>
                <a:srgbClr val="548235"/>
              </a:solidFill>
              <a:effectLst/>
              <a:latin typeface="Webdings" panose="05030102010509060703" pitchFamily="18" charset="2"/>
            </a:rPr>
            <a:t>i</a:t>
          </a:r>
          <a:r>
            <a:rPr lang="nl-NL"/>
            <a:t>.</a:t>
          </a:r>
          <a:endParaRPr lang="nl-NL" sz="1100">
            <a:solidFill>
              <a:schemeClr val="tx1"/>
            </a:solidFill>
            <a:effectLst/>
            <a:latin typeface="+mn-lt"/>
            <a:ea typeface="+mn-ea"/>
            <a:cs typeface="+mn-cs"/>
          </a:endParaRPr>
        </a:p>
        <a:p>
          <a:pPr lvl="0"/>
          <a:r>
            <a:rPr lang="nl-NL" sz="1100">
              <a:solidFill>
                <a:schemeClr val="tx1"/>
              </a:solidFill>
              <a:effectLst/>
              <a:latin typeface="+mn-lt"/>
              <a:ea typeface="+mn-ea"/>
              <a:cs typeface="+mn-cs"/>
            </a:rPr>
            <a:t>3. De</a:t>
          </a:r>
          <a:r>
            <a:rPr lang="nl-NL" sz="1100" baseline="0">
              <a:solidFill>
                <a:schemeClr val="tx1"/>
              </a:solidFill>
              <a:effectLst/>
              <a:latin typeface="+mn-lt"/>
              <a:ea typeface="+mn-ea"/>
              <a:cs typeface="+mn-cs"/>
            </a:rPr>
            <a:t> Circulariteitsprestatie Gebouw is te vinden in het groene vak. </a:t>
          </a:r>
          <a:endParaRPr lang="nl-NL" sz="1100">
            <a:solidFill>
              <a:schemeClr val="tx1"/>
            </a:solidFill>
            <a:effectLst/>
            <a:latin typeface="+mn-lt"/>
            <a:ea typeface="+mn-ea"/>
            <a:cs typeface="+mn-cs"/>
          </a:endParaRPr>
        </a:p>
        <a:p>
          <a:endParaRPr lang="nl-NL" sz="1100"/>
        </a:p>
      </xdr:txBody>
    </xdr:sp>
    <xdr:clientData/>
  </xdr:oneCellAnchor>
</xdr:wsDr>
</file>

<file path=xl/drawings/drawing24.xml><?xml version="1.0" encoding="utf-8"?>
<xdr:wsDr xmlns:xdr="http://schemas.openxmlformats.org/drawingml/2006/spreadsheetDrawing" xmlns:a="http://schemas.openxmlformats.org/drawingml/2006/main">
  <xdr:twoCellAnchor editAs="oneCell">
    <xdr:from>
      <xdr:col>0</xdr:col>
      <xdr:colOff>28576</xdr:colOff>
      <xdr:row>4</xdr:row>
      <xdr:rowOff>180976</xdr:rowOff>
    </xdr:from>
    <xdr:to>
      <xdr:col>1</xdr:col>
      <xdr:colOff>1234</xdr:colOff>
      <xdr:row>7</xdr:row>
      <xdr:rowOff>91440</xdr:rowOff>
    </xdr:to>
    <xdr:pic>
      <xdr:nvPicPr>
        <xdr:cNvPr id="6" name="Afbeelding 5">
          <a:extLst>
            <a:ext uri="{FF2B5EF4-FFF2-40B4-BE49-F238E27FC236}">
              <a16:creationId xmlns:a16="http://schemas.microsoft.com/office/drawing/2014/main" id="{B154CDCF-D9A3-4EAA-A093-BEFAB5E3CA2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6" y="1209676"/>
          <a:ext cx="575908" cy="561974"/>
        </a:xfrm>
        <a:prstGeom prst="rect">
          <a:avLst/>
        </a:prstGeom>
      </xdr:spPr>
    </xdr:pic>
    <xdr:clientData/>
  </xdr:twoCellAnchor>
  <xdr:twoCellAnchor editAs="oneCell">
    <xdr:from>
      <xdr:col>0</xdr:col>
      <xdr:colOff>607696</xdr:colOff>
      <xdr:row>0</xdr:row>
      <xdr:rowOff>19050</xdr:rowOff>
    </xdr:from>
    <xdr:to>
      <xdr:col>3</xdr:col>
      <xdr:colOff>1882140</xdr:colOff>
      <xdr:row>1</xdr:row>
      <xdr:rowOff>0</xdr:rowOff>
    </xdr:to>
    <xdr:pic>
      <xdr:nvPicPr>
        <xdr:cNvPr id="5" name="Afbeelding 4">
          <a:extLst>
            <a:ext uri="{FF2B5EF4-FFF2-40B4-BE49-F238E27FC236}">
              <a16:creationId xmlns:a16="http://schemas.microsoft.com/office/drawing/2014/main" id="{5B497BCA-E9E4-45BB-A835-A7B73057D4B7}"/>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22" t="1554" b="16892"/>
        <a:stretch/>
      </xdr:blipFill>
      <xdr:spPr bwMode="auto">
        <a:xfrm>
          <a:off x="607696" y="19050"/>
          <a:ext cx="3097529" cy="40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651782</xdr:colOff>
      <xdr:row>5</xdr:row>
      <xdr:rowOff>10886</xdr:rowOff>
    </xdr:from>
    <xdr:ext cx="5593896" cy="1469571"/>
    <xdr:sp macro="" textlink="">
      <xdr:nvSpPr>
        <xdr:cNvPr id="4" name="Tekstvak 3">
          <a:extLst>
            <a:ext uri="{FF2B5EF4-FFF2-40B4-BE49-F238E27FC236}">
              <a16:creationId xmlns:a16="http://schemas.microsoft.com/office/drawing/2014/main" id="{27D45C9B-2B83-498E-B209-4FE4F0B94204}"/>
            </a:ext>
          </a:extLst>
        </xdr:cNvPr>
        <xdr:cNvSpPr txBox="1"/>
      </xdr:nvSpPr>
      <xdr:spPr>
        <a:xfrm>
          <a:off x="6244318" y="1344386"/>
          <a:ext cx="5593896" cy="1469571"/>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nl-NL" sz="1100">
              <a:solidFill>
                <a:schemeClr val="tx1"/>
              </a:solidFill>
              <a:effectLst/>
              <a:latin typeface="+mn-lt"/>
              <a:ea typeface="+mn-ea"/>
              <a:cs typeface="+mn-cs"/>
            </a:rPr>
            <a:t>Dit rekenblad berekent de CirculariteitsPrestatie Gebouw (CPG) op basis van 5 strategieën, aan de hand van (deel) resultaten en invoer van een GPR Gebouw-berekening.</a:t>
          </a:r>
        </a:p>
        <a:p>
          <a:endParaRPr lang="nl-NL" sz="1100" b="1">
            <a:solidFill>
              <a:schemeClr val="tx1"/>
            </a:solidFill>
            <a:effectLst/>
            <a:latin typeface="+mn-lt"/>
            <a:ea typeface="+mn-ea"/>
            <a:cs typeface="+mn-cs"/>
          </a:endParaRPr>
        </a:p>
        <a:p>
          <a:r>
            <a:rPr lang="nl-NL" sz="1100" b="1">
              <a:solidFill>
                <a:schemeClr val="tx1"/>
              </a:solidFill>
              <a:effectLst/>
              <a:latin typeface="+mn-lt"/>
              <a:ea typeface="+mn-ea"/>
              <a:cs typeface="+mn-cs"/>
            </a:rPr>
            <a:t>Werkwijze</a:t>
          </a:r>
          <a:endParaRPr lang="nl-NL" sz="1100">
            <a:solidFill>
              <a:schemeClr val="tx1"/>
            </a:solidFill>
            <a:effectLst/>
            <a:latin typeface="+mn-lt"/>
            <a:ea typeface="+mn-ea"/>
            <a:cs typeface="+mn-cs"/>
          </a:endParaRPr>
        </a:p>
        <a:p>
          <a:pPr lvl="0"/>
          <a:r>
            <a:rPr lang="nl-NL" sz="1100">
              <a:solidFill>
                <a:schemeClr val="tx1"/>
              </a:solidFill>
              <a:effectLst/>
              <a:latin typeface="+mn-lt"/>
              <a:ea typeface="+mn-ea"/>
              <a:cs typeface="+mn-cs"/>
            </a:rPr>
            <a:t>1. Bepaal de gebruiksfunctie.</a:t>
          </a:r>
        </a:p>
        <a:p>
          <a:pPr lvl="0"/>
          <a:r>
            <a:rPr lang="nl-NL" sz="1100">
              <a:solidFill>
                <a:schemeClr val="tx1"/>
              </a:solidFill>
              <a:effectLst/>
              <a:latin typeface="+mn-lt"/>
              <a:ea typeface="+mn-ea"/>
              <a:cs typeface="+mn-cs"/>
            </a:rPr>
            <a:t>2. Neem per</a:t>
          </a:r>
          <a:r>
            <a:rPr lang="nl-NL" sz="1100" baseline="0">
              <a:solidFill>
                <a:schemeClr val="tx1"/>
              </a:solidFill>
              <a:effectLst/>
              <a:latin typeface="+mn-lt"/>
              <a:ea typeface="+mn-ea"/>
              <a:cs typeface="+mn-cs"/>
            </a:rPr>
            <a:t> substrategie de gevraagde resultaten over uit GPR Gebouw. Let op! dit verschilt per categorie. Lees daarom de beschrijving in de info-blokken aangegeven met een </a:t>
          </a:r>
          <a:r>
            <a:rPr lang="nl-NL" sz="1100" b="0" i="0" u="none" strike="noStrike">
              <a:solidFill>
                <a:srgbClr val="548235"/>
              </a:solidFill>
              <a:effectLst/>
              <a:latin typeface="Webdings" panose="05030102010509060703" pitchFamily="18" charset="2"/>
            </a:rPr>
            <a:t>i</a:t>
          </a:r>
          <a:r>
            <a:rPr lang="nl-NL"/>
            <a:t>.</a:t>
          </a:r>
          <a:endParaRPr lang="nl-NL" sz="1100">
            <a:solidFill>
              <a:schemeClr val="tx1"/>
            </a:solidFill>
            <a:effectLst/>
            <a:latin typeface="+mn-lt"/>
            <a:ea typeface="+mn-ea"/>
            <a:cs typeface="+mn-cs"/>
          </a:endParaRPr>
        </a:p>
        <a:p>
          <a:pPr lvl="0"/>
          <a:r>
            <a:rPr lang="nl-NL" sz="1100">
              <a:solidFill>
                <a:schemeClr val="tx1"/>
              </a:solidFill>
              <a:effectLst/>
              <a:latin typeface="+mn-lt"/>
              <a:ea typeface="+mn-ea"/>
              <a:cs typeface="+mn-cs"/>
            </a:rPr>
            <a:t>3. De</a:t>
          </a:r>
          <a:r>
            <a:rPr lang="nl-NL" sz="1100" baseline="0">
              <a:solidFill>
                <a:schemeClr val="tx1"/>
              </a:solidFill>
              <a:effectLst/>
              <a:latin typeface="+mn-lt"/>
              <a:ea typeface="+mn-ea"/>
              <a:cs typeface="+mn-cs"/>
            </a:rPr>
            <a:t> Circulariteitsprestatie Gebouw is te vinden in het groene vak. </a:t>
          </a:r>
          <a:endParaRPr lang="nl-NL" sz="1100">
            <a:solidFill>
              <a:schemeClr val="tx1"/>
            </a:solidFill>
            <a:effectLst/>
            <a:latin typeface="+mn-lt"/>
            <a:ea typeface="+mn-ea"/>
            <a:cs typeface="+mn-cs"/>
          </a:endParaRPr>
        </a:p>
        <a:p>
          <a:endParaRPr lang="nl-NL" sz="1100"/>
        </a:p>
      </xdr:txBody>
    </xdr:sp>
    <xdr:clientData/>
  </xdr:one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2365374</xdr:colOff>
      <xdr:row>0</xdr:row>
      <xdr:rowOff>398145</xdr:rowOff>
    </xdr:to>
    <xdr:pic>
      <xdr:nvPicPr>
        <xdr:cNvPr id="2" name="Afbeelding 1">
          <a:extLst>
            <a:ext uri="{FF2B5EF4-FFF2-40B4-BE49-F238E27FC236}">
              <a16:creationId xmlns:a16="http://schemas.microsoft.com/office/drawing/2014/main" id="{AEBA06C7-C063-420A-AA9F-FE51A743F154}"/>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2" t="1554" b="16892"/>
        <a:stretch/>
      </xdr:blipFill>
      <xdr:spPr bwMode="auto">
        <a:xfrm>
          <a:off x="714375" y="0"/>
          <a:ext cx="3095624" cy="3981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0</xdr:row>
      <xdr:rowOff>20955</xdr:rowOff>
    </xdr:from>
    <xdr:to>
      <xdr:col>3</xdr:col>
      <xdr:colOff>685799</xdr:colOff>
      <xdr:row>1</xdr:row>
      <xdr:rowOff>0</xdr:rowOff>
    </xdr:to>
    <xdr:pic>
      <xdr:nvPicPr>
        <xdr:cNvPr id="2" name="Afbeelding 1">
          <a:extLst>
            <a:ext uri="{FF2B5EF4-FFF2-40B4-BE49-F238E27FC236}">
              <a16:creationId xmlns:a16="http://schemas.microsoft.com/office/drawing/2014/main" id="{627B67C5-2666-4B26-BB6E-1445FF4E09A1}"/>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2" t="1554" b="16892"/>
        <a:stretch/>
      </xdr:blipFill>
      <xdr:spPr bwMode="auto">
        <a:xfrm>
          <a:off x="609600" y="20955"/>
          <a:ext cx="3095624" cy="3981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2721</xdr:colOff>
      <xdr:row>5</xdr:row>
      <xdr:rowOff>0</xdr:rowOff>
    </xdr:from>
    <xdr:ext cx="4093029" cy="1926771"/>
    <xdr:sp macro="" textlink="">
      <xdr:nvSpPr>
        <xdr:cNvPr id="3" name="Tekstvak 2">
          <a:extLst>
            <a:ext uri="{FF2B5EF4-FFF2-40B4-BE49-F238E27FC236}">
              <a16:creationId xmlns:a16="http://schemas.microsoft.com/office/drawing/2014/main" id="{5B70F479-4AC7-4FC4-ADD9-38DB32E1E060}"/>
            </a:ext>
          </a:extLst>
        </xdr:cNvPr>
        <xdr:cNvSpPr txBox="1"/>
      </xdr:nvSpPr>
      <xdr:spPr>
        <a:xfrm>
          <a:off x="5479596" y="1333500"/>
          <a:ext cx="4093029" cy="1926771"/>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nl-NL" sz="1100">
              <a:solidFill>
                <a:schemeClr val="tx1"/>
              </a:solidFill>
              <a:effectLst/>
              <a:latin typeface="+mn-lt"/>
              <a:ea typeface="+mn-ea"/>
              <a:cs typeface="+mn-cs"/>
            </a:rPr>
            <a:t>Als het thema energie voor een woongebouw of utilitair gebouw wordt ingevoerd op basis van de beschikbare energielabels, voeg je met dit rekenblad de gegevens samen om subthema 1.1 in te voeren. </a:t>
          </a:r>
        </a:p>
        <a:p>
          <a:endParaRPr lang="nl-NL" sz="1100" b="1">
            <a:solidFill>
              <a:schemeClr val="tx1"/>
            </a:solidFill>
            <a:effectLst/>
            <a:latin typeface="+mn-lt"/>
            <a:ea typeface="+mn-ea"/>
            <a:cs typeface="+mn-cs"/>
          </a:endParaRPr>
        </a:p>
        <a:p>
          <a:r>
            <a:rPr lang="nl-NL" sz="1100" b="1">
              <a:solidFill>
                <a:schemeClr val="tx1"/>
              </a:solidFill>
              <a:effectLst/>
              <a:latin typeface="+mn-lt"/>
              <a:ea typeface="+mn-ea"/>
              <a:cs typeface="+mn-cs"/>
            </a:rPr>
            <a:t>Werkwijze</a:t>
          </a:r>
          <a:endParaRPr lang="nl-NL" sz="110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nl-NL" sz="1100">
              <a:solidFill>
                <a:schemeClr val="tx1"/>
              </a:solidFill>
              <a:effectLst/>
              <a:latin typeface="+mn-lt"/>
              <a:ea typeface="+mn-ea"/>
              <a:cs typeface="+mn-cs"/>
            </a:rPr>
            <a:t>1. Kies de juiste gebruiksfunctie en bepalingsmethode. </a:t>
          </a:r>
        </a:p>
        <a:p>
          <a:pPr marL="0" marR="0" lvl="0" indent="0" defTabSz="914400" eaLnBrk="1" fontAlgn="auto" latinLnBrk="0" hangingPunct="1">
            <a:lnSpc>
              <a:spcPct val="100000"/>
            </a:lnSpc>
            <a:spcBef>
              <a:spcPts val="0"/>
            </a:spcBef>
            <a:spcAft>
              <a:spcPts val="0"/>
            </a:spcAft>
            <a:buClrTx/>
            <a:buSzTx/>
            <a:buFontTx/>
            <a:buNone/>
            <a:tabLst/>
            <a:defRPr/>
          </a:pPr>
          <a:r>
            <a:rPr lang="nl-NL" sz="1100">
              <a:solidFill>
                <a:schemeClr val="tx1"/>
              </a:solidFill>
              <a:effectLst/>
              <a:latin typeface="+mn-lt"/>
              <a:ea typeface="+mn-ea"/>
              <a:cs typeface="+mn-cs"/>
            </a:rPr>
            <a:t>2. Voer in de witte cellen de gevraagde gegevens in. </a:t>
          </a:r>
        </a:p>
        <a:p>
          <a:pPr marL="0" marR="0" lvl="0" indent="0" defTabSz="914400" eaLnBrk="1" fontAlgn="auto" latinLnBrk="0" hangingPunct="1">
            <a:lnSpc>
              <a:spcPct val="100000"/>
            </a:lnSpc>
            <a:spcBef>
              <a:spcPts val="0"/>
            </a:spcBef>
            <a:spcAft>
              <a:spcPts val="0"/>
            </a:spcAft>
            <a:buClrTx/>
            <a:buSzTx/>
            <a:buFontTx/>
            <a:buNone/>
            <a:tabLst/>
            <a:defRPr/>
          </a:pPr>
          <a:r>
            <a:rPr lang="nl-NL" sz="1100">
              <a:solidFill>
                <a:schemeClr val="tx1"/>
              </a:solidFill>
              <a:effectLst/>
              <a:latin typeface="+mn-lt"/>
              <a:ea typeface="+mn-ea"/>
              <a:cs typeface="+mn-cs"/>
            </a:rPr>
            <a:t>3. Invoer voor subthema 1.1 is af te lezen in de rij ‘gemiddeld per woning’. </a:t>
          </a:r>
        </a:p>
        <a:p>
          <a:pPr marL="0" marR="0" lvl="0" indent="0" defTabSz="914400" eaLnBrk="1" fontAlgn="auto" latinLnBrk="0" hangingPunct="1">
            <a:lnSpc>
              <a:spcPct val="100000"/>
            </a:lnSpc>
            <a:spcBef>
              <a:spcPts val="0"/>
            </a:spcBef>
            <a:spcAft>
              <a:spcPts val="0"/>
            </a:spcAft>
            <a:buClrTx/>
            <a:buSzTx/>
            <a:buFontTx/>
            <a:buNone/>
            <a:tabLst/>
            <a:defRPr/>
          </a:pPr>
          <a:r>
            <a:rPr lang="nl-NL" sz="1100">
              <a:solidFill>
                <a:schemeClr val="tx1"/>
              </a:solidFill>
              <a:effectLst/>
              <a:latin typeface="+mn-lt"/>
              <a:ea typeface="+mn-ea"/>
              <a:cs typeface="+mn-cs"/>
            </a:rPr>
            <a:t>4. Is een woongebouw of utiliteitsgebouw aangesloten op een warmtenet, dan dient ook het rekenblad ‘CO2-emissie bij gebruik warmtenet’ ingevuld te worden.</a:t>
          </a:r>
          <a:endParaRPr lang="nl-NL">
            <a:effectLst/>
          </a:endParaRPr>
        </a:p>
        <a:p>
          <a:pPr lvl="0"/>
          <a:endParaRPr lang="nl-NL">
            <a:effectLst/>
          </a:endParaRPr>
        </a:p>
      </xdr:txBody>
    </xdr:sp>
    <xdr:clientData/>
  </xdr:one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0</xdr:row>
      <xdr:rowOff>20955</xdr:rowOff>
    </xdr:from>
    <xdr:to>
      <xdr:col>5</xdr:col>
      <xdr:colOff>514349</xdr:colOff>
      <xdr:row>1</xdr:row>
      <xdr:rowOff>0</xdr:rowOff>
    </xdr:to>
    <xdr:pic>
      <xdr:nvPicPr>
        <xdr:cNvPr id="2" name="Afbeelding 1">
          <a:extLst>
            <a:ext uri="{FF2B5EF4-FFF2-40B4-BE49-F238E27FC236}">
              <a16:creationId xmlns:a16="http://schemas.microsoft.com/office/drawing/2014/main" id="{D6E9F214-B559-4B97-9AC3-D1AB00B3192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2" t="1554" b="16892"/>
        <a:stretch/>
      </xdr:blipFill>
      <xdr:spPr bwMode="auto">
        <a:xfrm>
          <a:off x="609600" y="20955"/>
          <a:ext cx="3095624" cy="3981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9525</xdr:colOff>
      <xdr:row>0</xdr:row>
      <xdr:rowOff>0</xdr:rowOff>
    </xdr:from>
    <xdr:to>
      <xdr:col>4</xdr:col>
      <xdr:colOff>533428</xdr:colOff>
      <xdr:row>1</xdr:row>
      <xdr:rowOff>15240</xdr:rowOff>
    </xdr:to>
    <xdr:pic>
      <xdr:nvPicPr>
        <xdr:cNvPr id="2" name="Afbeelding 1">
          <a:extLst>
            <a:ext uri="{FF2B5EF4-FFF2-40B4-BE49-F238E27FC236}">
              <a16:creationId xmlns:a16="http://schemas.microsoft.com/office/drawing/2014/main" id="{49C1F154-C773-4B2D-AECA-E69B968EFF2F}"/>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2" t="1554" b="16892"/>
        <a:stretch/>
      </xdr:blipFill>
      <xdr:spPr bwMode="auto">
        <a:xfrm>
          <a:off x="4991100" y="0"/>
          <a:ext cx="3094534"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inhoudelijk/gpr%20gebouw/gpr%20gebouw%204/2.%20Onderhoud%20&amp;%20Ontwikkeling/2.%20Ontwikkeling%20thema's/2.%20Milieu/Bepaling%20formules%20MPG,%20NMD3.0+GPR4.4,%2021-09-2021.xlsx" TargetMode="External"/><Relationship Id="rId13" Type="http://schemas.openxmlformats.org/officeDocument/2006/relationships/comments" Target="../comments1.xml"/><Relationship Id="rId3" Type="http://schemas.openxmlformats.org/officeDocument/2006/relationships/hyperlink" Target="../../../inhoudelijk/gpr%20gebouw/gpr%20gebouw%204/2.%20Onderhoud%20&amp;%20Ontwikkeling/2.%20Ontwikkeling%20thema's/2.%20Milieu/Bepaling%20formules%20MPG,%20NMD3.0+GPR4.4,%2021-09-2021.xlsx" TargetMode="External"/><Relationship Id="rId7" Type="http://schemas.openxmlformats.org/officeDocument/2006/relationships/hyperlink" Target="../../../inhoudelijk/gpr%20gebouw/gpr%20gebouw%204/2.%20Onderhoud%20&amp;%20Ontwikkeling/2.%20Ontwikkeling%20thema's/2.%20Milieu/Bepaling%20formules%20MPG,%20NMD3.0+GPR4.4,%2021-09-2021.xlsx" TargetMode="External"/><Relationship Id="rId12" Type="http://schemas.openxmlformats.org/officeDocument/2006/relationships/vmlDrawing" Target="../drawings/vmlDrawing1.vml"/><Relationship Id="rId2" Type="http://schemas.openxmlformats.org/officeDocument/2006/relationships/hyperlink" Target="../../../inhoudelijk/gpr%20gebouw/gpr%20gebouw%204/pieter/AppData/2.%20Onderhoud%20&amp;%20Ontwikkeling/2.%20Ontwikkeling%20thema's/0.%20DPG/Conversieformules%20rapportcijfer%20NMD%202.1/Bepaling%20formules%20DPG,%2019-12-2017%20richting%20GPR%204.4%20en%20NTA8800.xlsx" TargetMode="External"/><Relationship Id="rId1" Type="http://schemas.openxmlformats.org/officeDocument/2006/relationships/hyperlink" Target="../../../inhoudelijk/gpr%20gebouw/gpr%20gebouw%204/pieter/AppData/2.%20Onderhoud%20&amp;%20Ontwikkeling/2.%20Ontwikkeling%20thema's/0.%20DPG/Conversieformules%20rapportcijfer%20NMD%202.1/Bepaling%20formules%20DPG,%2019-12-2017%20richting%20GPR%204.4%20en%20NTA8800.xlsx" TargetMode="External"/><Relationship Id="rId6" Type="http://schemas.openxmlformats.org/officeDocument/2006/relationships/hyperlink" Target="../../../inhoudelijk/gpr%20gebouw/gpr%20gebouw%204/2.%20Onderhoud%20&amp;%20Ontwikkeling/2.%20Ontwikkeling%20thema's/2.%20Milieu/Bepaling%20formules%20MPG,%20NMD3.0+GPR4.4,%2021-09-2021.xlsx" TargetMode="External"/><Relationship Id="rId11" Type="http://schemas.openxmlformats.org/officeDocument/2006/relationships/drawing" Target="../drawings/drawing3.xml"/><Relationship Id="rId5" Type="http://schemas.openxmlformats.org/officeDocument/2006/relationships/hyperlink" Target="../../../inhoudelijk/gpr%20gebouw/gpr%20gebouw%204/pieter/AppData/2.%20Onderhoud%20&amp;%20Ontwikkeling/2.%20Ontwikkeling%20thema's/0.%20DPG/Conversieformules%20rapportcijfer%20NMD%202.1/Bepaling%20formules%20DPG,%2019-12-2017%20richting%20GPR%204.4%20en%20NTA8800.xlsx" TargetMode="External"/><Relationship Id="rId10" Type="http://schemas.openxmlformats.org/officeDocument/2006/relationships/printerSettings" Target="../printerSettings/printerSettings3.bin"/><Relationship Id="rId4" Type="http://schemas.openxmlformats.org/officeDocument/2006/relationships/hyperlink" Target="../../../inhoudelijk/gpr%20gebouw/gpr%20gebouw%204/2.%20Onderhoud%20&amp;%20Ontwikkeling/2.%20Ontwikkeling%20thema's/2.%20Milieu/Bepaling%20formules%20MPG,%20NMD3.0+GPR4.4,%2021-09-2021.xlsx" TargetMode="External"/><Relationship Id="rId9" Type="http://schemas.openxmlformats.org/officeDocument/2006/relationships/hyperlink" Target="../../../inhoudelijk/gpr%20gebouw/gpr%20gebouw%204/2.%20Onderhoud%20&amp;%20Ontwikkeling/2.%20Ontwikkeling%20thema's/2.%20Milieu/Bepaling%20formules%20MPG,%20NMD3.0+GPR4.4,%2021-09-2021.xlsx"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hyperlink" Target="https://weadviseurs.sharepoint.com/sites/:p:/r/sites/WEKennisInnovatie/Gedeelde%20documenten/WE%20Academie/WE%20academie/2023%2012%2018%20Paris%20Proof/WE%20lunchlezing%2018dec2023%20Sturen%20op%20CO2%20(nieuwbouw).pptx?d=w8cc9a399af1349b5836b79b88de01473&amp;csf=1&amp;web=1&amp;e=JjLUfV" TargetMode="External"/><Relationship Id="rId2" Type="http://schemas.openxmlformats.org/officeDocument/2006/relationships/hyperlink" Target="https://weadviseurs.sharepoint.com/sites/:w:/r/sites/WE-TeamCOPI/Gedeelde%20documenten/2.%20MPG/Implementatie/32357%20Reductiepaden%20nieuwbouw%20tot%202035/32357-Fase%201%20Sturing%20op%20CO2-uitstoot/Protocol%20Paris%20Proof%20Integraal.docx?d=weba79577550241e19ba7f11c0578e5c9&amp;csf=1&amp;web=1&amp;e=B4OUoS" TargetMode="External"/><Relationship Id="rId1" Type="http://schemas.openxmlformats.org/officeDocument/2006/relationships/hyperlink" Target="https://weadviseurs.sharepoint.com/sites/:w:/r/sites/WE-TeamCOPI/Gedeelde%20documenten/2.%20MPG/Implementatie/32357%20Reductiepaden%20nieuwbouw%20tot%202035/32357-Fase%201%20Sturing%20op%20CO2-uitstoot/Paris%20Proof%20Integraal%20-%20versie%200.9_rWE%20(19dec2023).docx?d=w4afee0342a76450e8f4c55ae08c1a878&amp;csf=1&amp;web=1&amp;e=mcnk9r" TargetMode="External"/><Relationship Id="rId5" Type="http://schemas.openxmlformats.org/officeDocument/2006/relationships/drawing" Target="../drawings/drawing9.xml"/><Relationship Id="rId4" Type="http://schemas.openxmlformats.org/officeDocument/2006/relationships/hyperlink" Target="https://www.dgbc.nl/publicaties/quick-carbon-indicator-83"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1.bin"/><Relationship Id="rId1" Type="http://schemas.openxmlformats.org/officeDocument/2006/relationships/hyperlink" Target="https://www.w-e.nl/project/circular-buildings-een-meetmethodiek-voor-losmaakbaarheid-v2-0-ontwikkeld/"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2.bin"/><Relationship Id="rId1" Type="http://schemas.openxmlformats.org/officeDocument/2006/relationships/hyperlink" Target="https://www.w-e.nl/project/circular-buildings-een-meetmethodiek-voor-losmaakbaarheid-v2-0-ontwikkeld/"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zoek.officielebekendmakingen.nl/stb-2019-501.html" TargetMode="External"/><Relationship Id="rId1" Type="http://schemas.openxmlformats.org/officeDocument/2006/relationships/hyperlink" Target="https://zoek.officielebekendmakingen.nl/stb-2019-501.html" TargetMode="External"/><Relationship Id="rId4"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11DD9-07CD-4729-B916-AFBD8079BA14}">
  <sheetPr codeName="Blad2">
    <tabColor theme="0"/>
  </sheetPr>
  <dimension ref="A1:L24"/>
  <sheetViews>
    <sheetView showGridLines="0" showRowColHeaders="0" topLeftCell="A5" zoomScaleNormal="100" workbookViewId="0">
      <selection activeCell="L1" sqref="L1:L1048576"/>
    </sheetView>
  </sheetViews>
  <sheetFormatPr defaultColWidth="9.1796875" defaultRowHeight="17.5"/>
  <cols>
    <col min="1" max="1" width="10.7265625" style="18" customWidth="1"/>
    <col min="2" max="2" width="2.7265625" style="18" customWidth="1"/>
    <col min="3" max="3" width="25.7265625" style="18" customWidth="1"/>
    <col min="4" max="4" width="2.7265625" style="18" customWidth="1"/>
    <col min="5" max="5" width="25.7265625" style="18" customWidth="1"/>
    <col min="6" max="6" width="2.7265625" style="18" customWidth="1"/>
    <col min="7" max="7" width="25.7265625" style="18" customWidth="1"/>
    <col min="8" max="8" width="2.7265625" style="18" customWidth="1"/>
    <col min="9" max="9" width="25.7265625" style="18" customWidth="1"/>
    <col min="10" max="10" width="2.7265625" style="18" customWidth="1"/>
    <col min="11" max="11" width="9.1796875" style="18"/>
    <col min="12" max="12" width="25.7265625" style="18" hidden="1" customWidth="1"/>
    <col min="13" max="16384" width="9.1796875" style="18"/>
  </cols>
  <sheetData>
    <row r="1" spans="1:12" ht="32.5">
      <c r="A1" s="173"/>
      <c r="B1" s="174"/>
      <c r="C1" s="175"/>
      <c r="D1" s="31"/>
      <c r="E1" s="31"/>
      <c r="F1" s="31"/>
      <c r="G1" s="31"/>
      <c r="H1" s="21"/>
    </row>
    <row r="2" spans="1:12" s="172" customFormat="1" ht="21">
      <c r="A2" s="33"/>
      <c r="B2" s="28" t="s">
        <v>1848</v>
      </c>
      <c r="C2" s="28"/>
      <c r="D2" s="28"/>
      <c r="E2" s="28"/>
      <c r="F2" s="28"/>
      <c r="G2" s="28"/>
      <c r="H2" s="28"/>
    </row>
    <row r="3" spans="1:12" s="29" customFormat="1">
      <c r="B3" s="141"/>
      <c r="C3" s="30"/>
      <c r="F3" s="30"/>
    </row>
    <row r="4" spans="1:12">
      <c r="B4" s="14"/>
      <c r="C4" s="67"/>
      <c r="D4" s="67"/>
      <c r="E4" s="67"/>
      <c r="F4" s="67"/>
      <c r="G4" s="14"/>
      <c r="H4" s="14"/>
      <c r="I4" s="14"/>
      <c r="J4" s="14"/>
      <c r="L4" s="14"/>
    </row>
    <row r="5" spans="1:12" s="19" customFormat="1">
      <c r="B5" s="14"/>
      <c r="C5" s="68" t="s">
        <v>3</v>
      </c>
      <c r="D5" s="15"/>
      <c r="E5" s="15"/>
      <c r="F5" s="15"/>
      <c r="G5" s="14"/>
      <c r="H5" s="14"/>
      <c r="I5" s="14"/>
      <c r="J5" s="14"/>
      <c r="L5" s="14"/>
    </row>
    <row r="6" spans="1:12" s="19" customFormat="1">
      <c r="B6" s="14"/>
      <c r="C6" s="22" t="s">
        <v>4</v>
      </c>
      <c r="D6" s="1685"/>
      <c r="E6" s="1685"/>
      <c r="F6" s="1685"/>
      <c r="G6" s="1685"/>
      <c r="H6" s="14"/>
      <c r="I6" s="14"/>
      <c r="J6" s="14"/>
      <c r="L6" s="14"/>
    </row>
    <row r="7" spans="1:12" s="19" customFormat="1">
      <c r="B7" s="14"/>
      <c r="C7" s="22" t="s">
        <v>5</v>
      </c>
      <c r="D7" s="1685"/>
      <c r="E7" s="1685"/>
      <c r="F7" s="1685"/>
      <c r="G7" s="1685"/>
      <c r="H7" s="14"/>
      <c r="I7" s="14"/>
      <c r="J7" s="14"/>
      <c r="L7" s="14"/>
    </row>
    <row r="8" spans="1:12" s="19" customFormat="1">
      <c r="B8" s="14"/>
      <c r="C8" s="22" t="s">
        <v>6</v>
      </c>
      <c r="D8" s="1685"/>
      <c r="E8" s="1685"/>
      <c r="F8" s="1685"/>
      <c r="G8" s="1685"/>
      <c r="H8" s="14"/>
      <c r="I8" s="14"/>
      <c r="J8" s="14"/>
      <c r="L8" s="14"/>
    </row>
    <row r="9" spans="1:12" s="19" customFormat="1">
      <c r="B9" s="14"/>
      <c r="C9" s="22" t="s">
        <v>7</v>
      </c>
      <c r="D9" s="1686"/>
      <c r="E9" s="1686"/>
      <c r="F9" s="1686"/>
      <c r="G9" s="1686"/>
      <c r="H9" s="14"/>
      <c r="I9" s="14"/>
      <c r="J9" s="14"/>
      <c r="L9" s="14"/>
    </row>
    <row r="10" spans="1:12">
      <c r="B10" s="35"/>
      <c r="C10" s="35"/>
      <c r="D10" s="35"/>
      <c r="E10" s="35"/>
      <c r="F10" s="35"/>
      <c r="G10" s="35"/>
      <c r="H10" s="35"/>
      <c r="I10" s="14"/>
      <c r="J10" s="14"/>
      <c r="L10" s="14"/>
    </row>
    <row r="11" spans="1:12" s="19" customFormat="1">
      <c r="B11" s="14"/>
      <c r="C11" s="67" t="s">
        <v>8</v>
      </c>
      <c r="D11" s="15"/>
      <c r="E11" s="67" t="s">
        <v>9</v>
      </c>
      <c r="F11" s="15"/>
      <c r="G11" s="14" t="s">
        <v>10</v>
      </c>
      <c r="H11" s="14"/>
      <c r="I11" s="14" t="s">
        <v>11</v>
      </c>
      <c r="J11" s="14"/>
      <c r="L11" s="14" t="s">
        <v>1663</v>
      </c>
    </row>
    <row r="12" spans="1:12" ht="64.5" customHeight="1">
      <c r="B12" s="35"/>
      <c r="C12" s="35"/>
      <c r="D12" s="35"/>
      <c r="E12" s="35"/>
      <c r="F12" s="35"/>
      <c r="G12" s="35"/>
      <c r="H12" s="35"/>
      <c r="I12" s="14"/>
      <c r="J12" s="14"/>
      <c r="L12" s="14"/>
    </row>
    <row r="13" spans="1:12">
      <c r="B13" s="35"/>
      <c r="C13" s="35"/>
      <c r="D13" s="35"/>
      <c r="E13" s="35"/>
      <c r="F13" s="35"/>
      <c r="G13" s="35"/>
      <c r="H13" s="35"/>
      <c r="I13" s="14"/>
      <c r="J13" s="14"/>
      <c r="L13" s="14"/>
    </row>
    <row r="14" spans="1:12" ht="64.5" customHeight="1">
      <c r="B14" s="35"/>
      <c r="C14" s="35"/>
      <c r="D14" s="35"/>
      <c r="E14" s="35"/>
      <c r="F14" s="35"/>
      <c r="G14" s="35"/>
      <c r="H14" s="35"/>
      <c r="I14" s="14"/>
      <c r="J14" s="14"/>
      <c r="L14" s="14"/>
    </row>
    <row r="15" spans="1:12">
      <c r="B15" s="35"/>
      <c r="C15" s="14"/>
      <c r="D15" s="35"/>
      <c r="E15" s="35"/>
      <c r="F15" s="35"/>
      <c r="G15" s="35"/>
      <c r="H15" s="35"/>
      <c r="I15" s="14"/>
      <c r="J15" s="14"/>
      <c r="L15" s="14"/>
    </row>
    <row r="16" spans="1:12" ht="64.5" customHeight="1">
      <c r="B16" s="35"/>
      <c r="C16" s="35"/>
      <c r="D16" s="35"/>
      <c r="E16" s="35"/>
      <c r="F16" s="35"/>
      <c r="G16" s="35"/>
      <c r="H16" s="35"/>
      <c r="I16" s="14"/>
      <c r="J16" s="14"/>
      <c r="L16" s="14"/>
    </row>
    <row r="17" spans="2:12">
      <c r="B17" s="35"/>
      <c r="C17" s="35"/>
      <c r="D17" s="35"/>
      <c r="E17" s="35"/>
      <c r="F17" s="35"/>
      <c r="G17" s="35"/>
      <c r="H17" s="35"/>
      <c r="I17" s="14"/>
      <c r="J17" s="14"/>
      <c r="L17" s="14"/>
    </row>
    <row r="18" spans="2:12" ht="64.5" customHeight="1">
      <c r="B18" s="35"/>
      <c r="C18" s="35"/>
      <c r="D18" s="35"/>
      <c r="E18" s="35"/>
      <c r="F18" s="35"/>
      <c r="G18" s="35"/>
      <c r="H18" s="35"/>
      <c r="I18" s="14"/>
      <c r="J18" s="14"/>
      <c r="L18" s="14"/>
    </row>
    <row r="19" spans="2:12">
      <c r="B19" s="35"/>
      <c r="C19" s="35"/>
      <c r="D19" s="35"/>
      <c r="E19" s="35"/>
      <c r="F19" s="35"/>
      <c r="G19" s="35"/>
      <c r="H19" s="35"/>
      <c r="I19" s="14"/>
      <c r="J19" s="14"/>
      <c r="L19" s="14"/>
    </row>
    <row r="20" spans="2:12" ht="64.5" customHeight="1">
      <c r="B20" s="35"/>
      <c r="C20" s="35"/>
      <c r="D20" s="35"/>
      <c r="E20" s="35"/>
      <c r="F20" s="35"/>
      <c r="G20" s="35"/>
      <c r="H20" s="35"/>
      <c r="I20" s="14"/>
      <c r="J20" s="14"/>
      <c r="L20" s="14"/>
    </row>
    <row r="21" spans="2:12">
      <c r="B21" s="35"/>
      <c r="C21" s="35"/>
      <c r="D21" s="35"/>
      <c r="E21" s="35"/>
      <c r="F21" s="35"/>
      <c r="G21" s="35"/>
      <c r="H21" s="35"/>
      <c r="I21" s="14"/>
      <c r="J21" s="14"/>
      <c r="L21" s="14"/>
    </row>
    <row r="22" spans="2:12" ht="64.5" customHeight="1">
      <c r="B22" s="35"/>
      <c r="C22" s="35"/>
      <c r="D22" s="35"/>
      <c r="E22" s="35"/>
      <c r="F22" s="35"/>
      <c r="G22" s="35"/>
      <c r="H22" s="35"/>
      <c r="I22" s="14"/>
      <c r="J22" s="14"/>
      <c r="L22" s="14"/>
    </row>
    <row r="23" spans="2:12">
      <c r="B23" s="35"/>
      <c r="C23" s="35"/>
      <c r="D23" s="35"/>
      <c r="E23" s="35"/>
      <c r="F23" s="35"/>
      <c r="G23" s="35"/>
      <c r="H23" s="35"/>
      <c r="I23" s="14"/>
      <c r="J23" s="14"/>
      <c r="L23" s="14"/>
    </row>
    <row r="24" spans="2:12">
      <c r="B24" s="141" t="str">
        <f>"© W/E adviseurs, Utrecht/Eindhoven, versie rekenhulpmiddelen "&amp;TEXT(Wijzigingsblad!$B$3,"d mmmm jjjj")</f>
        <v>© W/E adviseurs, Utrecht/Eindhoven, versie rekenhulpmiddelen 17 april 2024</v>
      </c>
    </row>
  </sheetData>
  <sheetProtection algorithmName="SHA-512" hashValue="0KWZ6bDq2z3v0xwo7HEy4JousCEAGRL1oN43QLLPPVsExYELjbv+dQHNj/lPQEJ0/GWmbTlk4AcehUMjtyoK5A==" saltValue="0Vx11BuQkXwL31dj3dS31Q==" spinCount="100000" sheet="1" objects="1" scenarios="1"/>
  <mergeCells count="4">
    <mergeCell ref="D7:G7"/>
    <mergeCell ref="D8:G8"/>
    <mergeCell ref="D9:G9"/>
    <mergeCell ref="D6:G6"/>
  </mergeCells>
  <pageMargins left="0.7" right="0.7" top="0.75" bottom="0.75" header="0.3" footer="0.3"/>
  <pageSetup paperSize="9" orientation="portrait" verticalDpi="4294967295"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0FEAE-E78A-4F64-AAAB-807591D91EBF}">
  <sheetPr codeName="Blad17">
    <tabColor theme="0"/>
  </sheetPr>
  <dimension ref="A1:J74"/>
  <sheetViews>
    <sheetView showGridLines="0" showRowColHeaders="0" zoomScale="90" zoomScaleNormal="90" workbookViewId="0">
      <pane xSplit="1" ySplit="3" topLeftCell="B4" activePane="bottomRight" state="frozen"/>
      <selection pane="topRight" activeCell="B1" sqref="B1"/>
      <selection pane="bottomLeft" activeCell="A4" sqref="A4"/>
      <selection pane="bottomRight" activeCell="C8" sqref="C8"/>
    </sheetView>
  </sheetViews>
  <sheetFormatPr defaultColWidth="9.1796875" defaultRowHeight="17.5"/>
  <cols>
    <col min="1" max="1" width="10.7265625" style="18" customWidth="1"/>
    <col min="2" max="2" width="2.7265625" style="18" customWidth="1"/>
    <col min="3" max="3" width="25.7265625" style="18" customWidth="1"/>
    <col min="4" max="4" width="14.1796875" style="18" bestFit="1" customWidth="1"/>
    <col min="5" max="5" width="71.54296875" style="18" customWidth="1"/>
    <col min="6" max="6" width="2.7265625" style="718" customWidth="1"/>
    <col min="7" max="7" width="91.54296875" style="316" hidden="1" customWidth="1"/>
    <col min="8" max="8" width="20.1796875" style="18" hidden="1" customWidth="1"/>
    <col min="9" max="9" width="14.81640625" style="18" hidden="1" customWidth="1"/>
    <col min="10" max="10" width="2.7265625" style="18" hidden="1" customWidth="1"/>
    <col min="11" max="16384" width="9.1796875" style="18"/>
  </cols>
  <sheetData>
    <row r="1" spans="1:10" ht="32.5">
      <c r="A1" s="176" t="s">
        <v>12</v>
      </c>
      <c r="B1" s="174"/>
      <c r="C1" s="175"/>
      <c r="D1" s="31"/>
      <c r="E1" s="31"/>
      <c r="F1" s="793"/>
      <c r="G1" s="528"/>
      <c r="H1" s="31"/>
      <c r="I1" s="31"/>
      <c r="J1" s="21"/>
    </row>
    <row r="2" spans="1:10" s="172" customFormat="1" ht="21">
      <c r="A2" s="33"/>
      <c r="B2" s="28" t="s">
        <v>13</v>
      </c>
      <c r="C2" s="28"/>
      <c r="D2" s="28"/>
      <c r="E2" s="28"/>
      <c r="F2" s="794"/>
      <c r="G2" s="529"/>
      <c r="H2" s="28"/>
      <c r="I2" s="28"/>
      <c r="J2" s="28"/>
    </row>
    <row r="3" spans="1:10" s="29" customFormat="1">
      <c r="B3" s="1687">
        <f>MAX(D:D)</f>
        <v>45399</v>
      </c>
      <c r="C3" s="1688"/>
      <c r="F3" s="795"/>
      <c r="G3" s="530"/>
    </row>
    <row r="4" spans="1:10">
      <c r="B4" s="14"/>
      <c r="C4" s="67"/>
      <c r="D4" s="67"/>
      <c r="E4" s="67"/>
      <c r="F4" s="14"/>
      <c r="G4" s="531"/>
      <c r="H4" s="67"/>
      <c r="I4" s="67"/>
      <c r="J4" s="14"/>
    </row>
    <row r="5" spans="1:10" hidden="1">
      <c r="B5" s="14"/>
      <c r="C5" s="791" t="s">
        <v>1437</v>
      </c>
      <c r="D5" s="67"/>
      <c r="E5" s="67"/>
      <c r="F5" s="14"/>
      <c r="G5" s="531"/>
      <c r="H5" s="67"/>
      <c r="I5" s="67"/>
      <c r="J5" s="14"/>
    </row>
    <row r="6" spans="1:10" hidden="1">
      <c r="B6" s="14"/>
      <c r="C6" s="67"/>
      <c r="D6" s="67"/>
      <c r="E6" s="67"/>
      <c r="F6" s="14"/>
      <c r="G6" s="531"/>
      <c r="H6" s="67"/>
      <c r="I6" s="67"/>
      <c r="J6" s="14"/>
    </row>
    <row r="7" spans="1:10" s="19" customFormat="1">
      <c r="B7" s="14"/>
      <c r="C7" s="68" t="s">
        <v>14</v>
      </c>
      <c r="D7" s="15" t="s">
        <v>15</v>
      </c>
      <c r="E7" s="15" t="s">
        <v>16</v>
      </c>
      <c r="F7" s="792" t="s">
        <v>17</v>
      </c>
      <c r="G7" s="532" t="s">
        <v>18</v>
      </c>
      <c r="H7" s="15" t="s">
        <v>19</v>
      </c>
      <c r="I7" s="15" t="s">
        <v>20</v>
      </c>
      <c r="J7" s="14"/>
    </row>
    <row r="8" spans="1:10">
      <c r="B8" s="35"/>
      <c r="C8" s="454" t="s">
        <v>67</v>
      </c>
      <c r="D8" s="1340">
        <v>45399</v>
      </c>
      <c r="E8" s="454" t="s">
        <v>1847</v>
      </c>
      <c r="F8" s="14"/>
      <c r="G8" s="454"/>
      <c r="H8" s="454"/>
      <c r="I8" s="454" t="s">
        <v>0</v>
      </c>
      <c r="J8" s="14"/>
    </row>
    <row r="9" spans="1:10">
      <c r="B9" s="35"/>
      <c r="C9" s="454" t="s">
        <v>1791</v>
      </c>
      <c r="D9" s="1340">
        <v>45394</v>
      </c>
      <c r="E9" s="454" t="s">
        <v>68</v>
      </c>
      <c r="F9" s="14"/>
      <c r="G9" s="454"/>
      <c r="H9" s="454"/>
      <c r="I9" s="454" t="s">
        <v>0</v>
      </c>
      <c r="J9" s="14"/>
    </row>
    <row r="10" spans="1:10" ht="32">
      <c r="B10" s="35"/>
      <c r="C10" s="454" t="s">
        <v>1780</v>
      </c>
      <c r="D10" s="1340">
        <v>45363</v>
      </c>
      <c r="E10" s="454" t="s">
        <v>1785</v>
      </c>
      <c r="F10" s="14"/>
      <c r="G10" s="454"/>
      <c r="H10" s="454"/>
      <c r="I10" s="454" t="s">
        <v>0</v>
      </c>
      <c r="J10" s="14"/>
    </row>
    <row r="11" spans="1:10" ht="48">
      <c r="B11" s="35"/>
      <c r="C11" s="454" t="s">
        <v>1780</v>
      </c>
      <c r="D11" s="1340">
        <v>45281</v>
      </c>
      <c r="E11" s="454" t="s">
        <v>1782</v>
      </c>
      <c r="F11" s="14"/>
      <c r="G11" s="454"/>
      <c r="H11" s="454"/>
      <c r="I11" s="454" t="s">
        <v>0</v>
      </c>
      <c r="J11" s="14"/>
    </row>
    <row r="12" spans="1:10" ht="32">
      <c r="B12" s="35"/>
      <c r="C12" s="454" t="s">
        <v>1780</v>
      </c>
      <c r="D12" s="1340">
        <v>45281</v>
      </c>
      <c r="E12" s="454" t="s">
        <v>1781</v>
      </c>
      <c r="F12" s="14"/>
      <c r="G12" s="454" t="s">
        <v>1739</v>
      </c>
      <c r="H12" s="454"/>
      <c r="I12" s="454" t="s">
        <v>0</v>
      </c>
      <c r="J12" s="14"/>
    </row>
    <row r="13" spans="1:10" ht="32">
      <c r="B13" s="35"/>
      <c r="C13" s="454" t="s">
        <v>1738</v>
      </c>
      <c r="D13" s="1340">
        <v>45266</v>
      </c>
      <c r="E13" s="454" t="s">
        <v>1740</v>
      </c>
      <c r="F13" s="14"/>
      <c r="G13" s="454"/>
      <c r="H13" s="454"/>
      <c r="I13" s="454" t="s">
        <v>0</v>
      </c>
      <c r="J13" s="14"/>
    </row>
    <row r="14" spans="1:10" ht="32">
      <c r="B14" s="35"/>
      <c r="C14" s="454" t="s">
        <v>1738</v>
      </c>
      <c r="D14" s="1340">
        <v>45257</v>
      </c>
      <c r="E14" s="454" t="s">
        <v>1737</v>
      </c>
      <c r="F14" s="14"/>
      <c r="G14" s="454" t="s">
        <v>1739</v>
      </c>
      <c r="H14" s="454"/>
      <c r="I14" s="454" t="s">
        <v>0</v>
      </c>
      <c r="J14" s="14"/>
    </row>
    <row r="15" spans="1:10" ht="32">
      <c r="B15" s="35"/>
      <c r="C15" s="454" t="s">
        <v>1666</v>
      </c>
      <c r="D15" s="1340">
        <v>45198</v>
      </c>
      <c r="E15" s="454" t="s">
        <v>1730</v>
      </c>
      <c r="F15" s="14"/>
      <c r="G15" s="454"/>
      <c r="H15" s="454"/>
      <c r="I15" s="454" t="s">
        <v>0</v>
      </c>
      <c r="J15" s="14"/>
    </row>
    <row r="16" spans="1:10" ht="32">
      <c r="B16" s="35"/>
      <c r="C16" s="454" t="s">
        <v>1666</v>
      </c>
      <c r="D16" s="1340">
        <v>45180</v>
      </c>
      <c r="E16" s="454" t="s">
        <v>1730</v>
      </c>
      <c r="F16" s="14"/>
      <c r="G16" s="454"/>
      <c r="H16" s="454"/>
      <c r="I16" s="454" t="s">
        <v>0</v>
      </c>
      <c r="J16" s="14"/>
    </row>
    <row r="17" spans="2:10">
      <c r="B17" s="35"/>
      <c r="C17" s="454" t="s">
        <v>1723</v>
      </c>
      <c r="D17" s="1340">
        <v>45170</v>
      </c>
      <c r="E17" s="454" t="s">
        <v>1725</v>
      </c>
      <c r="F17" s="14"/>
      <c r="G17" s="1341"/>
      <c r="H17" s="454"/>
      <c r="I17" s="454" t="s">
        <v>0</v>
      </c>
      <c r="J17" s="14"/>
    </row>
    <row r="18" spans="2:10">
      <c r="B18" s="35"/>
      <c r="C18" s="454" t="s">
        <v>1723</v>
      </c>
      <c r="D18" s="1340">
        <v>45170</v>
      </c>
      <c r="E18" s="454" t="s">
        <v>1724</v>
      </c>
      <c r="F18" s="14"/>
      <c r="G18" s="1341" t="s">
        <v>1726</v>
      </c>
      <c r="H18" s="454"/>
      <c r="I18" s="454" t="s">
        <v>0</v>
      </c>
      <c r="J18" s="14"/>
    </row>
    <row r="19" spans="2:10" ht="32">
      <c r="B19" s="35"/>
      <c r="C19" s="454" t="s">
        <v>67</v>
      </c>
      <c r="D19" s="1340">
        <v>45170</v>
      </c>
      <c r="E19" s="454" t="s">
        <v>1722</v>
      </c>
      <c r="F19" s="14"/>
      <c r="G19" s="1341"/>
      <c r="H19" s="454"/>
      <c r="I19" s="454" t="s">
        <v>0</v>
      </c>
      <c r="J19" s="14"/>
    </row>
    <row r="20" spans="2:10">
      <c r="B20" s="35"/>
      <c r="C20" s="454" t="s">
        <v>1475</v>
      </c>
      <c r="D20" s="1340">
        <v>45170</v>
      </c>
      <c r="E20" s="454" t="s">
        <v>1721</v>
      </c>
      <c r="F20" s="14"/>
      <c r="G20" s="1341"/>
      <c r="H20" s="454"/>
      <c r="I20" s="454" t="s">
        <v>0</v>
      </c>
      <c r="J20" s="14"/>
    </row>
    <row r="21" spans="2:10">
      <c r="B21" s="35"/>
      <c r="C21" s="454" t="s">
        <v>1718</v>
      </c>
      <c r="D21" s="1340">
        <v>45170</v>
      </c>
      <c r="E21" s="454" t="s">
        <v>1719</v>
      </c>
      <c r="F21" s="14"/>
      <c r="G21" s="454"/>
      <c r="H21" s="454"/>
      <c r="I21" s="454" t="s">
        <v>0</v>
      </c>
      <c r="J21" s="14"/>
    </row>
    <row r="22" spans="2:10" ht="32">
      <c r="B22" s="35"/>
      <c r="C22" s="454" t="s">
        <v>1666</v>
      </c>
      <c r="D22" s="1340">
        <v>45170</v>
      </c>
      <c r="E22" s="454" t="s">
        <v>1717</v>
      </c>
      <c r="F22" s="14"/>
      <c r="G22" s="454"/>
      <c r="H22" s="454"/>
      <c r="I22" s="454" t="s">
        <v>0</v>
      </c>
      <c r="J22" s="14"/>
    </row>
    <row r="23" spans="2:10">
      <c r="B23" s="35"/>
      <c r="C23" s="454" t="s">
        <v>1669</v>
      </c>
      <c r="D23" s="1340">
        <v>45117</v>
      </c>
      <c r="E23" s="454" t="s">
        <v>1670</v>
      </c>
      <c r="F23" s="14"/>
      <c r="G23" s="1341"/>
      <c r="H23" s="454"/>
      <c r="I23" s="454" t="s">
        <v>0</v>
      </c>
      <c r="J23" s="14"/>
    </row>
    <row r="24" spans="2:10" ht="32">
      <c r="B24" s="35"/>
      <c r="C24" s="454" t="s">
        <v>1666</v>
      </c>
      <c r="D24" s="1340">
        <v>45117</v>
      </c>
      <c r="E24" s="454" t="s">
        <v>1667</v>
      </c>
      <c r="F24" s="14"/>
      <c r="G24" s="1341" t="s">
        <v>1668</v>
      </c>
      <c r="H24" s="454"/>
      <c r="I24" s="454" t="s">
        <v>0</v>
      </c>
      <c r="J24" s="14"/>
    </row>
    <row r="25" spans="2:10">
      <c r="B25" s="35"/>
      <c r="C25" s="454" t="s">
        <v>1475</v>
      </c>
      <c r="D25" s="1340">
        <v>45096</v>
      </c>
      <c r="E25" s="454" t="s">
        <v>1477</v>
      </c>
      <c r="F25" s="14"/>
      <c r="G25" s="454"/>
      <c r="H25" s="454"/>
      <c r="I25" s="454" t="s">
        <v>0</v>
      </c>
      <c r="J25" s="14"/>
    </row>
    <row r="26" spans="2:10">
      <c r="B26" s="35"/>
      <c r="C26" s="454" t="s">
        <v>1475</v>
      </c>
      <c r="D26" s="1340">
        <v>45096</v>
      </c>
      <c r="E26" s="454" t="s">
        <v>1476</v>
      </c>
      <c r="F26" s="14"/>
      <c r="G26" s="454"/>
      <c r="H26" s="454"/>
      <c r="I26" s="454" t="s">
        <v>0</v>
      </c>
      <c r="J26" s="14"/>
    </row>
    <row r="27" spans="2:10">
      <c r="B27" s="35"/>
      <c r="C27" s="454" t="s">
        <v>1475</v>
      </c>
      <c r="D27" s="1340">
        <v>45096</v>
      </c>
      <c r="E27" s="454" t="s">
        <v>1474</v>
      </c>
      <c r="F27" s="14"/>
      <c r="G27" s="454"/>
      <c r="H27" s="454"/>
      <c r="I27" s="454" t="s">
        <v>0</v>
      </c>
      <c r="J27" s="14"/>
    </row>
    <row r="28" spans="2:10">
      <c r="B28" s="35"/>
      <c r="C28" s="454" t="s">
        <v>67</v>
      </c>
      <c r="D28" s="1340">
        <v>45096</v>
      </c>
      <c r="E28" s="454" t="s">
        <v>1473</v>
      </c>
      <c r="F28" s="14"/>
      <c r="G28" s="454"/>
      <c r="H28" s="454"/>
      <c r="I28" s="454" t="s">
        <v>0</v>
      </c>
      <c r="J28" s="14"/>
    </row>
    <row r="29" spans="2:10">
      <c r="B29" s="35"/>
      <c r="C29" s="454" t="s">
        <v>1471</v>
      </c>
      <c r="D29" s="1340">
        <v>45096</v>
      </c>
      <c r="E29" s="454" t="s">
        <v>1472</v>
      </c>
      <c r="F29" s="14"/>
      <c r="G29" s="454"/>
      <c r="H29" s="454"/>
      <c r="I29" s="454" t="s">
        <v>0</v>
      </c>
      <c r="J29" s="14"/>
    </row>
    <row r="30" spans="2:10">
      <c r="B30" s="35"/>
      <c r="C30" s="454" t="s">
        <v>24</v>
      </c>
      <c r="D30" s="1340">
        <v>45096</v>
      </c>
      <c r="E30" s="454" t="s">
        <v>1470</v>
      </c>
      <c r="F30" s="14"/>
      <c r="G30" s="454"/>
      <c r="H30" s="454"/>
      <c r="I30" s="454" t="s">
        <v>0</v>
      </c>
      <c r="J30" s="14"/>
    </row>
    <row r="31" spans="2:10">
      <c r="B31" s="35"/>
      <c r="C31" s="454" t="s">
        <v>1435</v>
      </c>
      <c r="D31" s="1340">
        <v>45096</v>
      </c>
      <c r="E31" s="454" t="s">
        <v>1469</v>
      </c>
      <c r="F31" s="14"/>
      <c r="G31" s="454"/>
      <c r="H31" s="454"/>
      <c r="I31" s="454" t="s">
        <v>0</v>
      </c>
      <c r="J31" s="14"/>
    </row>
    <row r="32" spans="2:10">
      <c r="B32" s="35"/>
      <c r="C32" s="454" t="s">
        <v>23</v>
      </c>
      <c r="D32" s="1340">
        <v>45042</v>
      </c>
      <c r="E32" s="454" t="s">
        <v>1456</v>
      </c>
      <c r="F32" s="14"/>
      <c r="G32" s="454"/>
      <c r="H32" s="454"/>
      <c r="I32" s="454" t="s">
        <v>0</v>
      </c>
      <c r="J32" s="14"/>
    </row>
    <row r="33" spans="2:10">
      <c r="B33" s="35"/>
      <c r="C33" s="454" t="s">
        <v>23</v>
      </c>
      <c r="D33" s="1340">
        <v>45022</v>
      </c>
      <c r="E33" s="454" t="s">
        <v>1456</v>
      </c>
      <c r="F33" s="14"/>
      <c r="G33" s="454"/>
      <c r="H33" s="454"/>
      <c r="I33" s="454" t="s">
        <v>0</v>
      </c>
      <c r="J33" s="14"/>
    </row>
    <row r="34" spans="2:10">
      <c r="B34" s="35"/>
      <c r="C34" s="454" t="s">
        <v>23</v>
      </c>
      <c r="D34" s="1340">
        <v>45012</v>
      </c>
      <c r="E34" s="454" t="s">
        <v>1452</v>
      </c>
      <c r="F34" s="14"/>
      <c r="G34" s="454"/>
      <c r="H34" s="454"/>
      <c r="I34" s="454" t="s">
        <v>0</v>
      </c>
      <c r="J34" s="14"/>
    </row>
    <row r="35" spans="2:10" s="19" customFormat="1">
      <c r="B35" s="14"/>
      <c r="C35" s="454" t="s">
        <v>1433</v>
      </c>
      <c r="D35" s="1340">
        <v>45012</v>
      </c>
      <c r="E35" s="454" t="s">
        <v>1434</v>
      </c>
      <c r="F35" s="14"/>
      <c r="G35" s="454"/>
      <c r="H35" s="454"/>
      <c r="I35" s="454" t="s">
        <v>0</v>
      </c>
      <c r="J35" s="14"/>
    </row>
    <row r="36" spans="2:10" s="19" customFormat="1" ht="32">
      <c r="B36" s="14"/>
      <c r="C36" s="454" t="s">
        <v>1435</v>
      </c>
      <c r="D36" s="1340">
        <v>45012</v>
      </c>
      <c r="E36" s="454" t="s">
        <v>1436</v>
      </c>
      <c r="F36" s="14"/>
      <c r="G36" s="454"/>
      <c r="H36" s="454"/>
      <c r="I36" s="454" t="s">
        <v>0</v>
      </c>
      <c r="J36" s="14"/>
    </row>
    <row r="37" spans="2:10" s="19" customFormat="1">
      <c r="B37" s="14"/>
      <c r="C37" s="454" t="s">
        <v>1438</v>
      </c>
      <c r="D37" s="1340">
        <v>45012</v>
      </c>
      <c r="E37" s="454" t="s">
        <v>1439</v>
      </c>
      <c r="F37" s="14"/>
      <c r="G37" s="454"/>
      <c r="H37" s="454"/>
      <c r="I37" s="454" t="s">
        <v>0</v>
      </c>
      <c r="J37" s="14"/>
    </row>
    <row r="38" spans="2:10" s="19" customFormat="1">
      <c r="B38" s="14"/>
      <c r="C38" s="454" t="s">
        <v>1383</v>
      </c>
      <c r="D38" s="1340">
        <v>44848</v>
      </c>
      <c r="E38" s="454" t="s">
        <v>1384</v>
      </c>
      <c r="F38" s="14"/>
      <c r="G38" s="454"/>
      <c r="H38" s="454"/>
      <c r="I38" s="454" t="s">
        <v>1381</v>
      </c>
      <c r="J38" s="14"/>
    </row>
    <row r="39" spans="2:10" s="19" customFormat="1">
      <c r="B39" s="14"/>
      <c r="C39" s="454" t="s">
        <v>1382</v>
      </c>
      <c r="D39" s="1340">
        <v>44848</v>
      </c>
      <c r="E39" s="454" t="s">
        <v>1385</v>
      </c>
      <c r="F39" s="14"/>
      <c r="G39" s="454"/>
      <c r="H39" s="454"/>
      <c r="I39" s="454" t="s">
        <v>1381</v>
      </c>
      <c r="J39" s="14"/>
    </row>
    <row r="40" spans="2:10" s="19" customFormat="1">
      <c r="B40" s="14"/>
      <c r="C40" s="454" t="s">
        <v>1379</v>
      </c>
      <c r="D40" s="1340">
        <v>44848</v>
      </c>
      <c r="E40" s="454" t="s">
        <v>1380</v>
      </c>
      <c r="F40" s="14"/>
      <c r="G40" s="454"/>
      <c r="H40" s="454"/>
      <c r="I40" s="454" t="s">
        <v>1381</v>
      </c>
      <c r="J40" s="14"/>
    </row>
    <row r="41" spans="2:10" s="19" customFormat="1">
      <c r="B41" s="14"/>
      <c r="C41" s="454" t="s">
        <v>1370</v>
      </c>
      <c r="D41" s="1340">
        <v>44803</v>
      </c>
      <c r="E41" s="454" t="s">
        <v>30</v>
      </c>
      <c r="F41" s="14"/>
      <c r="G41" s="454"/>
      <c r="H41" s="454"/>
      <c r="I41" s="454" t="s">
        <v>0</v>
      </c>
      <c r="J41" s="14"/>
    </row>
    <row r="42" spans="2:10" s="19" customFormat="1" ht="32">
      <c r="B42" s="14"/>
      <c r="C42" s="454" t="s">
        <v>1362</v>
      </c>
      <c r="D42" s="1340">
        <v>44762</v>
      </c>
      <c r="E42" s="454" t="s">
        <v>1363</v>
      </c>
      <c r="F42" s="14"/>
      <c r="G42" s="454" t="s">
        <v>1364</v>
      </c>
      <c r="H42" s="454"/>
      <c r="I42" s="454" t="s">
        <v>1365</v>
      </c>
      <c r="J42" s="14"/>
    </row>
    <row r="43" spans="2:10">
      <c r="B43" s="35"/>
      <c r="C43" s="454" t="s">
        <v>21</v>
      </c>
      <c r="D43" s="1340">
        <v>44701</v>
      </c>
      <c r="E43" s="454" t="s">
        <v>22</v>
      </c>
      <c r="F43" s="14"/>
      <c r="G43" s="454"/>
      <c r="H43" s="454"/>
      <c r="I43" s="454" t="s">
        <v>0</v>
      </c>
      <c r="J43" s="14"/>
    </row>
    <row r="44" spans="2:10">
      <c r="B44" s="35"/>
      <c r="C44" s="454" t="s">
        <v>23</v>
      </c>
      <c r="D44" s="1340">
        <v>44701</v>
      </c>
      <c r="E44" s="454" t="s">
        <v>22</v>
      </c>
      <c r="F44" s="14"/>
      <c r="G44" s="454"/>
      <c r="H44" s="454"/>
      <c r="I44" s="454" t="s">
        <v>0</v>
      </c>
      <c r="J44" s="14"/>
    </row>
    <row r="45" spans="2:10" ht="32">
      <c r="B45" s="35"/>
      <c r="C45" s="454" t="s">
        <v>24</v>
      </c>
      <c r="D45" s="1340">
        <v>44701</v>
      </c>
      <c r="E45" s="454" t="s">
        <v>25</v>
      </c>
      <c r="F45" s="14"/>
      <c r="G45" s="454"/>
      <c r="H45" s="454"/>
      <c r="I45" s="454" t="s">
        <v>26</v>
      </c>
      <c r="J45" s="14"/>
    </row>
    <row r="46" spans="2:10">
      <c r="B46" s="35"/>
      <c r="C46" s="454" t="s">
        <v>27</v>
      </c>
      <c r="D46" s="1340">
        <v>44698</v>
      </c>
      <c r="E46" s="454" t="s">
        <v>28</v>
      </c>
      <c r="F46" s="14"/>
      <c r="G46" s="454"/>
      <c r="H46" s="454"/>
      <c r="I46" s="454" t="s">
        <v>0</v>
      </c>
      <c r="J46" s="14"/>
    </row>
    <row r="47" spans="2:10">
      <c r="B47" s="35"/>
      <c r="C47" s="454" t="s">
        <v>29</v>
      </c>
      <c r="D47" s="1340">
        <v>44698</v>
      </c>
      <c r="E47" s="454" t="s">
        <v>30</v>
      </c>
      <c r="F47" s="14"/>
      <c r="G47" s="454"/>
      <c r="H47" s="454"/>
      <c r="I47" s="454" t="s">
        <v>0</v>
      </c>
      <c r="J47" s="14"/>
    </row>
    <row r="48" spans="2:10" ht="32">
      <c r="B48" s="35"/>
      <c r="C48" s="454" t="s">
        <v>31</v>
      </c>
      <c r="D48" s="1340">
        <v>44627</v>
      </c>
      <c r="E48" s="454" t="s">
        <v>32</v>
      </c>
      <c r="F48" s="14"/>
      <c r="G48" s="454"/>
      <c r="H48" s="454"/>
      <c r="I48" s="454" t="s">
        <v>33</v>
      </c>
      <c r="J48" s="14"/>
    </row>
    <row r="49" spans="2:10">
      <c r="B49" s="35"/>
      <c r="C49" s="454" t="s">
        <v>23</v>
      </c>
      <c r="D49" s="1340">
        <v>44585</v>
      </c>
      <c r="E49" s="454" t="s">
        <v>34</v>
      </c>
      <c r="F49" s="14"/>
      <c r="G49" s="454" t="s">
        <v>35</v>
      </c>
      <c r="H49" s="454" t="s">
        <v>36</v>
      </c>
      <c r="I49" s="454" t="s">
        <v>0</v>
      </c>
      <c r="J49" s="14"/>
    </row>
    <row r="50" spans="2:10">
      <c r="B50" s="35"/>
      <c r="C50" s="454" t="s">
        <v>29</v>
      </c>
      <c r="D50" s="1340">
        <v>44582</v>
      </c>
      <c r="E50" s="454" t="s">
        <v>37</v>
      </c>
      <c r="F50" s="14"/>
      <c r="G50" s="454"/>
      <c r="H50" s="454"/>
      <c r="I50" s="454" t="s">
        <v>0</v>
      </c>
      <c r="J50" s="14"/>
    </row>
    <row r="51" spans="2:10">
      <c r="B51" s="35"/>
      <c r="C51" s="454" t="s">
        <v>38</v>
      </c>
      <c r="D51" s="1340">
        <v>44582</v>
      </c>
      <c r="E51" s="454" t="s">
        <v>37</v>
      </c>
      <c r="F51" s="14"/>
      <c r="G51" s="454"/>
      <c r="H51" s="454"/>
      <c r="I51" s="454" t="s">
        <v>0</v>
      </c>
      <c r="J51" s="14"/>
    </row>
    <row r="52" spans="2:10">
      <c r="B52" s="35"/>
      <c r="C52" s="454" t="s">
        <v>29</v>
      </c>
      <c r="D52" s="1340">
        <v>44581</v>
      </c>
      <c r="E52" s="454" t="s">
        <v>39</v>
      </c>
      <c r="F52" s="14"/>
      <c r="G52" s="454"/>
      <c r="H52" s="454"/>
      <c r="I52" s="454" t="s">
        <v>0</v>
      </c>
      <c r="J52" s="14"/>
    </row>
    <row r="53" spans="2:10">
      <c r="B53" s="35"/>
      <c r="C53" s="454" t="s">
        <v>38</v>
      </c>
      <c r="D53" s="1340">
        <v>44581</v>
      </c>
      <c r="E53" s="454" t="s">
        <v>39</v>
      </c>
      <c r="F53" s="14"/>
      <c r="G53" s="454"/>
      <c r="H53" s="454"/>
      <c r="I53" s="454" t="s">
        <v>0</v>
      </c>
      <c r="J53" s="14"/>
    </row>
    <row r="54" spans="2:10">
      <c r="B54" s="35"/>
      <c r="C54" s="454" t="s">
        <v>40</v>
      </c>
      <c r="D54" s="1340">
        <v>44536</v>
      </c>
      <c r="E54" s="454" t="s">
        <v>41</v>
      </c>
      <c r="F54" s="14"/>
      <c r="G54" s="454"/>
      <c r="H54" s="454"/>
      <c r="I54" s="454" t="s">
        <v>42</v>
      </c>
      <c r="J54" s="14"/>
    </row>
    <row r="55" spans="2:10" ht="32">
      <c r="B55" s="35"/>
      <c r="C55" s="454" t="s">
        <v>43</v>
      </c>
      <c r="D55" s="1340">
        <v>44533</v>
      </c>
      <c r="E55" s="454" t="s">
        <v>44</v>
      </c>
      <c r="F55" s="14"/>
      <c r="G55" s="454" t="s">
        <v>45</v>
      </c>
      <c r="H55" s="454"/>
      <c r="I55" s="454" t="s">
        <v>42</v>
      </c>
      <c r="J55" s="14"/>
    </row>
    <row r="56" spans="2:10">
      <c r="B56" s="35"/>
      <c r="C56" s="454" t="s">
        <v>43</v>
      </c>
      <c r="D56" s="1340">
        <v>44525</v>
      </c>
      <c r="E56" s="454" t="s">
        <v>46</v>
      </c>
      <c r="F56" s="14"/>
      <c r="G56" s="454" t="s">
        <v>47</v>
      </c>
      <c r="H56" s="454"/>
      <c r="I56" s="454"/>
      <c r="J56" s="14"/>
    </row>
    <row r="57" spans="2:10">
      <c r="B57" s="35"/>
      <c r="C57" s="454" t="s">
        <v>48</v>
      </c>
      <c r="D57" s="1340">
        <v>44489</v>
      </c>
      <c r="E57" s="454" t="s">
        <v>49</v>
      </c>
      <c r="F57" s="14"/>
      <c r="G57" s="454"/>
      <c r="H57" s="454" t="s">
        <v>50</v>
      </c>
      <c r="I57" s="454" t="s">
        <v>51</v>
      </c>
      <c r="J57" s="14"/>
    </row>
    <row r="58" spans="2:10">
      <c r="B58" s="35"/>
      <c r="C58" s="454" t="s">
        <v>31</v>
      </c>
      <c r="D58" s="1340">
        <v>44489</v>
      </c>
      <c r="E58" s="454" t="s">
        <v>52</v>
      </c>
      <c r="F58" s="14"/>
      <c r="G58" s="454" t="s">
        <v>53</v>
      </c>
      <c r="H58" s="454"/>
      <c r="I58" s="454" t="s">
        <v>51</v>
      </c>
      <c r="J58" s="14"/>
    </row>
    <row r="59" spans="2:10" ht="32">
      <c r="B59" s="35"/>
      <c r="C59" s="454" t="s">
        <v>54</v>
      </c>
      <c r="D59" s="1340">
        <v>44484</v>
      </c>
      <c r="E59" s="454" t="s">
        <v>55</v>
      </c>
      <c r="F59" s="14"/>
      <c r="G59" s="454" t="s">
        <v>56</v>
      </c>
      <c r="H59" s="454"/>
      <c r="I59" s="454" t="s">
        <v>42</v>
      </c>
      <c r="J59" s="14"/>
    </row>
    <row r="60" spans="2:10" ht="32">
      <c r="B60" s="35"/>
      <c r="C60" s="454" t="s">
        <v>54</v>
      </c>
      <c r="D60" s="1340">
        <v>44468</v>
      </c>
      <c r="E60" s="454" t="s">
        <v>57</v>
      </c>
      <c r="F60" s="14"/>
      <c r="G60" s="454" t="s">
        <v>58</v>
      </c>
      <c r="H60" s="454"/>
      <c r="I60" s="454" t="s">
        <v>42</v>
      </c>
      <c r="J60" s="14"/>
    </row>
    <row r="61" spans="2:10" ht="32">
      <c r="B61" s="35"/>
      <c r="C61" s="454" t="s">
        <v>43</v>
      </c>
      <c r="D61" s="1340">
        <v>44460</v>
      </c>
      <c r="E61" s="454" t="s">
        <v>59</v>
      </c>
      <c r="F61" s="14"/>
      <c r="G61" s="454" t="s">
        <v>60</v>
      </c>
      <c r="H61" s="483" t="s">
        <v>61</v>
      </c>
      <c r="I61" s="454" t="s">
        <v>62</v>
      </c>
      <c r="J61" s="14"/>
    </row>
    <row r="62" spans="2:10">
      <c r="B62" s="35"/>
      <c r="C62" s="454" t="s">
        <v>63</v>
      </c>
      <c r="D62" s="1340">
        <v>44425</v>
      </c>
      <c r="E62" s="454" t="s">
        <v>64</v>
      </c>
      <c r="F62" s="14"/>
      <c r="G62" s="454" t="s">
        <v>65</v>
      </c>
      <c r="H62" s="483" t="s">
        <v>66</v>
      </c>
      <c r="I62" s="454" t="s">
        <v>51</v>
      </c>
      <c r="J62" s="14"/>
    </row>
    <row r="63" spans="2:10">
      <c r="B63" s="35"/>
      <c r="C63" s="454" t="s">
        <v>67</v>
      </c>
      <c r="D63" s="1340">
        <v>44425</v>
      </c>
      <c r="E63" s="454" t="s">
        <v>68</v>
      </c>
      <c r="F63" s="14"/>
      <c r="G63" s="454"/>
      <c r="H63" s="483"/>
      <c r="I63" s="454" t="s">
        <v>51</v>
      </c>
      <c r="J63" s="14"/>
    </row>
    <row r="64" spans="2:10" ht="32">
      <c r="B64" s="35"/>
      <c r="C64" s="454" t="s">
        <v>43</v>
      </c>
      <c r="D64" s="1340">
        <v>44419</v>
      </c>
      <c r="E64" s="454" t="s">
        <v>69</v>
      </c>
      <c r="F64" s="14"/>
      <c r="G64" s="454" t="s">
        <v>70</v>
      </c>
      <c r="H64" s="483"/>
      <c r="I64" s="454" t="s">
        <v>2</v>
      </c>
      <c r="J64" s="14"/>
    </row>
    <row r="65" spans="2:10">
      <c r="B65" s="35"/>
      <c r="C65" s="454" t="s">
        <v>1</v>
      </c>
      <c r="D65" s="1340">
        <v>44414</v>
      </c>
      <c r="E65" s="454" t="s">
        <v>68</v>
      </c>
      <c r="F65" s="14"/>
      <c r="G65" s="454"/>
      <c r="H65" s="483"/>
      <c r="I65" s="454" t="s">
        <v>51</v>
      </c>
      <c r="J65" s="14"/>
    </row>
    <row r="66" spans="2:10" ht="32">
      <c r="B66" s="35"/>
      <c r="C66" s="454" t="s">
        <v>21</v>
      </c>
      <c r="D66" s="1340">
        <v>44414</v>
      </c>
      <c r="E66" s="454" t="s">
        <v>71</v>
      </c>
      <c r="F66" s="14"/>
      <c r="G66" s="454" t="s">
        <v>72</v>
      </c>
      <c r="H66" s="483" t="s">
        <v>73</v>
      </c>
      <c r="I66" s="454" t="s">
        <v>0</v>
      </c>
      <c r="J66" s="14"/>
    </row>
    <row r="67" spans="2:10" ht="32">
      <c r="B67" s="35"/>
      <c r="C67" s="454" t="s">
        <v>23</v>
      </c>
      <c r="D67" s="1340">
        <v>44414</v>
      </c>
      <c r="E67" s="454" t="s">
        <v>74</v>
      </c>
      <c r="F67" s="14"/>
      <c r="G67" s="454" t="s">
        <v>72</v>
      </c>
      <c r="H67" s="483" t="s">
        <v>73</v>
      </c>
      <c r="I67" s="454" t="s">
        <v>0</v>
      </c>
      <c r="J67" s="14"/>
    </row>
    <row r="68" spans="2:10" ht="64">
      <c r="B68" s="35"/>
      <c r="C68" s="454" t="s">
        <v>21</v>
      </c>
      <c r="D68" s="1340">
        <v>44414</v>
      </c>
      <c r="E68" s="454" t="s">
        <v>75</v>
      </c>
      <c r="F68" s="14"/>
      <c r="G68" s="454"/>
      <c r="H68" s="483" t="e">
        <v>#VALUE!</v>
      </c>
      <c r="I68" s="454" t="e">
        <v>#VALUE!</v>
      </c>
      <c r="J68" s="14"/>
    </row>
    <row r="69" spans="2:10" ht="64">
      <c r="B69" s="35"/>
      <c r="C69" s="454" t="s">
        <v>23</v>
      </c>
      <c r="D69" s="1340">
        <v>44414</v>
      </c>
      <c r="E69" s="454" t="s">
        <v>75</v>
      </c>
      <c r="F69" s="14"/>
      <c r="G69" s="454"/>
      <c r="H69" s="483" t="e">
        <v>#VALUE!</v>
      </c>
      <c r="I69" s="454" t="e">
        <v>#VALUE!</v>
      </c>
      <c r="J69" s="14"/>
    </row>
    <row r="70" spans="2:10" ht="32">
      <c r="B70" s="35"/>
      <c r="C70" s="454" t="s">
        <v>21</v>
      </c>
      <c r="D70" s="1340">
        <v>44414</v>
      </c>
      <c r="E70" s="454" t="s">
        <v>76</v>
      </c>
      <c r="F70" s="14"/>
      <c r="G70" s="454" t="s">
        <v>77</v>
      </c>
      <c r="H70" s="483"/>
      <c r="I70" s="454" t="s">
        <v>0</v>
      </c>
      <c r="J70" s="14"/>
    </row>
    <row r="71" spans="2:10" ht="32">
      <c r="B71" s="35"/>
      <c r="C71" s="454" t="s">
        <v>23</v>
      </c>
      <c r="D71" s="1340">
        <v>44414</v>
      </c>
      <c r="E71" s="454" t="s">
        <v>76</v>
      </c>
      <c r="F71" s="14"/>
      <c r="G71" s="454" t="s">
        <v>77</v>
      </c>
      <c r="H71" s="454"/>
      <c r="I71" s="454" t="s">
        <v>0</v>
      </c>
      <c r="J71" s="14"/>
    </row>
    <row r="72" spans="2:10">
      <c r="B72" s="35"/>
      <c r="F72" s="18"/>
      <c r="G72" s="18"/>
      <c r="J72" s="14"/>
    </row>
    <row r="73" spans="2:10">
      <c r="B73" s="35"/>
      <c r="C73" s="35"/>
      <c r="D73" s="35"/>
      <c r="E73" s="35"/>
      <c r="F73" s="14"/>
      <c r="G73" s="533"/>
      <c r="H73" s="35"/>
      <c r="I73" s="35"/>
      <c r="J73" s="14"/>
    </row>
    <row r="74" spans="2:10">
      <c r="B74" s="141" t="str">
        <f>"© W/E adviseurs, Utrecht/Eindhoven, versie rekenhulpmiddelen "&amp;TEXT(Wijzigingsblad!$B$3,"d mmmm jjjj")</f>
        <v>© W/E adviseurs, Utrecht/Eindhoven, versie rekenhulpmiddelen 17 april 2024</v>
      </c>
    </row>
  </sheetData>
  <sheetProtection sheet="1" objects="1" scenarios="1"/>
  <sortState xmlns:xlrd2="http://schemas.microsoft.com/office/spreadsheetml/2017/richdata2" ref="C43:I71">
    <sortCondition descending="1" ref="D7:D71"/>
  </sortState>
  <mergeCells count="1">
    <mergeCell ref="B3:C3"/>
  </mergeCells>
  <hyperlinks>
    <hyperlink ref="A1" location="'Overzicht GPR Hulpmiddelen'!A1" tooltip="naar startscherm" display="&lt;" xr:uid="{7A61D593-4152-4308-8F0F-877F81417BDE}"/>
  </hyperlinks>
  <pageMargins left="0.7" right="0.7" top="0.75" bottom="0.75" header="0.3" footer="0.3"/>
  <pageSetup paperSize="9" scale="75" orientation="portrait" verticalDpi="4294967295"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3DDB5-BA3B-4466-940F-C14A62AC2635}">
  <sheetPr codeName="Blad10">
    <tabColor theme="0"/>
  </sheetPr>
  <dimension ref="A1:BG380"/>
  <sheetViews>
    <sheetView showGridLines="0" zoomScale="85" zoomScaleNormal="85" workbookViewId="0">
      <selection sqref="A1:XFD1048576"/>
    </sheetView>
  </sheetViews>
  <sheetFormatPr defaultColWidth="20.7265625" defaultRowHeight="17.5"/>
  <cols>
    <col min="1" max="1" width="50.1796875" style="18" bestFit="1" customWidth="1"/>
    <col min="2" max="2" width="7.1796875" style="9" bestFit="1" customWidth="1"/>
    <col min="3" max="3" width="52.453125" style="2" bestFit="1" customWidth="1"/>
    <col min="4" max="4" width="1.7265625" style="2" customWidth="1"/>
    <col min="5" max="5" width="20.7265625" style="2" customWidth="1"/>
    <col min="6" max="7" width="23.1796875" style="2" customWidth="1"/>
    <col min="8" max="9" width="20.7265625" style="2" customWidth="1"/>
    <col min="10" max="10" width="23.26953125" style="2" customWidth="1"/>
    <col min="11" max="11" width="1.7265625" style="2" customWidth="1"/>
    <col min="12" max="12" width="1.7265625" style="229" customWidth="1"/>
    <col min="13" max="13" width="1.7265625" style="2" customWidth="1"/>
    <col min="14" max="14" width="20.7265625" style="18" customWidth="1"/>
    <col min="15" max="18" width="20.7265625" style="2" customWidth="1"/>
    <col min="19" max="19" width="23.26953125" style="2" customWidth="1"/>
    <col min="20" max="22" width="1.7265625" style="2" customWidth="1"/>
    <col min="23" max="23" width="41" style="18" customWidth="1"/>
    <col min="24" max="28" width="41" style="2" customWidth="1"/>
    <col min="29" max="30" width="1.7265625" style="2" customWidth="1"/>
    <col min="31" max="35" width="20.7265625" style="2"/>
    <col min="36" max="36" width="1.7265625" style="2" customWidth="1"/>
    <col min="37" max="16384" width="20.7265625" style="2"/>
  </cols>
  <sheetData>
    <row r="1" spans="1:29" s="18" customFormat="1" ht="32.5">
      <c r="A1" s="176" t="s">
        <v>12</v>
      </c>
      <c r="B1" s="1007"/>
      <c r="C1" s="175"/>
      <c r="D1" s="31"/>
      <c r="E1" s="31"/>
      <c r="F1" s="31"/>
      <c r="G1" s="31"/>
      <c r="H1" s="31"/>
      <c r="I1" s="31"/>
      <c r="J1" s="31"/>
      <c r="K1" s="21"/>
      <c r="L1" s="228"/>
      <c r="M1" s="21"/>
      <c r="Q1" s="21"/>
      <c r="R1" s="21"/>
      <c r="S1" s="31"/>
      <c r="V1" s="21"/>
      <c r="Z1" s="21"/>
      <c r="AA1" s="21"/>
      <c r="AB1" s="21"/>
    </row>
    <row r="2" spans="1:29" s="178" customFormat="1" ht="21">
      <c r="A2" s="33"/>
      <c r="B2" s="942" t="s">
        <v>1527</v>
      </c>
      <c r="C2" s="33"/>
      <c r="D2" s="33"/>
      <c r="E2" s="216"/>
      <c r="F2" s="217"/>
      <c r="G2" s="217"/>
      <c r="H2" s="217"/>
      <c r="I2" s="217"/>
      <c r="J2" s="217"/>
      <c r="K2" s="33"/>
      <c r="L2" s="193"/>
      <c r="M2" s="33"/>
      <c r="N2" s="216"/>
      <c r="O2" s="216"/>
      <c r="P2" s="216"/>
      <c r="Q2" s="216"/>
      <c r="R2" s="216"/>
      <c r="S2" s="216"/>
      <c r="T2" s="33"/>
      <c r="U2" s="33"/>
      <c r="V2" s="33"/>
      <c r="W2" s="216"/>
      <c r="X2" s="216"/>
      <c r="Y2" s="216"/>
      <c r="Z2" s="216"/>
      <c r="AA2" s="216"/>
      <c r="AB2" s="216"/>
      <c r="AC2" s="33"/>
    </row>
    <row r="3" spans="1:29" s="18" customFormat="1">
      <c r="B3" s="21"/>
      <c r="C3" s="1687">
        <v>45110</v>
      </c>
      <c r="D3" s="1688"/>
      <c r="L3" s="229"/>
    </row>
    <row r="4" spans="1:29" s="893" customFormat="1" ht="21">
      <c r="B4" s="895" t="s">
        <v>1546</v>
      </c>
      <c r="C4" s="893" t="s">
        <v>1543</v>
      </c>
    </row>
    <row r="5" spans="1:29" s="18" customFormat="1">
      <c r="B5" s="21"/>
      <c r="C5" s="988"/>
      <c r="D5" s="989"/>
      <c r="L5" s="229"/>
    </row>
    <row r="6" spans="1:29" s="6" customFormat="1">
      <c r="A6" s="19"/>
      <c r="B6" s="88">
        <f ca="1">MAX($B$1:OFFSET(B6,-1,0))+1</f>
        <v>1</v>
      </c>
      <c r="C6" s="89" t="s">
        <v>391</v>
      </c>
      <c r="D6" s="89"/>
      <c r="E6" s="89">
        <f ca="1">OFFSET(E6,0,-1)+1</f>
        <v>1</v>
      </c>
      <c r="F6" s="89">
        <f ca="1">OFFSET(F6,0,-1)+1</f>
        <v>2</v>
      </c>
      <c r="G6" s="89"/>
      <c r="H6" s="19"/>
      <c r="I6" s="705"/>
      <c r="J6" s="705"/>
      <c r="K6" s="227"/>
      <c r="L6" s="705"/>
      <c r="M6" s="705"/>
      <c r="N6" s="89" t="s">
        <v>1728</v>
      </c>
      <c r="O6" s="89"/>
      <c r="P6" s="89"/>
      <c r="Q6" s="89"/>
      <c r="R6" s="705"/>
      <c r="S6" s="705"/>
      <c r="T6" s="705"/>
      <c r="U6" s="705"/>
      <c r="V6" s="705"/>
      <c r="W6" s="705"/>
      <c r="X6" s="705"/>
      <c r="Y6" s="705"/>
      <c r="Z6" s="705"/>
      <c r="AA6" s="705"/>
      <c r="AB6" s="705"/>
    </row>
    <row r="7" spans="1:29">
      <c r="B7" s="21"/>
      <c r="C7" s="57" t="s">
        <v>392</v>
      </c>
      <c r="D7" s="234"/>
      <c r="E7" s="234"/>
      <c r="F7" s="234"/>
      <c r="G7" s="234"/>
      <c r="H7" s="18"/>
      <c r="I7" s="703"/>
      <c r="J7" s="703"/>
      <c r="K7" s="229"/>
      <c r="L7" s="703"/>
      <c r="M7" s="703"/>
      <c r="N7" s="57" t="s">
        <v>1729</v>
      </c>
      <c r="O7" s="52"/>
      <c r="P7" s="52"/>
      <c r="Q7" s="52"/>
      <c r="R7" s="703"/>
      <c r="S7" s="703"/>
      <c r="T7" s="703"/>
      <c r="U7" s="703"/>
      <c r="V7" s="703"/>
      <c r="W7" s="703"/>
      <c r="X7" s="703"/>
      <c r="Y7" s="703"/>
      <c r="Z7" s="703"/>
      <c r="AA7" s="703"/>
      <c r="AB7" s="703"/>
    </row>
    <row r="8" spans="1:29">
      <c r="A8" s="1354" t="s">
        <v>1528</v>
      </c>
      <c r="B8" s="21"/>
      <c r="C8" s="22" t="s">
        <v>393</v>
      </c>
      <c r="D8" s="246"/>
      <c r="E8" s="247" t="s">
        <v>394</v>
      </c>
      <c r="F8" s="247" t="s">
        <v>395</v>
      </c>
      <c r="G8" s="248"/>
      <c r="H8" s="18"/>
      <c r="I8" s="703"/>
      <c r="J8" s="703"/>
      <c r="K8" s="229"/>
      <c r="L8" s="703"/>
      <c r="M8" s="703"/>
      <c r="N8" s="1473" t="str">
        <f>_xlfn.CONCAT(A8,"_keuzelijst")</f>
        <v>GPR_versie_keuzelijst</v>
      </c>
      <c r="O8" s="1335" t="str" cm="1">
        <f t="array" aca="1" ref="O8:P8" ca="1">_xlfn._xlws.FILTER(INDIRECT(A8),INDIRECT(A8)&lt;&gt;"","")</f>
        <v>GPR 4.3</v>
      </c>
      <c r="P8" s="1472" t="str">
        <f ca="1"/>
        <v>GPR 4.4</v>
      </c>
      <c r="Q8" s="1472"/>
      <c r="R8" s="703"/>
      <c r="S8" s="703"/>
      <c r="T8" s="703"/>
      <c r="U8" s="703"/>
      <c r="V8" s="703"/>
      <c r="W8" s="703"/>
      <c r="X8" s="703"/>
      <c r="Y8" s="703"/>
      <c r="Z8" s="703"/>
      <c r="AA8" s="703"/>
      <c r="AB8" s="703"/>
    </row>
    <row r="9" spans="1:29">
      <c r="B9" s="139" t="s">
        <v>396</v>
      </c>
      <c r="C9" s="22" t="s">
        <v>397</v>
      </c>
      <c r="D9" s="244"/>
      <c r="E9" s="245">
        <v>1</v>
      </c>
      <c r="F9" s="245">
        <v>0.85</v>
      </c>
      <c r="G9" s="244"/>
      <c r="H9" s="18"/>
      <c r="I9" s="703"/>
      <c r="J9" s="703"/>
      <c r="K9" s="229"/>
      <c r="L9" s="703"/>
      <c r="M9" s="703"/>
      <c r="N9" s="713"/>
      <c r="O9" s="703"/>
      <c r="P9" s="703"/>
      <c r="Q9" s="703"/>
      <c r="R9" s="703"/>
      <c r="S9" s="703"/>
      <c r="T9" s="703"/>
      <c r="U9" s="703"/>
      <c r="V9" s="703"/>
      <c r="W9" s="703"/>
      <c r="X9" s="703"/>
      <c r="Y9" s="703"/>
      <c r="Z9" s="703"/>
      <c r="AA9" s="703"/>
      <c r="AB9" s="703"/>
    </row>
    <row r="10" spans="1:29">
      <c r="B10" s="21"/>
      <c r="C10" s="57" t="s">
        <v>1387</v>
      </c>
      <c r="D10" s="234"/>
      <c r="E10" s="234"/>
      <c r="F10" s="234"/>
      <c r="G10" s="234"/>
      <c r="H10" s="18"/>
      <c r="I10" s="703"/>
      <c r="J10" s="703"/>
      <c r="K10" s="229"/>
      <c r="L10" s="703"/>
      <c r="M10" s="703"/>
      <c r="N10" s="713"/>
      <c r="O10" s="703"/>
      <c r="P10" s="703"/>
      <c r="Q10" s="703"/>
      <c r="R10" s="703"/>
      <c r="S10" s="703"/>
      <c r="T10" s="703"/>
      <c r="U10" s="703"/>
      <c r="V10" s="703"/>
      <c r="W10" s="703"/>
      <c r="X10" s="703"/>
      <c r="Y10" s="703"/>
      <c r="Z10" s="703"/>
      <c r="AA10" s="703"/>
      <c r="AB10" s="703"/>
    </row>
    <row r="11" spans="1:29">
      <c r="A11" s="1354" t="s">
        <v>1529</v>
      </c>
      <c r="B11" s="21"/>
      <c r="C11" s="22" t="s">
        <v>1388</v>
      </c>
      <c r="D11" s="246"/>
      <c r="E11" s="247" t="s">
        <v>1389</v>
      </c>
      <c r="F11" s="247" t="s">
        <v>1390</v>
      </c>
      <c r="G11" s="248"/>
      <c r="H11" s="18"/>
      <c r="K11" s="229"/>
      <c r="L11" s="703"/>
      <c r="M11" s="703"/>
      <c r="N11" s="1473" t="str">
        <f t="shared" ref="N11:N12" si="0">_xlfn.CONCAT(A11,"_keuzelijst")</f>
        <v>GPR_scope_keuzelijst</v>
      </c>
      <c r="O11" s="1335" t="str" cm="1">
        <f t="array" aca="1" ref="O11:P11" ca="1">_xlfn._xlws.FILTER(INDIRECT(A11),INDIRECT(A11)&lt;&gt;"","")</f>
        <v>nieuwbouw</v>
      </c>
      <c r="P11" s="1472" t="str">
        <f ca="1"/>
        <v>bestaande bouw</v>
      </c>
      <c r="Q11" s="1472"/>
      <c r="R11" s="703"/>
      <c r="S11" s="703"/>
      <c r="T11" s="703"/>
      <c r="U11" s="703"/>
      <c r="V11" s="703"/>
      <c r="W11" s="703"/>
      <c r="X11" s="703"/>
      <c r="Y11" s="703"/>
      <c r="Z11" s="703"/>
      <c r="AA11" s="703"/>
      <c r="AB11" s="703"/>
    </row>
    <row r="12" spans="1:29">
      <c r="A12" s="1354" t="s">
        <v>1531</v>
      </c>
      <c r="B12" s="21"/>
      <c r="C12" s="22" t="s">
        <v>1530</v>
      </c>
      <c r="D12" s="246"/>
      <c r="E12" s="247" t="s">
        <v>486</v>
      </c>
      <c r="F12" s="247" t="s">
        <v>487</v>
      </c>
      <c r="G12" s="248"/>
      <c r="H12" s="18"/>
      <c r="I12" s="703"/>
      <c r="J12" s="703"/>
      <c r="K12" s="229"/>
      <c r="L12" s="703"/>
      <c r="M12" s="703"/>
      <c r="N12" s="1473" t="str">
        <f t="shared" si="0"/>
        <v>GPR_scope_W_U_keuzelijst</v>
      </c>
      <c r="O12" s="1335" t="str" cm="1">
        <f t="array" aca="1" ref="O12:P12" ca="1">_xlfn._xlws.FILTER(INDIRECT(A12),INDIRECT(A12)&lt;&gt;"","")</f>
        <v>woningbouw</v>
      </c>
      <c r="P12" s="1472" t="str">
        <f ca="1"/>
        <v>utiliteitsbouw</v>
      </c>
      <c r="Q12" s="1472"/>
      <c r="R12" s="703"/>
      <c r="S12" s="703"/>
      <c r="T12" s="703"/>
      <c r="U12" s="703"/>
      <c r="V12" s="703"/>
      <c r="W12" s="703"/>
      <c r="X12" s="703"/>
      <c r="Y12" s="703"/>
      <c r="Z12" s="703"/>
      <c r="AA12" s="703"/>
      <c r="AB12" s="703"/>
    </row>
    <row r="13" spans="1:29" s="8" customFormat="1">
      <c r="A13" s="18"/>
      <c r="B13" s="21"/>
      <c r="C13" s="18"/>
      <c r="D13" s="18"/>
      <c r="E13" s="179"/>
      <c r="F13" s="18"/>
      <c r="G13" s="18"/>
      <c r="H13" s="18"/>
      <c r="I13" s="18"/>
      <c r="J13" s="18"/>
      <c r="K13" s="18"/>
      <c r="L13" s="229"/>
      <c r="M13" s="18"/>
      <c r="N13" s="703"/>
      <c r="V13" s="18"/>
    </row>
    <row r="14" spans="1:29" s="6" customFormat="1">
      <c r="A14" s="19"/>
      <c r="B14" s="88">
        <f ca="1">MAX($B$1:OFFSET(B14,-1,0))+1</f>
        <v>2</v>
      </c>
      <c r="C14" s="89" t="s">
        <v>398</v>
      </c>
      <c r="D14" s="89"/>
      <c r="E14" s="89">
        <f ca="1">OFFSET(E14,0,-1)+1</f>
        <v>1</v>
      </c>
      <c r="F14" s="89">
        <f ca="1">OFFSET(F14,0,-1)+1</f>
        <v>2</v>
      </c>
      <c r="G14" s="89">
        <f ca="1">OFFSET(G14,0,-1)+1</f>
        <v>3</v>
      </c>
      <c r="H14" s="89"/>
      <c r="I14" s="19"/>
      <c r="J14" s="19"/>
      <c r="K14" s="705"/>
      <c r="L14" s="227"/>
      <c r="M14" s="705"/>
      <c r="N14" s="705"/>
      <c r="O14" s="705"/>
      <c r="P14" s="705"/>
      <c r="Q14" s="705"/>
      <c r="R14" s="705"/>
      <c r="S14" s="705"/>
      <c r="T14" s="705"/>
      <c r="U14" s="705"/>
      <c r="V14" s="705"/>
      <c r="W14" s="705"/>
      <c r="X14" s="705"/>
      <c r="Y14" s="705"/>
      <c r="Z14" s="705"/>
      <c r="AA14" s="705"/>
      <c r="AB14" s="705"/>
      <c r="AC14" s="705"/>
    </row>
    <row r="15" spans="1:29">
      <c r="B15" s="21"/>
      <c r="C15" s="57" t="s">
        <v>398</v>
      </c>
      <c r="D15" s="234"/>
      <c r="E15" s="234"/>
      <c r="F15" s="234"/>
      <c r="G15" s="234"/>
      <c r="H15" s="234"/>
      <c r="I15" s="18"/>
      <c r="J15" s="18"/>
      <c r="K15" s="703"/>
      <c r="M15" s="703"/>
      <c r="N15" s="703"/>
      <c r="O15" s="703"/>
      <c r="P15" s="703"/>
      <c r="Q15" s="703"/>
      <c r="R15" s="703"/>
      <c r="S15" s="703"/>
      <c r="T15" s="703"/>
      <c r="U15" s="703"/>
      <c r="V15" s="703"/>
      <c r="W15" s="703"/>
      <c r="X15" s="703"/>
      <c r="Y15" s="703"/>
      <c r="Z15" s="703"/>
      <c r="AA15" s="703"/>
      <c r="AB15" s="703"/>
      <c r="AC15" s="703"/>
    </row>
    <row r="16" spans="1:29">
      <c r="A16" s="1354" t="s">
        <v>1664</v>
      </c>
      <c r="B16" s="139" t="s">
        <v>396</v>
      </c>
      <c r="C16" s="22" t="s">
        <v>399</v>
      </c>
      <c r="D16" s="246"/>
      <c r="E16" s="247" t="s">
        <v>400</v>
      </c>
      <c r="F16" s="247" t="s">
        <v>401</v>
      </c>
      <c r="G16" s="247" t="s">
        <v>1372</v>
      </c>
      <c r="H16" s="248"/>
      <c r="I16" s="18"/>
      <c r="J16" s="18"/>
      <c r="K16" s="18"/>
      <c r="M16" s="18"/>
      <c r="N16" s="703"/>
      <c r="O16" s="703"/>
      <c r="P16" s="703"/>
      <c r="Q16" s="703"/>
      <c r="R16" s="703"/>
      <c r="S16" s="703"/>
      <c r="T16" s="703"/>
      <c r="U16" s="703"/>
      <c r="V16" s="18"/>
      <c r="W16" s="703"/>
      <c r="X16" s="703"/>
      <c r="Y16" s="703"/>
      <c r="Z16" s="703"/>
      <c r="AA16" s="703"/>
      <c r="AB16" s="703"/>
      <c r="AC16" s="703"/>
    </row>
    <row r="17" spans="1:59">
      <c r="A17" s="1354" t="s">
        <v>1674</v>
      </c>
      <c r="B17" s="21"/>
      <c r="C17" s="22" t="s">
        <v>1514</v>
      </c>
      <c r="D17" s="246"/>
      <c r="E17" s="247" t="s">
        <v>405</v>
      </c>
      <c r="F17" s="247" t="s">
        <v>406</v>
      </c>
      <c r="G17" s="247" t="s">
        <v>405</v>
      </c>
      <c r="H17" s="248"/>
      <c r="I17" s="18"/>
      <c r="J17" s="18"/>
      <c r="K17" s="18"/>
      <c r="M17" s="18"/>
      <c r="N17" s="703"/>
      <c r="O17" s="703"/>
      <c r="P17" s="703"/>
      <c r="Q17" s="703"/>
      <c r="R17" s="703"/>
      <c r="S17" s="703"/>
      <c r="T17" s="703"/>
      <c r="U17" s="703"/>
      <c r="V17" s="18"/>
      <c r="W17" s="703"/>
      <c r="X17" s="703"/>
      <c r="Y17" s="703"/>
      <c r="Z17" s="703"/>
      <c r="AA17" s="703"/>
      <c r="AB17" s="703"/>
      <c r="AC17" s="703"/>
    </row>
    <row r="18" spans="1:59" s="8" customFormat="1">
      <c r="A18" s="18"/>
      <c r="B18" s="21"/>
      <c r="C18" s="18"/>
      <c r="D18" s="18"/>
      <c r="E18" s="179"/>
      <c r="F18" s="18"/>
      <c r="G18" s="18"/>
      <c r="H18" s="18"/>
      <c r="I18" s="18"/>
      <c r="J18" s="18"/>
      <c r="K18" s="18"/>
      <c r="L18" s="229"/>
      <c r="M18" s="18"/>
      <c r="V18" s="18"/>
    </row>
    <row r="19" spans="1:59">
      <c r="A19" s="1354" t="s">
        <v>1680</v>
      </c>
      <c r="B19" s="88">
        <f ca="1">MAX($B$1:OFFSET(B19,-1,0))+1</f>
        <v>3</v>
      </c>
      <c r="C19" s="122" t="s">
        <v>1457</v>
      </c>
      <c r="D19" s="122"/>
      <c r="E19" s="155"/>
      <c r="F19" s="14"/>
      <c r="G19" s="14"/>
      <c r="H19" s="14"/>
      <c r="I19" s="229"/>
      <c r="J19" s="703"/>
      <c r="K19" s="703"/>
      <c r="L19" s="703"/>
      <c r="M19" s="703"/>
      <c r="N19" s="703"/>
      <c r="O19" s="703"/>
      <c r="P19" s="703"/>
      <c r="Q19" s="703"/>
      <c r="R19" s="703"/>
      <c r="S19" s="703"/>
      <c r="T19" s="703"/>
      <c r="U19" s="703"/>
      <c r="V19" s="703"/>
      <c r="W19" s="703"/>
      <c r="X19" s="8"/>
      <c r="Y19" s="8"/>
      <c r="Z19" s="8"/>
      <c r="AA19" s="8"/>
      <c r="AB19" s="8"/>
      <c r="AC19" s="8"/>
      <c r="AD19" s="8"/>
      <c r="AE19" s="8"/>
      <c r="AF19" s="8"/>
      <c r="AG19" s="8"/>
      <c r="AH19" s="703"/>
      <c r="AI19" s="703"/>
      <c r="AJ19" s="703"/>
      <c r="AK19" s="703"/>
      <c r="AL19" s="703"/>
      <c r="AM19" s="703"/>
      <c r="AN19" s="18"/>
    </row>
    <row r="20" spans="1:59" s="324" customFormat="1">
      <c r="A20" s="1354" t="s">
        <v>1681</v>
      </c>
      <c r="B20" s="966"/>
      <c r="C20" s="1361" t="s">
        <v>1516</v>
      </c>
      <c r="D20" s="1362"/>
      <c r="E20" s="1363" t="str">
        <f>E41</f>
        <v>NEN 7120</v>
      </c>
      <c r="F20" s="1363" t="str">
        <f>F41</f>
        <v>NTA 8800</v>
      </c>
      <c r="G20" s="1363" t="str">
        <f>G41</f>
        <v>ISSO 75.3</v>
      </c>
      <c r="H20" s="1364"/>
      <c r="I20" s="969"/>
      <c r="J20" s="708"/>
      <c r="K20" s="708"/>
      <c r="L20" s="708"/>
      <c r="M20" s="708"/>
      <c r="N20" s="708"/>
      <c r="O20" s="708"/>
      <c r="P20" s="708"/>
      <c r="Q20" s="708"/>
      <c r="R20" s="708"/>
      <c r="S20" s="708"/>
      <c r="T20" s="708"/>
      <c r="U20" s="708"/>
      <c r="V20" s="708"/>
      <c r="W20" s="708"/>
      <c r="X20" s="8"/>
      <c r="Y20" s="8"/>
      <c r="Z20" s="8"/>
      <c r="AA20" s="8"/>
      <c r="AB20" s="8"/>
      <c r="AC20" s="8"/>
      <c r="AD20" s="8"/>
      <c r="AE20" s="8"/>
      <c r="AF20" s="8"/>
      <c r="AG20" s="8"/>
      <c r="AH20" s="703"/>
      <c r="AI20" s="703"/>
      <c r="AJ20" s="703"/>
      <c r="AK20" s="703"/>
      <c r="AL20" s="703"/>
      <c r="AM20" s="703"/>
      <c r="AN20" s="18"/>
      <c r="AO20" s="2"/>
      <c r="AP20" s="2"/>
      <c r="AQ20" s="2"/>
      <c r="AR20" s="2"/>
      <c r="AS20" s="2"/>
      <c r="AT20" s="2"/>
      <c r="AU20" s="2"/>
      <c r="AV20" s="2"/>
      <c r="AW20" s="2"/>
      <c r="AX20" s="2"/>
      <c r="AY20" s="2"/>
    </row>
    <row r="21" spans="1:59">
      <c r="B21" s="9">
        <v>1</v>
      </c>
      <c r="C21" s="1356" t="str">
        <f>_xlfn.CONCAT(GPR4.3," | ",$E$11," | ",$E$12)</f>
        <v>GPR 4.3 | nieuwbouw | woningbouw</v>
      </c>
      <c r="D21" s="804"/>
      <c r="E21" s="1009">
        <v>1</v>
      </c>
      <c r="F21" s="1009">
        <v>0</v>
      </c>
      <c r="G21" s="1009">
        <v>0</v>
      </c>
      <c r="H21" s="1144"/>
      <c r="I21" s="229"/>
      <c r="J21" s="703"/>
      <c r="K21" s="703"/>
      <c r="L21" s="703"/>
      <c r="M21" s="703"/>
      <c r="N21" s="703"/>
      <c r="O21" s="703"/>
      <c r="P21" s="703"/>
      <c r="Q21" s="703"/>
      <c r="R21" s="703"/>
      <c r="S21" s="703"/>
      <c r="T21" s="703"/>
      <c r="U21" s="703"/>
      <c r="V21" s="703"/>
      <c r="W21" s="703"/>
      <c r="X21" s="8"/>
      <c r="Y21" s="8"/>
      <c r="Z21" s="8"/>
      <c r="AA21" s="8"/>
      <c r="AB21" s="8"/>
      <c r="AC21" s="8"/>
      <c r="AD21" s="8"/>
      <c r="AE21" s="8"/>
      <c r="AF21" s="8"/>
      <c r="AG21" s="8"/>
      <c r="AH21" s="703"/>
      <c r="AI21" s="716"/>
      <c r="AJ21" s="717"/>
      <c r="AK21" s="717"/>
      <c r="AL21" s="717"/>
      <c r="AM21" s="717"/>
      <c r="AN21" s="717"/>
      <c r="AO21" s="717"/>
      <c r="AP21" s="717"/>
      <c r="AQ21" s="703"/>
      <c r="AR21" s="703"/>
      <c r="AS21" s="703"/>
      <c r="AT21" s="703"/>
    </row>
    <row r="22" spans="1:59">
      <c r="B22" s="9">
        <v>2</v>
      </c>
      <c r="C22" s="1357" t="str">
        <f>_xlfn.CONCAT(GPR4.3," | ",$E$11," | ",$F$12)</f>
        <v>GPR 4.3 | nieuwbouw | utiliteitsbouw</v>
      </c>
      <c r="D22" s="67"/>
      <c r="E22" s="1355">
        <v>1</v>
      </c>
      <c r="F22" s="1355">
        <v>0</v>
      </c>
      <c r="G22" s="1355">
        <v>0</v>
      </c>
      <c r="H22" s="1145"/>
      <c r="I22" s="229"/>
      <c r="J22" s="703"/>
      <c r="K22" s="703"/>
      <c r="L22" s="703"/>
      <c r="M22" s="703"/>
      <c r="N22" s="703"/>
      <c r="O22" s="703"/>
      <c r="P22" s="703"/>
      <c r="Q22" s="703"/>
      <c r="R22" s="703"/>
      <c r="S22" s="703"/>
      <c r="T22" s="703"/>
      <c r="U22" s="703"/>
      <c r="V22" s="703"/>
      <c r="W22" s="703"/>
      <c r="X22" s="703"/>
      <c r="Y22" s="708"/>
      <c r="Z22" s="708"/>
      <c r="AA22" s="708"/>
      <c r="AB22" s="708"/>
      <c r="AC22" s="708"/>
      <c r="AD22" s="708"/>
      <c r="AE22" s="708"/>
      <c r="AF22" s="708"/>
      <c r="AG22" s="708"/>
      <c r="AH22" s="708"/>
      <c r="AI22" s="708"/>
      <c r="AJ22" s="708"/>
      <c r="AK22" s="708"/>
      <c r="AL22" s="708"/>
      <c r="AM22" s="708"/>
      <c r="AN22" s="316"/>
      <c r="AO22" s="324"/>
      <c r="AP22" s="324"/>
      <c r="AQ22" s="324"/>
      <c r="AR22" s="324"/>
      <c r="AS22" s="324"/>
      <c r="AT22" s="324"/>
      <c r="AU22" s="324"/>
      <c r="AV22" s="324"/>
      <c r="AW22" s="324"/>
      <c r="AX22" s="324"/>
      <c r="AY22" s="324"/>
    </row>
    <row r="23" spans="1:59">
      <c r="B23" s="9">
        <v>3</v>
      </c>
      <c r="C23" s="1357" t="str">
        <f>_xlfn.CONCAT(GPR4.3," | ",$F$11," | ",$E$12)</f>
        <v>GPR 4.3 | bestaande bouw | woningbouw</v>
      </c>
      <c r="D23" s="67"/>
      <c r="E23" s="1355">
        <v>1</v>
      </c>
      <c r="F23" s="1355">
        <v>0</v>
      </c>
      <c r="G23" s="1355">
        <v>0</v>
      </c>
      <c r="H23" s="1145"/>
      <c r="I23" s="229"/>
      <c r="J23" s="703"/>
      <c r="K23" s="703"/>
      <c r="L23" s="703"/>
      <c r="M23" s="703"/>
      <c r="N23" s="703"/>
      <c r="O23" s="703"/>
      <c r="P23" s="703"/>
      <c r="Q23" s="703"/>
      <c r="R23" s="703"/>
      <c r="S23" s="703"/>
      <c r="T23" s="703"/>
      <c r="U23" s="703"/>
      <c r="V23" s="703"/>
      <c r="W23" s="703"/>
      <c r="X23" s="703"/>
      <c r="Y23" s="703"/>
      <c r="Z23" s="703"/>
      <c r="AA23" s="703"/>
      <c r="AB23" s="703"/>
      <c r="AC23" s="703"/>
      <c r="AD23" s="703"/>
      <c r="AE23" s="703"/>
      <c r="AF23" s="703"/>
      <c r="AG23" s="703"/>
      <c r="AH23" s="703"/>
      <c r="AI23" s="703"/>
      <c r="AJ23" s="703"/>
      <c r="AK23" s="703"/>
      <c r="AL23" s="703"/>
      <c r="AM23" s="703"/>
      <c r="AN23" s="18"/>
    </row>
    <row r="24" spans="1:59">
      <c r="B24" s="9">
        <v>4</v>
      </c>
      <c r="C24" s="1357" t="str">
        <f>_xlfn.CONCAT(GPR4.3," | ",$F$11," | ",$F$12)</f>
        <v>GPR 4.3 | bestaande bouw | utiliteitsbouw</v>
      </c>
      <c r="D24" s="67"/>
      <c r="E24" s="1355">
        <v>0</v>
      </c>
      <c r="F24" s="1355">
        <v>0</v>
      </c>
      <c r="G24" s="1355">
        <v>1</v>
      </c>
      <c r="H24" s="1145"/>
      <c r="I24" s="229"/>
      <c r="J24" s="703"/>
      <c r="K24" s="703"/>
      <c r="L24" s="703"/>
      <c r="M24" s="703"/>
      <c r="N24" s="703"/>
      <c r="O24" s="703"/>
      <c r="P24" s="703"/>
      <c r="Q24" s="703"/>
      <c r="R24" s="703"/>
      <c r="S24" s="703"/>
      <c r="T24" s="703"/>
      <c r="U24" s="703"/>
      <c r="V24" s="703"/>
      <c r="W24" s="703"/>
      <c r="X24" s="703"/>
      <c r="Y24" s="703"/>
      <c r="Z24" s="703"/>
      <c r="AA24" s="703"/>
      <c r="AB24" s="703"/>
      <c r="AC24" s="703"/>
      <c r="AD24" s="703"/>
      <c r="AE24" s="703"/>
      <c r="AF24" s="703"/>
      <c r="AG24" s="703"/>
      <c r="AH24" s="703"/>
      <c r="AI24" s="703"/>
      <c r="AJ24" s="703"/>
      <c r="AK24" s="703"/>
      <c r="AL24" s="703"/>
      <c r="AM24" s="703"/>
      <c r="AN24" s="18"/>
    </row>
    <row r="25" spans="1:59">
      <c r="B25" s="9">
        <v>5</v>
      </c>
      <c r="C25" s="1357" t="str">
        <f>_xlfn.CONCAT(GPR4.4," | ",$E$11," | ",$E$12)</f>
        <v>GPR 4.4 | nieuwbouw | woningbouw</v>
      </c>
      <c r="D25" s="67"/>
      <c r="E25" s="1355">
        <v>1</v>
      </c>
      <c r="F25" s="1355">
        <v>1</v>
      </c>
      <c r="G25" s="1355">
        <v>0</v>
      </c>
      <c r="H25" s="1145"/>
      <c r="I25" s="229"/>
      <c r="J25" s="703"/>
      <c r="K25" s="703"/>
      <c r="L25" s="703"/>
      <c r="M25" s="703"/>
      <c r="N25" s="703"/>
      <c r="O25" s="703"/>
      <c r="P25" s="703"/>
      <c r="Q25" s="703"/>
      <c r="R25" s="703"/>
      <c r="S25" s="703"/>
      <c r="T25" s="703"/>
      <c r="U25" s="703"/>
      <c r="V25" s="703"/>
      <c r="W25" s="703"/>
      <c r="X25" s="703"/>
      <c r="Y25" s="703"/>
      <c r="Z25" s="703"/>
      <c r="AA25" s="703"/>
      <c r="AB25" s="703"/>
      <c r="AC25" s="703"/>
      <c r="AD25" s="703"/>
      <c r="AE25" s="703"/>
      <c r="AF25" s="703"/>
      <c r="AG25" s="703"/>
      <c r="AH25" s="703"/>
      <c r="AI25" s="703"/>
      <c r="AJ25" s="703"/>
      <c r="AK25" s="703"/>
      <c r="AL25" s="703"/>
      <c r="AM25" s="703"/>
      <c r="AN25" s="18"/>
    </row>
    <row r="26" spans="1:59">
      <c r="B26" s="9">
        <v>6</v>
      </c>
      <c r="C26" s="1357" t="str">
        <f>_xlfn.CONCAT(GPR4.4," | ",$E$11," | ",$F$12)</f>
        <v>GPR 4.4 | nieuwbouw | utiliteitsbouw</v>
      </c>
      <c r="D26" s="67"/>
      <c r="E26" s="1355">
        <v>1</v>
      </c>
      <c r="F26" s="1355">
        <v>1</v>
      </c>
      <c r="G26" s="1355">
        <v>0</v>
      </c>
      <c r="H26" s="1145"/>
      <c r="I26" s="229"/>
      <c r="J26" s="703"/>
      <c r="K26" s="703"/>
      <c r="L26" s="703"/>
      <c r="M26" s="703"/>
      <c r="N26" s="703"/>
      <c r="O26" s="703"/>
      <c r="P26" s="703"/>
      <c r="Q26" s="703"/>
      <c r="R26" s="703"/>
      <c r="S26" s="703"/>
      <c r="T26" s="703"/>
      <c r="U26" s="703"/>
      <c r="V26" s="703"/>
      <c r="W26" s="703"/>
      <c r="X26" s="703"/>
      <c r="Y26" s="703"/>
      <c r="Z26" s="703"/>
      <c r="AA26" s="703"/>
      <c r="AB26" s="703"/>
      <c r="AC26" s="703"/>
      <c r="AD26" s="703"/>
      <c r="AE26" s="703"/>
      <c r="AF26" s="703"/>
      <c r="AG26" s="703"/>
      <c r="AH26" s="703"/>
      <c r="AI26" s="703"/>
      <c r="AJ26" s="703"/>
      <c r="AK26" s="703"/>
      <c r="AL26" s="703"/>
      <c r="AM26" s="703"/>
      <c r="AN26" s="18"/>
    </row>
    <row r="27" spans="1:59">
      <c r="B27" s="9">
        <v>7</v>
      </c>
      <c r="C27" s="1357" t="str">
        <f>_xlfn.CONCAT(GPR4.4," | ",$F$11," | ",$E$12)</f>
        <v>GPR 4.4 | bestaande bouw | woningbouw</v>
      </c>
      <c r="D27" s="67"/>
      <c r="E27" s="1355">
        <v>1</v>
      </c>
      <c r="F27" s="1355">
        <v>1</v>
      </c>
      <c r="G27" s="1355">
        <v>0</v>
      </c>
      <c r="H27" s="1145"/>
      <c r="I27" s="229"/>
      <c r="J27" s="703"/>
      <c r="K27" s="703"/>
      <c r="L27" s="703"/>
      <c r="M27" s="703"/>
      <c r="N27" s="703"/>
      <c r="O27" s="703"/>
      <c r="P27" s="703"/>
      <c r="Q27" s="703"/>
      <c r="R27" s="703"/>
      <c r="S27" s="703"/>
      <c r="T27" s="703"/>
      <c r="U27" s="703"/>
      <c r="V27" s="703"/>
      <c r="W27" s="703"/>
      <c r="X27" s="703"/>
      <c r="Y27" s="703"/>
      <c r="Z27" s="703"/>
      <c r="AA27" s="703"/>
      <c r="AB27" s="703"/>
      <c r="AC27" s="703"/>
      <c r="AD27" s="703"/>
      <c r="AE27" s="703"/>
      <c r="AF27" s="703"/>
      <c r="AG27" s="703"/>
      <c r="AH27" s="703"/>
      <c r="AI27" s="703"/>
      <c r="AJ27" s="703"/>
      <c r="AK27" s="703"/>
      <c r="AL27" s="703"/>
      <c r="AM27" s="703"/>
      <c r="AN27" s="18"/>
    </row>
    <row r="28" spans="1:59">
      <c r="B28" s="9">
        <v>8</v>
      </c>
      <c r="C28" s="1357" t="str">
        <f>_xlfn.CONCAT(GPR4.4," | ",$F$11," | ",$F$12)</f>
        <v>GPR 4.4 | bestaande bouw | utiliteitsbouw</v>
      </c>
      <c r="D28" s="67"/>
      <c r="E28" s="1355">
        <v>1</v>
      </c>
      <c r="F28" s="1355">
        <v>1</v>
      </c>
      <c r="G28" s="1355">
        <v>1</v>
      </c>
      <c r="H28" s="1145"/>
      <c r="I28" s="229"/>
      <c r="J28" s="703"/>
      <c r="K28" s="703"/>
      <c r="L28" s="703"/>
      <c r="M28" s="703"/>
      <c r="N28" s="703"/>
      <c r="O28" s="703"/>
      <c r="P28" s="703"/>
      <c r="Q28" s="703"/>
      <c r="R28" s="703"/>
      <c r="S28" s="703"/>
      <c r="T28" s="703"/>
      <c r="U28" s="703"/>
      <c r="V28" s="703"/>
      <c r="W28" s="703"/>
      <c r="X28" s="703"/>
      <c r="Y28" s="703"/>
      <c r="Z28" s="703"/>
      <c r="AA28" s="703"/>
      <c r="AB28" s="703"/>
      <c r="AC28" s="703"/>
      <c r="AD28" s="703"/>
      <c r="AE28" s="703"/>
      <c r="AF28" s="703"/>
      <c r="AG28" s="703"/>
      <c r="AH28" s="703"/>
      <c r="AI28" s="703"/>
      <c r="AJ28" s="703"/>
      <c r="AK28" s="703"/>
      <c r="AL28" s="703"/>
      <c r="AM28" s="703"/>
      <c r="AN28" s="18"/>
    </row>
    <row r="29" spans="1:59">
      <c r="C29" s="1358"/>
      <c r="D29" s="1359"/>
      <c r="E29" s="1359"/>
      <c r="F29" s="1359"/>
      <c r="G29" s="1359"/>
      <c r="H29" s="1146"/>
      <c r="I29" s="229"/>
      <c r="J29" s="703"/>
      <c r="K29" s="703"/>
      <c r="L29" s="703"/>
      <c r="M29" s="703"/>
      <c r="N29" s="703"/>
      <c r="O29" s="703"/>
      <c r="P29" s="703"/>
      <c r="Q29" s="703"/>
      <c r="R29" s="703"/>
      <c r="S29" s="703"/>
      <c r="T29" s="703"/>
      <c r="U29" s="703"/>
      <c r="V29" s="703"/>
      <c r="W29" s="703"/>
      <c r="X29" s="703"/>
      <c r="Y29" s="703"/>
      <c r="Z29" s="703"/>
      <c r="AA29" s="703"/>
      <c r="AB29" s="703"/>
      <c r="AC29" s="703"/>
      <c r="AD29" s="703"/>
      <c r="AE29" s="703"/>
      <c r="AF29" s="703"/>
      <c r="AG29" s="703"/>
      <c r="AH29" s="703"/>
      <c r="AI29" s="703"/>
      <c r="AJ29" s="703"/>
      <c r="AK29" s="703"/>
      <c r="AL29" s="703"/>
      <c r="AM29" s="703"/>
      <c r="AN29" s="18"/>
    </row>
    <row r="30" spans="1:59">
      <c r="N30" s="703"/>
      <c r="O30" s="703"/>
      <c r="P30" s="703"/>
      <c r="Q30" s="703"/>
      <c r="R30" s="703"/>
      <c r="S30" s="703"/>
      <c r="T30" s="703"/>
      <c r="U30" s="703"/>
      <c r="V30" s="703"/>
      <c r="W30" s="703"/>
      <c r="X30" s="703"/>
      <c r="Y30" s="703"/>
      <c r="Z30" s="703"/>
      <c r="AA30" s="703"/>
      <c r="AB30" s="703"/>
      <c r="AC30" s="703"/>
      <c r="AD30" s="703"/>
      <c r="AE30" s="703"/>
      <c r="AF30" s="703"/>
      <c r="AG30" s="703"/>
      <c r="AH30" s="703"/>
      <c r="AI30" s="703"/>
      <c r="AJ30" s="703"/>
      <c r="AK30" s="703"/>
      <c r="AL30" s="703"/>
      <c r="AM30" s="703"/>
      <c r="AN30" s="703"/>
      <c r="AO30" s="703"/>
      <c r="AP30" s="703"/>
      <c r="AQ30" s="18"/>
    </row>
    <row r="31" spans="1:59" s="18" customFormat="1">
      <c r="B31" s="88">
        <f ca="1">MAX($B$1:OFFSET(B31,-1,0))+1</f>
        <v>9</v>
      </c>
      <c r="C31" s="89" t="s">
        <v>470</v>
      </c>
      <c r="D31" s="89"/>
      <c r="E31" s="89"/>
      <c r="F31" s="89"/>
      <c r="G31" s="89"/>
      <c r="L31" s="229"/>
      <c r="M31" s="705"/>
      <c r="N31" s="705"/>
      <c r="O31" s="705"/>
      <c r="P31" s="705"/>
      <c r="Q31" s="705"/>
      <c r="R31" s="705"/>
      <c r="S31" s="705"/>
      <c r="T31" s="705"/>
      <c r="U31" s="705"/>
      <c r="V31" s="705"/>
      <c r="W31" s="705"/>
      <c r="X31" s="705"/>
      <c r="Y31" s="705"/>
      <c r="Z31" s="705"/>
      <c r="AA31" s="703"/>
      <c r="AB31" s="703"/>
      <c r="AC31" s="703"/>
      <c r="AD31" s="703"/>
      <c r="AE31" s="703"/>
      <c r="AF31" s="703"/>
      <c r="AG31" s="703"/>
      <c r="AH31" s="703"/>
      <c r="AI31" s="703"/>
      <c r="AJ31" s="703"/>
      <c r="AK31" s="703"/>
      <c r="AL31" s="703"/>
      <c r="AM31" s="703"/>
      <c r="AN31" s="703"/>
      <c r="AO31" s="703"/>
      <c r="AP31" s="2"/>
      <c r="AQ31" s="2"/>
      <c r="AR31" s="2"/>
      <c r="AS31" s="2"/>
      <c r="AT31" s="2"/>
      <c r="AU31" s="2"/>
      <c r="AV31" s="2"/>
      <c r="AW31" s="2"/>
      <c r="AX31" s="2"/>
      <c r="AY31" s="2"/>
      <c r="AZ31" s="2"/>
      <c r="BA31" s="2"/>
      <c r="BB31" s="2"/>
      <c r="BC31" s="2"/>
      <c r="BD31" s="2"/>
      <c r="BE31" s="2"/>
      <c r="BF31" s="2"/>
      <c r="BG31" s="2"/>
    </row>
    <row r="32" spans="1:59" s="6" customFormat="1">
      <c r="A32" s="18"/>
      <c r="B32" s="21"/>
      <c r="C32" s="90" t="s">
        <v>412</v>
      </c>
      <c r="D32" s="90"/>
      <c r="E32" s="91" t="s">
        <v>476</v>
      </c>
      <c r="F32" s="91"/>
      <c r="G32" s="91"/>
      <c r="H32" s="18"/>
      <c r="I32" s="18"/>
      <c r="J32" s="18"/>
      <c r="K32" s="18"/>
      <c r="L32" s="229"/>
      <c r="M32" s="703"/>
      <c r="N32" s="703"/>
      <c r="O32" s="703"/>
      <c r="P32" s="703"/>
      <c r="Q32" s="703"/>
      <c r="R32" s="703"/>
      <c r="S32" s="703"/>
      <c r="T32" s="703"/>
      <c r="U32" s="703"/>
      <c r="V32" s="703"/>
      <c r="W32" s="703"/>
      <c r="X32" s="703"/>
      <c r="Y32" s="703"/>
      <c r="Z32" s="703"/>
      <c r="AA32" s="703"/>
      <c r="AB32" s="703"/>
      <c r="AC32" s="703"/>
      <c r="AD32" s="703"/>
      <c r="AE32" s="703"/>
      <c r="AF32" s="703"/>
      <c r="AG32" s="703"/>
      <c r="AH32" s="703"/>
      <c r="AI32" s="703"/>
      <c r="AJ32" s="703"/>
      <c r="AK32" s="703"/>
      <c r="AL32" s="703"/>
      <c r="AM32" s="703"/>
      <c r="AN32" s="703"/>
      <c r="AO32" s="703"/>
      <c r="AP32" s="2"/>
      <c r="AQ32" s="2"/>
      <c r="AR32" s="2"/>
      <c r="AS32" s="2"/>
      <c r="AT32" s="2"/>
      <c r="AU32" s="2"/>
      <c r="AV32" s="2"/>
      <c r="AW32" s="2"/>
      <c r="AX32" s="2"/>
      <c r="AY32" s="2"/>
      <c r="AZ32" s="2"/>
      <c r="BA32" s="2"/>
      <c r="BB32" s="2"/>
      <c r="BC32" s="2"/>
      <c r="BD32" s="2"/>
      <c r="BE32" s="2"/>
      <c r="BF32" s="2"/>
      <c r="BG32" s="2"/>
    </row>
    <row r="33" spans="1:59" s="8" customFormat="1">
      <c r="A33" s="18"/>
      <c r="B33" s="21"/>
      <c r="C33" s="90" t="s">
        <v>472</v>
      </c>
      <c r="D33" s="90"/>
      <c r="E33" s="91" t="s">
        <v>477</v>
      </c>
      <c r="F33" s="91"/>
      <c r="G33" s="91"/>
      <c r="H33" s="18"/>
      <c r="I33" s="18"/>
      <c r="J33" s="18"/>
      <c r="K33" s="18"/>
      <c r="L33" s="229"/>
      <c r="M33" s="703"/>
      <c r="N33" s="703"/>
      <c r="O33" s="703"/>
      <c r="P33" s="703"/>
      <c r="Q33" s="703"/>
      <c r="R33" s="703"/>
      <c r="S33" s="703"/>
      <c r="T33" s="703"/>
      <c r="U33" s="703"/>
      <c r="V33" s="703"/>
      <c r="W33" s="703"/>
      <c r="X33" s="703"/>
      <c r="Y33" s="703"/>
      <c r="Z33" s="703"/>
      <c r="AA33" s="703"/>
      <c r="AB33" s="703"/>
      <c r="AC33" s="703"/>
      <c r="AD33" s="703"/>
      <c r="AE33" s="703"/>
      <c r="AF33" s="703"/>
      <c r="AG33" s="703"/>
      <c r="AH33" s="703"/>
      <c r="AI33" s="703"/>
      <c r="AJ33" s="703"/>
      <c r="AK33" s="703"/>
      <c r="AL33" s="703"/>
      <c r="AM33" s="703"/>
      <c r="AN33" s="703"/>
      <c r="AO33" s="703"/>
      <c r="AP33" s="2"/>
      <c r="AQ33" s="2"/>
      <c r="AR33" s="2"/>
      <c r="AS33" s="2"/>
      <c r="AT33" s="2"/>
      <c r="AU33" s="2"/>
      <c r="AV33" s="2"/>
      <c r="AW33" s="2"/>
      <c r="AX33" s="2"/>
      <c r="AY33" s="2"/>
      <c r="AZ33" s="2"/>
      <c r="BA33" s="2"/>
      <c r="BB33" s="2"/>
      <c r="BC33" s="2"/>
      <c r="BD33" s="2"/>
      <c r="BE33" s="2"/>
      <c r="BF33" s="2"/>
      <c r="BG33" s="2"/>
    </row>
    <row r="34" spans="1:59">
      <c r="B34" s="21"/>
      <c r="C34" s="90" t="s">
        <v>413</v>
      </c>
      <c r="D34" s="90"/>
      <c r="E34" s="91" t="s">
        <v>478</v>
      </c>
      <c r="F34" s="91"/>
      <c r="G34" s="91"/>
      <c r="H34" s="18"/>
      <c r="I34" s="18"/>
      <c r="J34" s="18"/>
      <c r="K34" s="18"/>
      <c r="M34" s="703"/>
      <c r="N34" s="703"/>
      <c r="O34" s="703"/>
      <c r="P34" s="703"/>
      <c r="Q34" s="703"/>
      <c r="R34" s="703"/>
      <c r="S34" s="703"/>
      <c r="T34" s="703"/>
      <c r="U34" s="703"/>
      <c r="V34" s="703"/>
      <c r="W34" s="703"/>
      <c r="X34" s="703"/>
      <c r="Y34" s="703"/>
      <c r="Z34" s="703"/>
      <c r="AA34" s="713"/>
      <c r="AB34" s="703"/>
      <c r="AC34" s="703"/>
      <c r="AD34" s="703"/>
      <c r="AE34" s="703"/>
      <c r="AF34" s="703"/>
      <c r="AG34" s="703"/>
      <c r="AH34" s="703"/>
      <c r="AI34" s="703"/>
      <c r="AJ34" s="703"/>
      <c r="AK34" s="703"/>
      <c r="AL34" s="703"/>
      <c r="AM34" s="703"/>
      <c r="AN34" s="703"/>
      <c r="AO34" s="703"/>
    </row>
    <row r="35" spans="1:59" s="18" customFormat="1">
      <c r="B35" s="21"/>
      <c r="E35" s="313"/>
      <c r="F35" s="313"/>
      <c r="G35" s="313"/>
      <c r="H35" s="313"/>
      <c r="I35" s="313"/>
      <c r="J35" s="313"/>
      <c r="L35" s="229"/>
      <c r="AB35" s="703"/>
      <c r="AC35" s="703"/>
      <c r="AD35" s="703"/>
      <c r="AE35" s="703"/>
      <c r="AF35" s="703"/>
      <c r="AG35" s="703"/>
      <c r="AH35" s="703"/>
      <c r="AI35" s="703"/>
      <c r="AJ35" s="703"/>
      <c r="AK35" s="703"/>
      <c r="AL35" s="703"/>
      <c r="AM35" s="703"/>
      <c r="AN35" s="703"/>
      <c r="AO35" s="703"/>
      <c r="AP35" s="2"/>
      <c r="AQ35" s="2"/>
      <c r="AR35" s="2"/>
      <c r="AS35" s="2"/>
      <c r="AT35" s="2"/>
      <c r="AU35" s="2"/>
      <c r="AV35" s="2"/>
      <c r="AW35" s="2"/>
      <c r="AX35" s="2"/>
      <c r="AY35" s="2"/>
      <c r="AZ35" s="2"/>
      <c r="BA35" s="2"/>
      <c r="BB35" s="2"/>
      <c r="BC35" s="2"/>
      <c r="BD35" s="2"/>
      <c r="BE35" s="2"/>
      <c r="BF35" s="2"/>
      <c r="BG35" s="2"/>
    </row>
    <row r="36" spans="1:59" ht="21">
      <c r="A36" s="893"/>
      <c r="B36" s="895" t="s">
        <v>1055</v>
      </c>
      <c r="C36" s="893" t="s">
        <v>1545</v>
      </c>
      <c r="D36" s="893"/>
      <c r="E36" s="893"/>
      <c r="F36" s="893"/>
      <c r="G36" s="893"/>
      <c r="H36" s="893"/>
      <c r="I36" s="893"/>
      <c r="J36" s="893"/>
      <c r="K36" s="893"/>
      <c r="L36" s="893"/>
      <c r="M36" s="893"/>
      <c r="N36" s="893"/>
      <c r="O36" s="893"/>
      <c r="P36" s="893"/>
      <c r="Q36" s="893"/>
      <c r="R36" s="893"/>
      <c r="S36" s="893"/>
      <c r="T36" s="893"/>
      <c r="U36" s="893"/>
      <c r="V36" s="893"/>
      <c r="W36" s="893"/>
      <c r="X36" s="893"/>
      <c r="Y36" s="893"/>
      <c r="Z36" s="893"/>
      <c r="AA36" s="893"/>
      <c r="AB36" s="893"/>
      <c r="AC36" s="893"/>
      <c r="AD36" s="893"/>
      <c r="AE36" s="893"/>
      <c r="AF36" s="893"/>
      <c r="AG36" s="893"/>
      <c r="AH36" s="893"/>
      <c r="AI36" s="893"/>
      <c r="AJ36" s="893"/>
      <c r="AK36" s="893"/>
      <c r="AL36" s="893"/>
      <c r="AM36" s="893"/>
      <c r="AN36" s="893"/>
      <c r="AO36" s="893"/>
      <c r="AP36" s="893"/>
      <c r="AQ36" s="893"/>
      <c r="AR36" s="893"/>
      <c r="AS36" s="893"/>
      <c r="AT36" s="893"/>
      <c r="AU36" s="893"/>
      <c r="AV36" s="893"/>
      <c r="AW36" s="893"/>
      <c r="AX36" s="893"/>
      <c r="AY36" s="893"/>
      <c r="AZ36" s="893"/>
      <c r="BA36" s="893"/>
      <c r="BB36" s="893"/>
      <c r="BC36" s="893"/>
      <c r="BD36" s="893"/>
      <c r="BE36" s="893"/>
      <c r="BF36" s="893"/>
      <c r="BG36" s="893"/>
    </row>
    <row r="37" spans="1:59">
      <c r="B37" s="21"/>
      <c r="C37" s="988"/>
      <c r="D37" s="989"/>
      <c r="E37" s="18"/>
      <c r="F37" s="18"/>
      <c r="G37" s="18"/>
      <c r="H37" s="18"/>
      <c r="I37" s="18"/>
      <c r="J37" s="18"/>
      <c r="K37" s="18"/>
      <c r="M37" s="18"/>
      <c r="O37" s="18"/>
      <c r="P37" s="18"/>
      <c r="Q37" s="18"/>
      <c r="R37" s="18"/>
      <c r="S37" s="18"/>
      <c r="T37" s="18"/>
      <c r="U37" s="18"/>
      <c r="V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row>
    <row r="38" spans="1:59" s="6" customFormat="1">
      <c r="A38" s="1354" t="s">
        <v>1675</v>
      </c>
      <c r="B38" s="88">
        <f ca="1">MAX($B$1:OFFSET(B38,-1,0))+1</f>
        <v>10</v>
      </c>
      <c r="C38" s="89" t="s">
        <v>402</v>
      </c>
      <c r="D38" s="307"/>
      <c r="E38" s="308">
        <f t="shared" ref="E38:J38" ca="1" si="1">OFFSET(E38,0,-1)+1</f>
        <v>1</v>
      </c>
      <c r="F38" s="308">
        <f t="shared" ca="1" si="1"/>
        <v>2</v>
      </c>
      <c r="G38" s="308">
        <f t="shared" ca="1" si="1"/>
        <v>3</v>
      </c>
      <c r="H38" s="308">
        <f t="shared" ca="1" si="1"/>
        <v>4</v>
      </c>
      <c r="I38" s="308">
        <f t="shared" ca="1" si="1"/>
        <v>5</v>
      </c>
      <c r="J38" s="308">
        <f t="shared" ca="1" si="1"/>
        <v>6</v>
      </c>
      <c r="K38" s="309"/>
      <c r="L38" s="227"/>
      <c r="M38" s="19"/>
      <c r="N38" s="705"/>
      <c r="O38" s="705"/>
      <c r="P38" s="705"/>
      <c r="Q38" s="705"/>
      <c r="R38" s="705"/>
      <c r="S38" s="705"/>
      <c r="T38" s="705"/>
      <c r="U38" s="705"/>
      <c r="V38" s="19"/>
      <c r="W38" s="705"/>
      <c r="X38" s="705"/>
      <c r="Y38" s="705"/>
      <c r="Z38" s="705"/>
      <c r="AA38" s="705"/>
      <c r="AB38" s="705"/>
      <c r="AC38" s="705"/>
    </row>
    <row r="39" spans="1:59">
      <c r="A39" s="1354"/>
      <c r="B39" s="21"/>
      <c r="C39" s="57" t="s">
        <v>402</v>
      </c>
      <c r="D39" s="301"/>
      <c r="E39" s="301"/>
      <c r="F39" s="301"/>
      <c r="G39" s="301"/>
      <c r="H39" s="301"/>
      <c r="I39" s="301"/>
      <c r="J39" s="301"/>
      <c r="K39" s="301"/>
      <c r="L39" s="230"/>
      <c r="M39" s="18"/>
      <c r="N39" s="703"/>
      <c r="O39" s="703"/>
      <c r="P39" s="703"/>
      <c r="Q39" s="703"/>
      <c r="R39" s="703"/>
      <c r="S39" s="703"/>
      <c r="T39" s="703"/>
      <c r="U39" s="703"/>
      <c r="V39" s="18"/>
      <c r="W39" s="703"/>
      <c r="X39" s="703"/>
      <c r="Y39" s="703"/>
      <c r="Z39" s="703"/>
      <c r="AA39" s="8"/>
      <c r="AB39" s="8"/>
      <c r="AC39" s="8"/>
      <c r="AD39" s="8"/>
      <c r="AE39" s="8"/>
      <c r="AF39" s="8"/>
      <c r="AG39" s="8"/>
      <c r="AH39" s="8"/>
      <c r="AI39" s="8"/>
      <c r="AJ39" s="8"/>
    </row>
    <row r="40" spans="1:59">
      <c r="A40" s="1354" t="s">
        <v>1676</v>
      </c>
      <c r="B40" s="21"/>
      <c r="C40" s="22" t="s">
        <v>393</v>
      </c>
      <c r="D40" s="246"/>
      <c r="E40" s="247" t="str">
        <f>$E$8</f>
        <v>GPR 4.3</v>
      </c>
      <c r="F40" s="247" t="str">
        <f>$E$8</f>
        <v>GPR 4.3</v>
      </c>
      <c r="G40" s="247" t="str">
        <f>$E$8</f>
        <v>GPR 4.3</v>
      </c>
      <c r="H40" s="247" t="str">
        <f>$F$8</f>
        <v>GPR 4.4</v>
      </c>
      <c r="I40" s="247" t="str">
        <f>$F$8</f>
        <v>GPR 4.4</v>
      </c>
      <c r="J40" s="247" t="str">
        <f>$F$8</f>
        <v>GPR 4.4</v>
      </c>
      <c r="K40" s="248"/>
      <c r="L40" s="230"/>
      <c r="M40" s="18"/>
      <c r="N40" s="703"/>
      <c r="O40" s="703"/>
      <c r="P40" s="703"/>
      <c r="Q40" s="703"/>
      <c r="R40" s="703"/>
      <c r="S40" s="703"/>
      <c r="T40" s="703"/>
      <c r="U40" s="703"/>
      <c r="V40" s="18"/>
      <c r="W40" s="703"/>
      <c r="X40" s="703"/>
      <c r="Y40" s="703"/>
      <c r="Z40" s="703"/>
      <c r="AA40" s="8"/>
      <c r="AB40" s="8"/>
      <c r="AC40" s="8"/>
      <c r="AD40" s="8"/>
      <c r="AE40" s="8"/>
      <c r="AF40" s="8"/>
      <c r="AG40" s="8"/>
      <c r="AH40" s="8"/>
      <c r="AI40" s="8"/>
      <c r="AJ40" s="8"/>
    </row>
    <row r="41" spans="1:59">
      <c r="A41" s="1354" t="s">
        <v>1677</v>
      </c>
      <c r="B41" s="21"/>
      <c r="C41" s="22" t="s">
        <v>403</v>
      </c>
      <c r="D41" s="253"/>
      <c r="E41" s="254" t="str">
        <f>$E$16</f>
        <v>NEN 7120</v>
      </c>
      <c r="F41" s="254" t="str">
        <f>$F$16</f>
        <v>NTA 8800</v>
      </c>
      <c r="G41" s="254" t="str">
        <f>$G$16</f>
        <v>ISSO 75.3</v>
      </c>
      <c r="H41" s="254" t="str">
        <f>$E$16</f>
        <v>NEN 7120</v>
      </c>
      <c r="I41" s="254" t="str">
        <f>$F$16</f>
        <v>NTA 8800</v>
      </c>
      <c r="J41" s="254" t="str">
        <f>$G$16</f>
        <v>ISSO 75.3</v>
      </c>
      <c r="K41" s="255"/>
      <c r="L41" s="230"/>
      <c r="M41" s="18"/>
      <c r="N41" s="703"/>
      <c r="O41" s="703"/>
      <c r="P41" s="703"/>
      <c r="Q41" s="703"/>
      <c r="R41" s="703"/>
      <c r="S41" s="703"/>
      <c r="T41" s="703"/>
      <c r="U41" s="703"/>
      <c r="V41" s="18"/>
      <c r="W41" s="703"/>
      <c r="X41" s="703"/>
      <c r="Y41" s="703"/>
      <c r="Z41" s="703"/>
      <c r="AA41" s="8"/>
      <c r="AB41" s="8"/>
      <c r="AC41" s="8"/>
      <c r="AD41" s="8"/>
      <c r="AE41" s="8"/>
      <c r="AF41" s="8"/>
      <c r="AG41" s="8"/>
      <c r="AH41" s="8"/>
      <c r="AI41" s="8"/>
      <c r="AJ41" s="8"/>
    </row>
    <row r="42" spans="1:59">
      <c r="A42" s="1354" t="s">
        <v>1678</v>
      </c>
      <c r="B42" s="21"/>
      <c r="C42" s="22" t="s">
        <v>404</v>
      </c>
      <c r="D42" s="250"/>
      <c r="E42" s="251" t="s">
        <v>405</v>
      </c>
      <c r="F42" s="251" t="s">
        <v>406</v>
      </c>
      <c r="G42" s="251" t="s">
        <v>405</v>
      </c>
      <c r="H42" s="251" t="s">
        <v>405</v>
      </c>
      <c r="I42" s="251" t="s">
        <v>406</v>
      </c>
      <c r="J42" s="251" t="s">
        <v>405</v>
      </c>
      <c r="K42" s="252"/>
      <c r="L42" s="230"/>
      <c r="M42" s="18"/>
      <c r="N42" s="703"/>
      <c r="O42" s="703"/>
      <c r="P42" s="703"/>
      <c r="Q42" s="703"/>
      <c r="R42" s="703"/>
      <c r="S42" s="703"/>
      <c r="T42" s="703"/>
      <c r="U42" s="703"/>
      <c r="V42" s="18"/>
      <c r="W42" s="703"/>
      <c r="X42" s="703"/>
      <c r="Y42" s="703"/>
      <c r="Z42" s="703"/>
      <c r="AA42" s="8"/>
      <c r="AB42" s="8"/>
      <c r="AC42" s="8"/>
      <c r="AD42" s="8"/>
      <c r="AE42" s="8"/>
      <c r="AF42" s="8"/>
      <c r="AG42" s="8"/>
      <c r="AH42" s="8"/>
      <c r="AI42" s="8"/>
      <c r="AJ42" s="8"/>
      <c r="AK42" s="703"/>
      <c r="AL42" s="703"/>
      <c r="AM42" s="703"/>
      <c r="AN42" s="703"/>
      <c r="AO42" s="703"/>
    </row>
    <row r="43" spans="1:59">
      <c r="A43" s="1354" t="s">
        <v>1679</v>
      </c>
      <c r="B43" s="21"/>
      <c r="C43" s="22" t="s">
        <v>407</v>
      </c>
      <c r="D43" s="246"/>
      <c r="E43" s="249" t="str">
        <f t="shared" ref="E43:J43" si="2">E40&amp;" | "&amp;E41</f>
        <v>GPR 4.3 | NEN 7120</v>
      </c>
      <c r="F43" s="249" t="str">
        <f t="shared" si="2"/>
        <v>GPR 4.3 | NTA 8800</v>
      </c>
      <c r="G43" s="249" t="str">
        <f t="shared" si="2"/>
        <v>GPR 4.3 | ISSO 75.3</v>
      </c>
      <c r="H43" s="249" t="str">
        <f t="shared" si="2"/>
        <v>GPR 4.4 | NEN 7120</v>
      </c>
      <c r="I43" s="249" t="str">
        <f t="shared" si="2"/>
        <v>GPR 4.4 | NTA 8800</v>
      </c>
      <c r="J43" s="249" t="str">
        <f t="shared" si="2"/>
        <v>GPR 4.4 | ISSO 75.3</v>
      </c>
      <c r="K43" s="248"/>
      <c r="L43" s="230"/>
      <c r="M43" s="18"/>
      <c r="N43" s="703"/>
      <c r="O43" s="703"/>
      <c r="P43" s="703"/>
      <c r="Q43" s="703"/>
      <c r="R43" s="703"/>
      <c r="S43" s="703"/>
      <c r="T43" s="703"/>
      <c r="U43" s="703"/>
      <c r="V43" s="18"/>
      <c r="W43" s="703"/>
      <c r="X43" s="703"/>
      <c r="Y43" s="703"/>
      <c r="Z43" s="703"/>
      <c r="AA43" s="8"/>
      <c r="AB43" s="8"/>
      <c r="AC43" s="8"/>
      <c r="AD43" s="8"/>
      <c r="AE43" s="8"/>
      <c r="AF43" s="8"/>
      <c r="AG43" s="8"/>
      <c r="AH43" s="8"/>
      <c r="AI43" s="8"/>
      <c r="AJ43" s="8"/>
      <c r="AK43" s="703"/>
      <c r="AL43" s="703"/>
      <c r="AM43" s="703"/>
      <c r="AN43" s="703"/>
      <c r="AO43" s="703"/>
    </row>
    <row r="44" spans="1:59" s="893" customFormat="1" ht="21">
      <c r="A44" s="19"/>
      <c r="B44" s="21"/>
      <c r="C44" s="18"/>
      <c r="D44" s="18"/>
      <c r="E44" s="18"/>
      <c r="F44" s="18"/>
      <c r="G44" s="18"/>
      <c r="H44" s="18"/>
      <c r="I44" s="18"/>
      <c r="J44" s="18"/>
      <c r="K44" s="18"/>
      <c r="L44" s="229"/>
      <c r="M44" s="703"/>
      <c r="N44" s="703"/>
      <c r="O44" s="703"/>
      <c r="P44" s="703"/>
      <c r="Q44" s="703"/>
      <c r="R44" s="703"/>
      <c r="S44" s="703"/>
      <c r="T44" s="703"/>
      <c r="U44" s="703"/>
      <c r="V44" s="703"/>
      <c r="W44" s="703"/>
      <c r="X44" s="703"/>
      <c r="Y44" s="703"/>
      <c r="Z44" s="703"/>
      <c r="AA44" s="8"/>
      <c r="AB44" s="8"/>
      <c r="AC44" s="8"/>
      <c r="AD44" s="8"/>
      <c r="AE44" s="8"/>
      <c r="AF44" s="8"/>
      <c r="AG44" s="8"/>
      <c r="AH44" s="8"/>
      <c r="AI44" s="8"/>
      <c r="AJ44" s="8"/>
      <c r="AK44" s="703"/>
      <c r="AL44" s="703"/>
      <c r="AM44" s="703"/>
      <c r="AN44" s="703"/>
      <c r="AO44" s="703"/>
      <c r="AP44" s="2"/>
      <c r="AQ44" s="2"/>
      <c r="AR44" s="2"/>
      <c r="AS44" s="2"/>
      <c r="AT44" s="2"/>
      <c r="AU44" s="2"/>
      <c r="AV44" s="2"/>
      <c r="AW44" s="2"/>
      <c r="AX44" s="2"/>
      <c r="AY44" s="2"/>
      <c r="AZ44" s="2"/>
      <c r="BA44" s="2"/>
      <c r="BB44" s="2"/>
      <c r="BC44" s="2"/>
      <c r="BD44" s="2"/>
      <c r="BE44" s="2"/>
      <c r="BF44" s="2"/>
      <c r="BG44" s="2"/>
    </row>
    <row r="45" spans="1:59">
      <c r="B45" s="88">
        <f ca="1">MAX($B$1:OFFSET(B45,-1,0))+1</f>
        <v>11</v>
      </c>
      <c r="C45" s="122" t="s">
        <v>1402</v>
      </c>
      <c r="D45" s="122"/>
      <c r="E45" s="155"/>
      <c r="F45" s="14"/>
      <c r="G45" s="14"/>
      <c r="H45" s="14"/>
      <c r="I45" s="14"/>
      <c r="J45" s="14"/>
      <c r="K45" s="14"/>
      <c r="M45" s="703"/>
      <c r="N45" s="703"/>
      <c r="O45" s="703"/>
      <c r="P45" s="703"/>
      <c r="Q45" s="703"/>
      <c r="R45" s="703"/>
      <c r="S45" s="703"/>
      <c r="T45" s="703"/>
      <c r="U45" s="703"/>
      <c r="V45" s="703"/>
      <c r="W45" s="703"/>
      <c r="X45" s="703"/>
      <c r="Y45" s="703"/>
      <c r="Z45" s="703"/>
      <c r="AA45" s="8"/>
      <c r="AB45" s="8"/>
      <c r="AC45" s="8"/>
      <c r="AD45" s="8"/>
      <c r="AE45" s="8"/>
      <c r="AF45" s="8"/>
      <c r="AG45" s="8"/>
      <c r="AH45" s="8"/>
      <c r="AI45" s="8"/>
      <c r="AJ45" s="8"/>
      <c r="AK45" s="703"/>
      <c r="AL45" s="716"/>
      <c r="AM45" s="717"/>
      <c r="AN45" s="717"/>
      <c r="AO45" s="717"/>
      <c r="AP45" s="717"/>
      <c r="AQ45" s="717"/>
      <c r="AR45" s="717"/>
      <c r="AS45" s="717"/>
      <c r="AT45" s="703"/>
      <c r="AU45" s="703"/>
      <c r="AV45" s="703"/>
      <c r="AW45" s="703"/>
    </row>
    <row r="46" spans="1:59" s="324" customFormat="1" ht="32">
      <c r="A46" s="316"/>
      <c r="B46" s="966"/>
      <c r="C46" s="967" t="s">
        <v>1516</v>
      </c>
      <c r="D46" s="531"/>
      <c r="E46" s="968" t="s">
        <v>1489</v>
      </c>
      <c r="F46" s="967" t="s">
        <v>1397</v>
      </c>
      <c r="G46" s="967" t="s">
        <v>1518</v>
      </c>
      <c r="H46" s="967" t="s">
        <v>1496</v>
      </c>
      <c r="I46" s="968" t="s">
        <v>1519</v>
      </c>
      <c r="J46" s="968" t="s">
        <v>1548</v>
      </c>
      <c r="K46" s="14"/>
      <c r="L46" s="229"/>
      <c r="M46" s="708"/>
      <c r="N46" s="708"/>
      <c r="O46" s="708"/>
      <c r="P46" s="708"/>
      <c r="Q46" s="708"/>
      <c r="R46" s="708"/>
      <c r="S46" s="708"/>
      <c r="T46" s="708"/>
      <c r="U46" s="708"/>
      <c r="V46" s="708"/>
      <c r="W46" s="708"/>
      <c r="X46" s="708"/>
      <c r="Y46" s="708"/>
      <c r="Z46" s="708"/>
      <c r="AA46" s="8"/>
      <c r="AB46" s="8"/>
      <c r="AC46" s="8"/>
      <c r="AD46" s="8"/>
      <c r="AE46" s="8"/>
      <c r="AF46" s="8"/>
      <c r="AG46" s="8"/>
      <c r="AH46" s="8"/>
      <c r="AI46" s="8"/>
      <c r="AJ46" s="8"/>
      <c r="AK46" s="708"/>
      <c r="AL46" s="708"/>
      <c r="AM46" s="708"/>
      <c r="AN46" s="708"/>
      <c r="AO46" s="708"/>
      <c r="AP46" s="708"/>
      <c r="AQ46" s="316"/>
    </row>
    <row r="47" spans="1:59" ht="30.75" customHeight="1">
      <c r="B47" s="9">
        <v>1</v>
      </c>
      <c r="C47" s="438" t="s">
        <v>497</v>
      </c>
      <c r="D47" s="442"/>
      <c r="E47" s="443" t="s">
        <v>400</v>
      </c>
      <c r="F47" s="971" t="s">
        <v>1490</v>
      </c>
      <c r="G47" s="971" t="s">
        <v>405</v>
      </c>
      <c r="H47" s="971" t="s">
        <v>1493</v>
      </c>
      <c r="I47" s="443">
        <v>0</v>
      </c>
      <c r="J47" s="880" t="str">
        <f>_xlfn.CONCAT(E47," [",HLOOKUP(E47,$D$16:$H$17,ROWS($C$16:$C$17),FALSE),"]")</f>
        <v>NEN 7120 [MJ]</v>
      </c>
      <c r="K47" s="1144"/>
      <c r="M47" s="703"/>
      <c r="N47" s="703"/>
      <c r="O47" s="703"/>
      <c r="P47" s="703"/>
      <c r="Q47" s="703"/>
      <c r="R47" s="703"/>
      <c r="S47" s="703"/>
      <c r="T47" s="703"/>
      <c r="U47" s="703"/>
      <c r="V47" s="703"/>
      <c r="W47" s="703"/>
      <c r="X47" s="703"/>
      <c r="Y47" s="703"/>
      <c r="Z47" s="703"/>
      <c r="AA47" s="8"/>
      <c r="AB47" s="8"/>
      <c r="AC47" s="8"/>
      <c r="AD47" s="8"/>
      <c r="AE47" s="8"/>
      <c r="AF47" s="8"/>
      <c r="AG47" s="8"/>
      <c r="AH47" s="8"/>
      <c r="AI47" s="8"/>
      <c r="AJ47" s="8"/>
      <c r="AK47" s="703"/>
      <c r="AL47" s="703"/>
      <c r="AM47" s="703"/>
      <c r="AN47" s="703"/>
      <c r="AO47" s="703"/>
      <c r="AP47" s="703"/>
      <c r="AQ47" s="18"/>
    </row>
    <row r="48" spans="1:59" ht="30.75" customHeight="1">
      <c r="B48" s="9">
        <v>2</v>
      </c>
      <c r="C48" s="439" t="s">
        <v>491</v>
      </c>
      <c r="D48" s="444"/>
      <c r="E48" s="287" t="s">
        <v>400</v>
      </c>
      <c r="F48" s="972" t="s">
        <v>1491</v>
      </c>
      <c r="G48" s="972" t="s">
        <v>405</v>
      </c>
      <c r="H48" s="972" t="s">
        <v>1494</v>
      </c>
      <c r="I48" s="287">
        <v>0</v>
      </c>
      <c r="J48" s="288" t="str">
        <f t="shared" ref="J48:J52" si="3">_xlfn.CONCAT(E48," [",HLOOKUP(E48,$D$16:$H$17,ROWS($C$16:$C$17),FALSE),"]")</f>
        <v>NEN 7120 [MJ]</v>
      </c>
      <c r="K48" s="1145"/>
      <c r="M48" s="703"/>
      <c r="N48" s="703"/>
      <c r="O48" s="703"/>
      <c r="P48" s="703"/>
      <c r="Q48" s="703"/>
      <c r="R48" s="703"/>
      <c r="S48" s="703"/>
      <c r="T48" s="703"/>
      <c r="U48" s="703"/>
      <c r="V48" s="703"/>
      <c r="W48" s="703"/>
      <c r="X48" s="703"/>
      <c r="Y48" s="703"/>
      <c r="Z48" s="703"/>
      <c r="AA48" s="8"/>
      <c r="AB48" s="8"/>
      <c r="AC48" s="8"/>
      <c r="AD48" s="8"/>
      <c r="AE48" s="8"/>
      <c r="AF48" s="8"/>
      <c r="AG48" s="8"/>
      <c r="AH48" s="8"/>
      <c r="AI48" s="8"/>
      <c r="AJ48" s="8"/>
      <c r="AK48" s="703"/>
      <c r="AL48" s="703"/>
      <c r="AM48" s="703"/>
      <c r="AN48" s="703"/>
      <c r="AO48" s="703"/>
      <c r="AP48" s="703"/>
      <c r="AQ48" s="18"/>
    </row>
    <row r="49" spans="1:59" ht="30.75" customHeight="1">
      <c r="B49" s="9">
        <v>3</v>
      </c>
      <c r="C49" s="439" t="s">
        <v>556</v>
      </c>
      <c r="D49" s="444"/>
      <c r="E49" s="287" t="s">
        <v>401</v>
      </c>
      <c r="F49" s="972" t="s">
        <v>1454</v>
      </c>
      <c r="G49" s="973" t="s">
        <v>330</v>
      </c>
      <c r="H49" s="973" t="s">
        <v>1459</v>
      </c>
      <c r="I49" s="287">
        <v>1</v>
      </c>
      <c r="J49" s="288" t="str">
        <f t="shared" si="3"/>
        <v>NTA 8800 [kWh]</v>
      </c>
      <c r="K49" s="1145"/>
      <c r="M49" s="703"/>
      <c r="N49" s="703"/>
      <c r="O49" s="703"/>
      <c r="P49" s="703"/>
      <c r="Q49" s="703"/>
      <c r="R49" s="703"/>
      <c r="S49" s="703"/>
      <c r="T49" s="703"/>
      <c r="U49" s="703"/>
      <c r="V49" s="703"/>
      <c r="W49" s="703"/>
      <c r="X49" s="703"/>
      <c r="Y49" s="703"/>
      <c r="Z49" s="703"/>
      <c r="AA49" s="8"/>
      <c r="AB49" s="8"/>
      <c r="AC49" s="8"/>
      <c r="AD49" s="8"/>
      <c r="AE49" s="8"/>
      <c r="AF49" s="8"/>
      <c r="AG49" s="8"/>
      <c r="AH49" s="8"/>
      <c r="AI49" s="8"/>
      <c r="AJ49" s="8"/>
      <c r="AK49" s="703"/>
      <c r="AL49" s="703"/>
      <c r="AM49" s="703"/>
      <c r="AN49" s="703"/>
      <c r="AO49" s="703"/>
      <c r="AP49" s="703"/>
      <c r="AQ49" s="18"/>
    </row>
    <row r="50" spans="1:59" ht="30.75" customHeight="1">
      <c r="B50" s="9">
        <v>4</v>
      </c>
      <c r="C50" s="439" t="s">
        <v>555</v>
      </c>
      <c r="D50" s="444"/>
      <c r="E50" s="287" t="s">
        <v>401</v>
      </c>
      <c r="F50" s="972" t="s">
        <v>1492</v>
      </c>
      <c r="G50" s="973" t="s">
        <v>406</v>
      </c>
      <c r="H50" s="973" t="s">
        <v>1460</v>
      </c>
      <c r="I50" s="287">
        <v>0</v>
      </c>
      <c r="J50" s="288" t="str">
        <f t="shared" si="3"/>
        <v>NTA 8800 [kWh]</v>
      </c>
      <c r="K50" s="1145"/>
      <c r="M50" s="703"/>
      <c r="N50" s="703"/>
      <c r="O50" s="703"/>
      <c r="P50" s="703"/>
      <c r="Q50" s="703"/>
      <c r="R50" s="703"/>
      <c r="S50" s="703"/>
      <c r="T50" s="703"/>
      <c r="U50" s="703"/>
      <c r="V50" s="703"/>
      <c r="W50" s="703"/>
      <c r="X50" s="703"/>
      <c r="Y50" s="703"/>
      <c r="Z50" s="703"/>
      <c r="AA50" s="8"/>
      <c r="AB50" s="8"/>
      <c r="AC50" s="8"/>
      <c r="AD50" s="8"/>
      <c r="AE50" s="8"/>
      <c r="AF50" s="8"/>
      <c r="AG50" s="8"/>
      <c r="AH50" s="8"/>
      <c r="AI50" s="8"/>
      <c r="AJ50" s="8"/>
      <c r="AK50" s="703"/>
      <c r="AL50" s="703"/>
      <c r="AM50" s="703"/>
      <c r="AN50" s="703"/>
      <c r="AO50" s="703"/>
      <c r="AP50" s="703"/>
      <c r="AQ50" s="18"/>
    </row>
    <row r="51" spans="1:59" ht="30.75" customHeight="1">
      <c r="B51" s="9">
        <v>5</v>
      </c>
      <c r="C51" s="440" t="s">
        <v>1463</v>
      </c>
      <c r="D51" s="444"/>
      <c r="E51" s="328" t="s">
        <v>1372</v>
      </c>
      <c r="F51" s="974" t="s">
        <v>1540</v>
      </c>
      <c r="G51" s="974" t="s">
        <v>405</v>
      </c>
      <c r="H51" s="974" t="s">
        <v>1541</v>
      </c>
      <c r="I51" s="328">
        <v>0</v>
      </c>
      <c r="J51" s="878" t="str">
        <f t="shared" si="3"/>
        <v>ISSO 75.3 [MJ]</v>
      </c>
      <c r="K51" s="1145"/>
      <c r="M51" s="703"/>
      <c r="N51" s="703"/>
      <c r="O51" s="703"/>
      <c r="P51" s="703"/>
      <c r="Q51" s="703"/>
      <c r="R51" s="703"/>
      <c r="S51" s="703"/>
      <c r="T51" s="703"/>
      <c r="U51" s="703"/>
      <c r="V51" s="703"/>
      <c r="W51" s="703"/>
      <c r="X51" s="703"/>
      <c r="Y51" s="703"/>
      <c r="Z51" s="703"/>
      <c r="AA51" s="703"/>
      <c r="AB51" s="703"/>
      <c r="AC51" s="703"/>
      <c r="AD51" s="703"/>
      <c r="AE51" s="703"/>
      <c r="AF51" s="703"/>
      <c r="AG51" s="703"/>
      <c r="AH51" s="703"/>
      <c r="AI51" s="703"/>
      <c r="AJ51" s="703"/>
      <c r="AK51" s="703"/>
      <c r="AL51" s="703"/>
      <c r="AM51" s="703"/>
      <c r="AN51" s="703"/>
      <c r="AO51" s="703"/>
      <c r="AP51" s="703"/>
      <c r="AQ51" s="18"/>
    </row>
    <row r="52" spans="1:59" ht="30.75" customHeight="1">
      <c r="B52" s="9">
        <v>6</v>
      </c>
      <c r="C52" s="440" t="s">
        <v>1478</v>
      </c>
      <c r="D52" s="446"/>
      <c r="E52" s="289" t="s">
        <v>1372</v>
      </c>
      <c r="F52" s="975" t="s">
        <v>1479</v>
      </c>
      <c r="G52" s="976" t="s">
        <v>430</v>
      </c>
      <c r="H52" s="976" t="s">
        <v>1495</v>
      </c>
      <c r="I52" s="289">
        <v>1</v>
      </c>
      <c r="J52" s="879" t="str">
        <f t="shared" si="3"/>
        <v>ISSO 75.3 [MJ]</v>
      </c>
      <c r="K52" s="1146"/>
      <c r="M52" s="703"/>
      <c r="N52" s="703"/>
      <c r="O52" s="703"/>
      <c r="P52" s="703"/>
      <c r="Q52" s="703"/>
      <c r="R52" s="703"/>
      <c r="S52" s="703"/>
      <c r="T52" s="703"/>
      <c r="U52" s="703"/>
      <c r="V52" s="703"/>
      <c r="W52" s="703"/>
      <c r="X52" s="703"/>
      <c r="Y52" s="703"/>
      <c r="Z52" s="703"/>
      <c r="AA52" s="703"/>
      <c r="AB52" s="703"/>
      <c r="AC52" s="703"/>
      <c r="AD52" s="703"/>
      <c r="AE52" s="703"/>
      <c r="AF52" s="703"/>
      <c r="AG52" s="703"/>
      <c r="AH52" s="703"/>
      <c r="AI52" s="703"/>
      <c r="AJ52" s="703"/>
      <c r="AK52" s="703"/>
      <c r="AL52" s="703"/>
      <c r="AM52" s="703"/>
      <c r="AN52" s="703"/>
      <c r="AO52" s="703"/>
      <c r="AP52" s="703"/>
      <c r="AQ52" s="18"/>
    </row>
    <row r="53" spans="1:59">
      <c r="C53" s="703"/>
      <c r="D53" s="703"/>
      <c r="E53" s="703"/>
      <c r="F53" s="703"/>
      <c r="G53" s="703"/>
      <c r="H53" s="703"/>
      <c r="I53" s="703"/>
      <c r="J53" s="703"/>
      <c r="K53" s="703"/>
      <c r="M53" s="703"/>
      <c r="N53" s="703"/>
      <c r="O53" s="703"/>
      <c r="P53" s="703"/>
      <c r="Q53" s="703"/>
      <c r="R53" s="703"/>
      <c r="S53" s="703"/>
      <c r="T53" s="703"/>
      <c r="U53" s="703"/>
      <c r="V53" s="703"/>
      <c r="W53" s="703"/>
      <c r="X53" s="703"/>
      <c r="Y53" s="703"/>
      <c r="Z53" s="703"/>
      <c r="AA53" s="703"/>
      <c r="AB53" s="703"/>
      <c r="AC53" s="703"/>
      <c r="AD53" s="703"/>
      <c r="AE53" s="703"/>
      <c r="AF53" s="703"/>
      <c r="AG53" s="703"/>
      <c r="AH53" s="703"/>
      <c r="AI53" s="703"/>
      <c r="AJ53" s="703"/>
      <c r="AK53" s="703"/>
      <c r="AL53" s="703"/>
      <c r="AM53" s="703"/>
      <c r="AN53" s="703"/>
      <c r="AO53" s="703"/>
      <c r="AP53" s="703"/>
      <c r="AQ53" s="18"/>
    </row>
    <row r="54" spans="1:59">
      <c r="A54" s="19"/>
      <c r="B54" s="88">
        <f ca="1">MAX($B$1:OFFSET(B54,-1,0))+1</f>
        <v>12</v>
      </c>
      <c r="C54" s="89" t="s">
        <v>408</v>
      </c>
      <c r="D54" s="89"/>
      <c r="E54" s="89">
        <f t="shared" ref="E54:J54" ca="1" si="4">OFFSET(E54,0,-1)+1</f>
        <v>1</v>
      </c>
      <c r="F54" s="89">
        <f t="shared" ca="1" si="4"/>
        <v>2</v>
      </c>
      <c r="G54" s="89">
        <f t="shared" ca="1" si="4"/>
        <v>3</v>
      </c>
      <c r="H54" s="89">
        <f t="shared" ca="1" si="4"/>
        <v>4</v>
      </c>
      <c r="I54" s="89">
        <f t="shared" ca="1" si="4"/>
        <v>5</v>
      </c>
      <c r="J54" s="89">
        <f t="shared" ca="1" si="4"/>
        <v>6</v>
      </c>
      <c r="K54" s="233"/>
      <c r="L54" s="227"/>
      <c r="M54" s="233"/>
      <c r="N54" s="89">
        <f t="shared" ref="N54:S54" ca="1" si="5">OFFSET(N54,0,-1)+1</f>
        <v>1</v>
      </c>
      <c r="O54" s="89">
        <f t="shared" ca="1" si="5"/>
        <v>2</v>
      </c>
      <c r="P54" s="89">
        <f t="shared" ca="1" si="5"/>
        <v>3</v>
      </c>
      <c r="Q54" s="89">
        <f t="shared" ca="1" si="5"/>
        <v>4</v>
      </c>
      <c r="R54" s="89">
        <f t="shared" ca="1" si="5"/>
        <v>5</v>
      </c>
      <c r="S54" s="89">
        <f t="shared" ca="1" si="5"/>
        <v>6</v>
      </c>
      <c r="T54" s="233"/>
      <c r="U54" s="705"/>
      <c r="V54" s="233"/>
      <c r="W54" s="312">
        <f t="shared" ref="W54:AB54" ca="1" si="6">OFFSET(W54,0,-1)+1</f>
        <v>1</v>
      </c>
      <c r="X54" s="312">
        <f t="shared" ca="1" si="6"/>
        <v>2</v>
      </c>
      <c r="Y54" s="312">
        <f t="shared" ca="1" si="6"/>
        <v>3</v>
      </c>
      <c r="Z54" s="312">
        <f t="shared" ca="1" si="6"/>
        <v>4</v>
      </c>
      <c r="AA54" s="312">
        <f t="shared" ca="1" si="6"/>
        <v>5</v>
      </c>
      <c r="AB54" s="312">
        <f t="shared" ca="1" si="6"/>
        <v>6</v>
      </c>
      <c r="AC54" s="233"/>
      <c r="AD54" s="705"/>
      <c r="AE54" s="223" t="s">
        <v>8</v>
      </c>
      <c r="AF54" s="489" t="s">
        <v>1684</v>
      </c>
      <c r="AG54" s="223" t="s">
        <v>1682</v>
      </c>
      <c r="AH54" s="224"/>
      <c r="AI54" s="224"/>
      <c r="AJ54" s="703"/>
      <c r="AK54" s="705"/>
      <c r="AL54" s="705"/>
      <c r="AM54" s="705"/>
      <c r="AN54" s="705"/>
      <c r="AO54" s="705"/>
      <c r="AP54" s="6"/>
      <c r="AQ54" s="6"/>
      <c r="AR54" s="6"/>
      <c r="AS54" s="6"/>
      <c r="AT54" s="6"/>
      <c r="AU54" s="6"/>
      <c r="AV54" s="6"/>
      <c r="AW54" s="6"/>
      <c r="AX54" s="6"/>
      <c r="AY54" s="6"/>
      <c r="AZ54" s="6"/>
      <c r="BA54" s="6"/>
      <c r="BB54" s="6"/>
      <c r="BC54" s="6"/>
      <c r="BD54" s="6"/>
      <c r="BE54" s="6"/>
      <c r="BF54" s="6"/>
      <c r="BG54" s="6"/>
    </row>
    <row r="55" spans="1:59">
      <c r="B55" s="21"/>
      <c r="C55" s="57" t="s">
        <v>409</v>
      </c>
      <c r="D55" s="105"/>
      <c r="E55" s="232"/>
      <c r="F55" s="232"/>
      <c r="G55" s="877" t="s">
        <v>1377</v>
      </c>
      <c r="H55" s="232"/>
      <c r="I55" s="232"/>
      <c r="J55" s="877" t="s">
        <v>1377</v>
      </c>
      <c r="K55" s="105"/>
      <c r="M55" s="105"/>
      <c r="N55" s="57" t="s">
        <v>410</v>
      </c>
      <c r="O55" s="105"/>
      <c r="P55" s="105"/>
      <c r="Q55" s="105"/>
      <c r="R55" s="105"/>
      <c r="S55" s="105"/>
      <c r="T55" s="105"/>
      <c r="U55" s="8"/>
      <c r="V55" s="105"/>
      <c r="W55" s="57" t="s">
        <v>411</v>
      </c>
      <c r="X55" s="57" t="s">
        <v>412</v>
      </c>
      <c r="Y55" s="57" t="s">
        <v>412</v>
      </c>
      <c r="Z55" s="57" t="s">
        <v>413</v>
      </c>
      <c r="AA55" s="57"/>
      <c r="AB55" s="57" t="s">
        <v>412</v>
      </c>
      <c r="AC55" s="105"/>
      <c r="AD55" s="8"/>
      <c r="AE55" s="326" t="s">
        <v>421</v>
      </c>
      <c r="AF55" s="489" t="s">
        <v>1683</v>
      </c>
      <c r="AG55" s="223" t="str">
        <f>_xlfn.CONCAT("Primair energiegebruik [",HLOOKUP(AE55,$E$56:$J$57,2,FALSE),"]")</f>
        <v>Primair energiegebruik [kWh/m2 Ag]</v>
      </c>
      <c r="AH55" s="224"/>
      <c r="AI55" s="224"/>
      <c r="AJ55" s="703"/>
      <c r="AK55" s="705"/>
      <c r="AL55" s="705"/>
      <c r="AM55" s="705"/>
      <c r="AN55" s="705"/>
      <c r="AO55" s="705"/>
      <c r="AP55" s="6"/>
      <c r="AQ55" s="6"/>
      <c r="AR55" s="8"/>
      <c r="AS55" s="8"/>
      <c r="AT55" s="8"/>
      <c r="AU55" s="8"/>
      <c r="AV55" s="8"/>
      <c r="AW55" s="8"/>
      <c r="AX55" s="8"/>
      <c r="AY55" s="8"/>
      <c r="AZ55" s="8"/>
      <c r="BA55" s="8"/>
      <c r="BB55" s="8"/>
      <c r="BC55" s="8"/>
      <c r="BD55" s="8"/>
      <c r="BE55" s="8"/>
      <c r="BF55" s="8"/>
      <c r="BG55" s="8"/>
    </row>
    <row r="56" spans="1:59">
      <c r="B56" s="21"/>
      <c r="C56" s="64" t="s">
        <v>414</v>
      </c>
      <c r="D56" s="57"/>
      <c r="E56" s="224" t="str">
        <f t="shared" ref="E56:J56" si="7">E$43</f>
        <v>GPR 4.3 | NEN 7120</v>
      </c>
      <c r="F56" s="224" t="str">
        <f t="shared" si="7"/>
        <v>GPR 4.3 | NTA 8800</v>
      </c>
      <c r="G56" s="224" t="str">
        <f t="shared" si="7"/>
        <v>GPR 4.3 | ISSO 75.3</v>
      </c>
      <c r="H56" s="224" t="str">
        <f t="shared" si="7"/>
        <v>GPR 4.4 | NEN 7120</v>
      </c>
      <c r="I56" s="224" t="str">
        <f t="shared" si="7"/>
        <v>GPR 4.4 | NTA 8800</v>
      </c>
      <c r="J56" s="224" t="str">
        <f t="shared" si="7"/>
        <v>GPR 4.4 | ISSO 75.3</v>
      </c>
      <c r="K56" s="64"/>
      <c r="L56" s="230"/>
      <c r="M56" s="64"/>
      <c r="N56" s="224" t="str">
        <f t="shared" ref="N56:S56" si="8">E$43</f>
        <v>GPR 4.3 | NEN 7120</v>
      </c>
      <c r="O56" s="224" t="str">
        <f t="shared" si="8"/>
        <v>GPR 4.3 | NTA 8800</v>
      </c>
      <c r="P56" s="224" t="str">
        <f t="shared" si="8"/>
        <v>GPR 4.3 | ISSO 75.3</v>
      </c>
      <c r="Q56" s="224" t="str">
        <f t="shared" si="8"/>
        <v>GPR 4.4 | NEN 7120</v>
      </c>
      <c r="R56" s="224" t="str">
        <f t="shared" si="8"/>
        <v>GPR 4.4 | NTA 8800</v>
      </c>
      <c r="S56" s="224" t="str">
        <f t="shared" si="8"/>
        <v>GPR 4.4 | ISSO 75.3</v>
      </c>
      <c r="T56" s="57"/>
      <c r="U56" s="151"/>
      <c r="V56" s="64"/>
      <c r="W56" s="223" t="str">
        <f t="shared" ref="W56:AB56" si="9">E$43</f>
        <v>GPR 4.3 | NEN 7120</v>
      </c>
      <c r="X56" s="223" t="str">
        <f t="shared" si="9"/>
        <v>GPR 4.3 | NTA 8800</v>
      </c>
      <c r="Y56" s="223" t="str">
        <f t="shared" si="9"/>
        <v>GPR 4.3 | ISSO 75.3</v>
      </c>
      <c r="Z56" s="223" t="str">
        <f t="shared" si="9"/>
        <v>GPR 4.4 | NEN 7120</v>
      </c>
      <c r="AA56" s="223" t="str">
        <f t="shared" si="9"/>
        <v>GPR 4.4 | NTA 8800</v>
      </c>
      <c r="AB56" s="223" t="str">
        <f t="shared" si="9"/>
        <v>GPR 4.4 | ISSO 75.3</v>
      </c>
      <c r="AC56" s="57"/>
      <c r="AD56" s="703"/>
      <c r="AE56" s="223" t="str">
        <f>_xlfn.CONCAT("Inijking ",AE55)</f>
        <v>Inijking GPR 4.4 | NTA 8800</v>
      </c>
      <c r="AF56" s="224" t="s">
        <v>415</v>
      </c>
      <c r="AG56" s="224"/>
      <c r="AH56" s="224" t="s">
        <v>416</v>
      </c>
      <c r="AI56" s="224" t="s">
        <v>417</v>
      </c>
      <c r="AJ56" s="703"/>
      <c r="AK56" s="705"/>
      <c r="AL56" s="705"/>
      <c r="AM56" s="705"/>
      <c r="AN56" s="705"/>
      <c r="AO56" s="705"/>
      <c r="AP56" s="6"/>
      <c r="AQ56" s="6"/>
    </row>
    <row r="57" spans="1:59">
      <c r="B57" s="139" t="s">
        <v>396</v>
      </c>
      <c r="C57" s="303" t="s">
        <v>204</v>
      </c>
      <c r="D57" s="234"/>
      <c r="E57" s="234" t="s">
        <v>418</v>
      </c>
      <c r="F57" s="234" t="s">
        <v>419</v>
      </c>
      <c r="G57" s="234" t="s">
        <v>418</v>
      </c>
      <c r="H57" s="234" t="s">
        <v>418</v>
      </c>
      <c r="I57" s="234" t="s">
        <v>419</v>
      </c>
      <c r="J57" s="234" t="s">
        <v>418</v>
      </c>
      <c r="K57" s="234"/>
      <c r="L57" s="230"/>
      <c r="M57" s="234"/>
      <c r="N57" s="234" t="str">
        <f t="shared" ref="N57:S57" si="10">E57</f>
        <v>MJ/m2 Ag</v>
      </c>
      <c r="O57" s="234" t="str">
        <f t="shared" si="10"/>
        <v>kWh/m2 Ag</v>
      </c>
      <c r="P57" s="234" t="str">
        <f t="shared" si="10"/>
        <v>MJ/m2 Ag</v>
      </c>
      <c r="Q57" s="234" t="str">
        <f t="shared" si="10"/>
        <v>MJ/m2 Ag</v>
      </c>
      <c r="R57" s="234" t="str">
        <f t="shared" si="10"/>
        <v>kWh/m2 Ag</v>
      </c>
      <c r="S57" s="234" t="str">
        <f t="shared" si="10"/>
        <v>MJ/m2 Ag</v>
      </c>
      <c r="T57" s="234"/>
      <c r="U57" s="703"/>
      <c r="V57" s="234"/>
      <c r="W57" s="269"/>
      <c r="X57" s="269"/>
      <c r="Y57" s="269"/>
      <c r="Z57" s="269"/>
      <c r="AA57" s="269"/>
      <c r="AB57" s="269"/>
      <c r="AC57" s="234"/>
      <c r="AD57" s="703"/>
      <c r="AE57" s="223"/>
      <c r="AF57" s="224"/>
      <c r="AG57" s="224"/>
      <c r="AH57" s="224">
        <v>6</v>
      </c>
      <c r="AI57" s="224">
        <v>10</v>
      </c>
      <c r="AJ57" s="703"/>
      <c r="AK57" s="705" t="s">
        <v>1685</v>
      </c>
      <c r="AL57" s="705">
        <v>10</v>
      </c>
      <c r="AM57" s="705"/>
      <c r="AN57" s="705"/>
      <c r="AO57" s="705"/>
      <c r="AP57" s="6"/>
      <c r="AQ57" s="6"/>
    </row>
    <row r="58" spans="1:59">
      <c r="B58" s="139" t="s">
        <v>396</v>
      </c>
      <c r="C58" s="305" t="s">
        <v>297</v>
      </c>
      <c r="D58" s="300"/>
      <c r="E58" s="235">
        <v>438</v>
      </c>
      <c r="F58" s="235">
        <v>117</v>
      </c>
      <c r="G58" s="985">
        <v>600</v>
      </c>
      <c r="H58" s="235">
        <v>438</v>
      </c>
      <c r="I58" s="235">
        <v>117</v>
      </c>
      <c r="J58" s="985">
        <v>600</v>
      </c>
      <c r="K58" s="252"/>
      <c r="L58" s="230"/>
      <c r="M58" s="241"/>
      <c r="N58" s="235">
        <v>0</v>
      </c>
      <c r="O58" s="235">
        <v>0</v>
      </c>
      <c r="P58" s="985">
        <v>0</v>
      </c>
      <c r="Q58" s="881">
        <f>$R58/1.45*2.56*3.6</f>
        <v>-211.96800000000002</v>
      </c>
      <c r="R58" s="235">
        <v>-33.35</v>
      </c>
      <c r="S58" s="985">
        <f t="shared" ref="Q58:S69" si="11">$R58/1.45*2.56*3.6</f>
        <v>-211.96800000000002</v>
      </c>
      <c r="T58" s="236"/>
      <c r="U58" s="703"/>
      <c r="V58" s="64"/>
      <c r="W58" s="380" t="str">
        <f>_xlfn.CONCAT("=10*exp(",FIXED(LN(6/10)/(E58-N58),6),"*(EP2",TEXT(FIXED(N58,2),"-#.###,00;+#.###,00;-#.0"),")")</f>
        <v>=10*exp(-0,001166*(EP2-0)</v>
      </c>
      <c r="X58" s="380" t="str">
        <f>_xlfn.CONCAT("=10*exp(",FIXED(LN(6/10)/(F58-O58),6),"*(EP2",TEXT(FIXED(O58,2),"-#.###,00;+#.###,00;-#.0"),")")</f>
        <v>=10*exp(-0,004366*(EP2-0)</v>
      </c>
      <c r="Y58" s="380" t="s">
        <v>1320</v>
      </c>
      <c r="Z58" s="380" t="str">
        <f>_xlfn.CONCAT("=10*exp(",FIXED(LN(6/10)/(H58-Q58),6),"*(EP2",TEXT(FIXED(Q58,2),"-#.###,00;+#.###,00;-#.0"),")")</f>
        <v>=10*exp(-0,000786*(EP2+211,97)</v>
      </c>
      <c r="AA58" s="380" t="str">
        <f>_xlfn.CONCAT("=10*exp(",FIXED(LN(6/10)/(I58-R58),6),"*(EP2",TEXT(FIXED(R58,2),"-#.###,00;+#.###,00;-#.0"),")")</f>
        <v>=10*exp(-0,003398*(EP2+33,35)</v>
      </c>
      <c r="AB58" s="380" t="s">
        <v>1320</v>
      </c>
      <c r="AC58" s="64"/>
      <c r="AD58" s="703"/>
      <c r="AE58" s="223" t="str">
        <f t="shared" ref="AE58:AE69" si="12">C58</f>
        <v>woning</v>
      </c>
      <c r="AF58" s="311">
        <f t="shared" ref="AF58:AF69" si="13">LN(6/10) / (AH58-AI58)</f>
        <v>-3.3975764799866362E-3</v>
      </c>
      <c r="AG58" s="311"/>
      <c r="AH58" s="237">
        <f t="shared" ref="AH58:AH69" si="14">INDEX(Prim_Energie_GPR_Score_6,MATCH($AE58,Gebruiksfuncties,0),MATCH($AE$55,GPR_Versie_En_EP_Methode,0))</f>
        <v>117</v>
      </c>
      <c r="AI58" s="237">
        <f t="shared" ref="AI58:AI69" si="15">INDEX(Prim_Energie_GPR_Score_10,MATCH($AE58,Gebruiksfuncties,0),MATCH($AE$55,GPR_Versie_En_EP_Methode,0))</f>
        <v>-33.35</v>
      </c>
      <c r="AJ58" s="703"/>
      <c r="AK58" s="705" t="str">
        <f>_xlfn.CONCAT(AE58,"  ",AH58,"/",AI58)</f>
        <v>woning  117/-33.35</v>
      </c>
      <c r="AL58" s="705"/>
      <c r="AM58" s="705"/>
      <c r="AN58" s="705"/>
      <c r="AO58" s="705"/>
      <c r="AP58" s="6"/>
      <c r="AQ58" s="6"/>
      <c r="AR58" s="884"/>
      <c r="AS58" s="884"/>
      <c r="AT58" s="884"/>
    </row>
    <row r="59" spans="1:59">
      <c r="B59" s="139" t="s">
        <v>396</v>
      </c>
      <c r="C59" s="304" t="s">
        <v>298</v>
      </c>
      <c r="D59" s="301"/>
      <c r="E59" s="237">
        <v>438</v>
      </c>
      <c r="F59" s="237">
        <v>117</v>
      </c>
      <c r="G59" s="986">
        <v>600</v>
      </c>
      <c r="H59" s="237">
        <v>438</v>
      </c>
      <c r="I59" s="237">
        <v>117</v>
      </c>
      <c r="J59" s="986">
        <v>600</v>
      </c>
      <c r="K59" s="255"/>
      <c r="L59" s="230"/>
      <c r="M59" s="242"/>
      <c r="N59" s="237">
        <v>0</v>
      </c>
      <c r="O59" s="237">
        <v>0</v>
      </c>
      <c r="P59" s="986">
        <v>0</v>
      </c>
      <c r="Q59" s="882">
        <f t="shared" si="11"/>
        <v>-211.96800000000002</v>
      </c>
      <c r="R59" s="237">
        <v>-33.35</v>
      </c>
      <c r="S59" s="986">
        <f t="shared" si="11"/>
        <v>-211.96800000000002</v>
      </c>
      <c r="T59" s="238"/>
      <c r="U59" s="703"/>
      <c r="V59" s="64"/>
      <c r="W59" s="380" t="str">
        <f t="shared" ref="W59:W69" si="16">_xlfn.CONCAT("=10*exp(",FIXED(LN(6/10)/(E59-N59),6),"*(EP2",TEXT(FIXED(N59,2),"-#.###,00;+#.###,00;-#.0"),")")</f>
        <v>=10*exp(-0,001166*(EP2-0)</v>
      </c>
      <c r="X59" s="380" t="str">
        <f t="shared" ref="X59:X69" si="17">_xlfn.CONCAT("=10*exp(",FIXED(LN(6/10)/(F59-O59),6),"*(EP2",TEXT(FIXED(O59,2),"-#.###,00;+#.###,00;-#.0"),")")</f>
        <v>=10*exp(-0,004366*(EP2-0)</v>
      </c>
      <c r="Y59" s="380" t="s">
        <v>1320</v>
      </c>
      <c r="Z59" s="380" t="str">
        <f t="shared" ref="Z59:Z69" si="18">_xlfn.CONCAT("=10*exp(",FIXED(LN(6/10)/(H59-Q59),6),"*(EP2",TEXT(FIXED(Q59,2),"-#.###,00;+#.###,00;-#.0"),")")</f>
        <v>=10*exp(-0,000786*(EP2+211,97)</v>
      </c>
      <c r="AA59" s="380" t="str">
        <f t="shared" ref="AA59:AA69" si="19">_xlfn.CONCAT("=10*exp(",FIXED(LN(6/10)/(I59-R59),6),"*(EP2",TEXT(FIXED(R59,2),"-#.###,00;+#.###,00;-#.0"),")")</f>
        <v>=10*exp(-0,003398*(EP2+33,35)</v>
      </c>
      <c r="AB59" s="380" t="s">
        <v>1320</v>
      </c>
      <c r="AC59" s="64"/>
      <c r="AD59" s="703"/>
      <c r="AE59" s="1101" t="str">
        <f t="shared" si="12"/>
        <v>woongebouw</v>
      </c>
      <c r="AF59" s="311">
        <f t="shared" si="13"/>
        <v>-3.3975764799866362E-3</v>
      </c>
      <c r="AG59" s="311"/>
      <c r="AH59" s="237">
        <f t="shared" si="14"/>
        <v>117</v>
      </c>
      <c r="AI59" s="237">
        <f t="shared" si="15"/>
        <v>-33.35</v>
      </c>
      <c r="AJ59" s="703"/>
      <c r="AK59" s="705" t="str">
        <f t="shared" ref="AK59:AK69" si="20">_xlfn.CONCAT(AE59,"  ",AH59,"/",AI59)</f>
        <v>woongebouw  117/-33.35</v>
      </c>
      <c r="AL59" s="705"/>
      <c r="AM59" s="705"/>
      <c r="AN59" s="705"/>
      <c r="AO59" s="705"/>
      <c r="AP59" s="6"/>
      <c r="AQ59" s="6"/>
      <c r="AR59" s="884"/>
      <c r="AS59" s="884"/>
      <c r="AT59" s="884"/>
    </row>
    <row r="60" spans="1:59" s="8" customFormat="1">
      <c r="A60" s="18"/>
      <c r="B60" s="21"/>
      <c r="C60" s="304" t="s">
        <v>303</v>
      </c>
      <c r="D60" s="301"/>
      <c r="E60" s="237">
        <v>656</v>
      </c>
      <c r="F60" s="237">
        <v>180</v>
      </c>
      <c r="G60" s="237">
        <v>665</v>
      </c>
      <c r="H60" s="237">
        <v>656</v>
      </c>
      <c r="I60" s="237">
        <v>180</v>
      </c>
      <c r="J60" s="237">
        <v>665</v>
      </c>
      <c r="K60" s="255"/>
      <c r="L60" s="230"/>
      <c r="M60" s="242"/>
      <c r="N60" s="237">
        <v>0</v>
      </c>
      <c r="O60" s="237">
        <v>0</v>
      </c>
      <c r="P60" s="237">
        <v>0</v>
      </c>
      <c r="Q60" s="882">
        <f t="shared" si="11"/>
        <v>-317.79310344827587</v>
      </c>
      <c r="R60" s="237">
        <v>-50</v>
      </c>
      <c r="S60" s="882">
        <f t="shared" si="11"/>
        <v>-317.79310344827587</v>
      </c>
      <c r="T60" s="238"/>
      <c r="U60" s="703"/>
      <c r="V60" s="64"/>
      <c r="W60" s="380" t="str">
        <f t="shared" si="16"/>
        <v>=10*exp(-0,000779*(EP2-0)</v>
      </c>
      <c r="X60" s="380" t="str">
        <f t="shared" si="17"/>
        <v>=10*exp(-0,002838*(EP2-0)</v>
      </c>
      <c r="Y60" s="380" t="str">
        <f t="shared" ref="Y60:Y69" si="21">_xlfn.CONCAT("=10*exp(",FIXED(LN(6/10)/(G60-P60),6),"*(EP2",TEXT(FIXED(P60,2),"-#.###,00;+#.###,00;-#.0"),")")</f>
        <v>=10*exp(-0,000768*(EP2-0)</v>
      </c>
      <c r="Z60" s="380" t="str">
        <f t="shared" si="18"/>
        <v>=10*exp(-0,000525*(EP2+317,79)</v>
      </c>
      <c r="AA60" s="380" t="str">
        <f t="shared" si="19"/>
        <v>=10*exp(-0,002221*(EP2+50,00)</v>
      </c>
      <c r="AB60" s="380" t="str">
        <f t="shared" ref="AB60:AB69" si="22">_xlfn.CONCAT("=10*exp(",FIXED(LN(6/10)/(J60-S60),6),"*(EP2",TEXT(FIXED(S60,2),"-#.###,00;+#.###,00;-#.0"),")")</f>
        <v>=10*exp(-0,000520*(EP2+317,79)</v>
      </c>
      <c r="AC60" s="64"/>
      <c r="AD60" s="703"/>
      <c r="AE60" s="1101" t="str">
        <f t="shared" si="12"/>
        <v>kantoor</v>
      </c>
      <c r="AF60" s="311">
        <f t="shared" si="13"/>
        <v>-2.2209809728956117E-3</v>
      </c>
      <c r="AG60" s="311"/>
      <c r="AH60" s="237">
        <f t="shared" si="14"/>
        <v>180</v>
      </c>
      <c r="AI60" s="237">
        <f t="shared" si="15"/>
        <v>-50</v>
      </c>
      <c r="AJ60" s="703"/>
      <c r="AK60" s="705" t="str">
        <f t="shared" si="20"/>
        <v>kantoor  180/-50</v>
      </c>
      <c r="AL60" s="705"/>
      <c r="AM60" s="705"/>
      <c r="AN60" s="705"/>
      <c r="AO60" s="705"/>
      <c r="AP60" s="6"/>
      <c r="AQ60" s="6"/>
      <c r="AR60" s="2"/>
      <c r="AS60" s="2"/>
      <c r="AT60" s="2"/>
      <c r="AU60" s="2"/>
      <c r="AV60" s="2"/>
      <c r="AW60" s="2"/>
      <c r="AX60" s="2"/>
      <c r="AY60" s="2"/>
      <c r="AZ60" s="2"/>
      <c r="BA60" s="2"/>
      <c r="BB60" s="2"/>
      <c r="BC60" s="2"/>
      <c r="BD60" s="2"/>
      <c r="BE60" s="2"/>
      <c r="BF60" s="2"/>
      <c r="BG60" s="2"/>
    </row>
    <row r="61" spans="1:59" s="8" customFormat="1">
      <c r="A61" s="18"/>
      <c r="B61" s="139" t="s">
        <v>396</v>
      </c>
      <c r="C61" s="304" t="s">
        <v>299</v>
      </c>
      <c r="D61" s="301"/>
      <c r="E61" s="237">
        <v>839</v>
      </c>
      <c r="F61" s="237">
        <v>229.99999999999997</v>
      </c>
      <c r="G61" s="237">
        <v>1154</v>
      </c>
      <c r="H61" s="237">
        <v>839</v>
      </c>
      <c r="I61" s="237">
        <v>229.99999999999997</v>
      </c>
      <c r="J61" s="237">
        <v>1154</v>
      </c>
      <c r="K61" s="255"/>
      <c r="L61" s="230"/>
      <c r="M61" s="242"/>
      <c r="N61" s="237">
        <v>0</v>
      </c>
      <c r="O61" s="237">
        <v>0</v>
      </c>
      <c r="P61" s="237">
        <v>0</v>
      </c>
      <c r="Q61" s="882">
        <f t="shared" si="11"/>
        <v>-95.337931034482764</v>
      </c>
      <c r="R61" s="237">
        <v>-15</v>
      </c>
      <c r="S61" s="882">
        <f t="shared" si="11"/>
        <v>-95.337931034482764</v>
      </c>
      <c r="T61" s="238"/>
      <c r="U61" s="703"/>
      <c r="V61" s="64"/>
      <c r="W61" s="380" t="str">
        <f t="shared" si="16"/>
        <v>=10*exp(-0,000609*(EP2-0)</v>
      </c>
      <c r="X61" s="380" t="str">
        <f t="shared" si="17"/>
        <v>=10*exp(-0,002221*(EP2-0)</v>
      </c>
      <c r="Y61" s="380" t="str">
        <f t="shared" si="21"/>
        <v>=10*exp(-0,000443*(EP2-0)</v>
      </c>
      <c r="Z61" s="380" t="str">
        <f t="shared" si="18"/>
        <v>=10*exp(-0,000547*(EP2+95,34)</v>
      </c>
      <c r="AA61" s="380" t="str">
        <f t="shared" si="19"/>
        <v>=10*exp(-0,002085*(EP2+15,00)</v>
      </c>
      <c r="AB61" s="380" t="str">
        <f t="shared" si="22"/>
        <v>=10*exp(-0,000409*(EP2+95,34)</v>
      </c>
      <c r="AC61" s="64"/>
      <c r="AD61" s="703"/>
      <c r="AE61" s="1101" t="str">
        <f t="shared" si="12"/>
        <v>bijeenkomst overig</v>
      </c>
      <c r="AF61" s="311">
        <f t="shared" si="13"/>
        <v>-2.0850025459836358E-3</v>
      </c>
      <c r="AG61" s="311"/>
      <c r="AH61" s="237">
        <f t="shared" si="14"/>
        <v>229.99999999999997</v>
      </c>
      <c r="AI61" s="237">
        <f t="shared" si="15"/>
        <v>-15</v>
      </c>
      <c r="AJ61" s="703"/>
      <c r="AK61" s="705" t="str">
        <f t="shared" si="20"/>
        <v>bijeenkomst overig  230/-15</v>
      </c>
      <c r="AL61" s="705"/>
      <c r="AM61" s="705"/>
      <c r="AN61" s="705"/>
      <c r="AO61" s="705"/>
      <c r="AP61" s="6"/>
      <c r="AQ61" s="6"/>
      <c r="AR61" s="2"/>
      <c r="AS61" s="2"/>
      <c r="AT61" s="2"/>
      <c r="AU61" s="2"/>
      <c r="AV61" s="2"/>
      <c r="AW61" s="2"/>
      <c r="AX61" s="2"/>
      <c r="AY61" s="2"/>
      <c r="AZ61" s="2"/>
      <c r="BA61" s="2"/>
      <c r="BB61" s="2"/>
      <c r="BC61" s="2"/>
      <c r="BD61" s="2"/>
      <c r="BE61" s="2"/>
      <c r="BF61" s="2"/>
      <c r="BG61" s="2"/>
    </row>
    <row r="62" spans="1:59">
      <c r="B62" s="21"/>
      <c r="C62" s="304" t="s">
        <v>422</v>
      </c>
      <c r="D62" s="301"/>
      <c r="E62" s="237">
        <v>668</v>
      </c>
      <c r="F62" s="237">
        <v>265</v>
      </c>
      <c r="G62" s="237">
        <v>1056</v>
      </c>
      <c r="H62" s="237">
        <v>668</v>
      </c>
      <c r="I62" s="237">
        <v>265</v>
      </c>
      <c r="J62" s="237">
        <v>1056</v>
      </c>
      <c r="K62" s="255"/>
      <c r="L62" s="230"/>
      <c r="M62" s="242"/>
      <c r="N62" s="237">
        <v>0</v>
      </c>
      <c r="O62" s="237">
        <v>0</v>
      </c>
      <c r="P62" s="237">
        <v>0</v>
      </c>
      <c r="Q62" s="882">
        <f t="shared" si="11"/>
        <v>-95.337931034482764</v>
      </c>
      <c r="R62" s="237">
        <v>-15</v>
      </c>
      <c r="S62" s="882">
        <f t="shared" si="11"/>
        <v>-95.337931034482764</v>
      </c>
      <c r="T62" s="238"/>
      <c r="U62" s="703"/>
      <c r="V62" s="64"/>
      <c r="W62" s="380" t="str">
        <f t="shared" si="16"/>
        <v>=10*exp(-0,000765*(EP2-0)</v>
      </c>
      <c r="X62" s="380" t="str">
        <f t="shared" si="17"/>
        <v>=10*exp(-0,001928*(EP2-0)</v>
      </c>
      <c r="Y62" s="380" t="str">
        <f t="shared" si="21"/>
        <v>=10*exp(-0,000484*(EP2-0)</v>
      </c>
      <c r="Z62" s="380" t="str">
        <f t="shared" si="18"/>
        <v>=10*exp(-0,000669*(EP2+95,34)</v>
      </c>
      <c r="AA62" s="380" t="str">
        <f t="shared" si="19"/>
        <v>=10*exp(-0,001824*(EP2+15,00)</v>
      </c>
      <c r="AB62" s="380" t="str">
        <f t="shared" si="22"/>
        <v>=10*exp(-0,000444*(EP2+95,34)</v>
      </c>
      <c r="AC62" s="64"/>
      <c r="AD62" s="703"/>
      <c r="AE62" s="223" t="str">
        <f t="shared" si="12"/>
        <v>bijeenkomst kinderdagverblijf</v>
      </c>
      <c r="AF62" s="311">
        <f t="shared" si="13"/>
        <v>-1.8243772277356811E-3</v>
      </c>
      <c r="AG62" s="311"/>
      <c r="AH62" s="237">
        <f t="shared" si="14"/>
        <v>265</v>
      </c>
      <c r="AI62" s="237">
        <f t="shared" si="15"/>
        <v>-15</v>
      </c>
      <c r="AJ62" s="703"/>
      <c r="AK62" s="705" t="str">
        <f t="shared" si="20"/>
        <v>bijeenkomst kinderdagverblijf  265/-15</v>
      </c>
      <c r="AL62" s="705"/>
      <c r="AM62" s="705"/>
      <c r="AN62" s="705"/>
      <c r="AO62" s="705"/>
      <c r="AP62" s="6"/>
      <c r="AQ62" s="6"/>
      <c r="AR62" s="18"/>
      <c r="AS62" s="18"/>
      <c r="AT62" s="18"/>
      <c r="AU62" s="18"/>
      <c r="AV62" s="18"/>
      <c r="AW62" s="18"/>
      <c r="AX62" s="18"/>
      <c r="AY62" s="18"/>
      <c r="AZ62" s="18"/>
      <c r="BA62" s="18"/>
      <c r="BB62" s="18"/>
      <c r="BC62" s="18"/>
      <c r="BD62" s="18"/>
      <c r="BE62" s="18"/>
      <c r="BF62" s="18"/>
      <c r="BG62" s="18"/>
    </row>
    <row r="63" spans="1:59">
      <c r="B63" s="21"/>
      <c r="C63" s="304" t="s">
        <v>305</v>
      </c>
      <c r="D63" s="301"/>
      <c r="E63" s="237">
        <v>856</v>
      </c>
      <c r="F63" s="237">
        <v>235</v>
      </c>
      <c r="G63" s="237">
        <v>843</v>
      </c>
      <c r="H63" s="237">
        <v>856</v>
      </c>
      <c r="I63" s="237">
        <v>235</v>
      </c>
      <c r="J63" s="237">
        <v>843</v>
      </c>
      <c r="K63" s="255"/>
      <c r="L63" s="230"/>
      <c r="M63" s="242"/>
      <c r="N63" s="237">
        <v>0</v>
      </c>
      <c r="O63" s="237">
        <v>0</v>
      </c>
      <c r="P63" s="237">
        <v>0</v>
      </c>
      <c r="Q63" s="882">
        <f t="shared" si="11"/>
        <v>-158.89655172413794</v>
      </c>
      <c r="R63" s="237">
        <v>-25</v>
      </c>
      <c r="S63" s="882">
        <f t="shared" si="11"/>
        <v>-158.89655172413794</v>
      </c>
      <c r="T63" s="238"/>
      <c r="U63" s="703"/>
      <c r="V63" s="64"/>
      <c r="W63" s="380" t="str">
        <f t="shared" si="16"/>
        <v>=10*exp(-0,000597*(EP2-0)</v>
      </c>
      <c r="X63" s="380" t="str">
        <f t="shared" si="17"/>
        <v>=10*exp(-0,002174*(EP2-0)</v>
      </c>
      <c r="Y63" s="380" t="str">
        <f t="shared" si="21"/>
        <v>=10*exp(-0,000606*(EP2-0)</v>
      </c>
      <c r="Z63" s="380" t="str">
        <f t="shared" si="18"/>
        <v>=10*exp(-0,000503*(EP2+158,90)</v>
      </c>
      <c r="AA63" s="380" t="str">
        <f t="shared" si="19"/>
        <v>=10*exp(-0,001965*(EP2+25,00)</v>
      </c>
      <c r="AB63" s="380" t="str">
        <f t="shared" si="22"/>
        <v>=10*exp(-0,000510*(EP2+158,90)</v>
      </c>
      <c r="AC63" s="64"/>
      <c r="AD63" s="703"/>
      <c r="AE63" s="1101" t="str">
        <f t="shared" si="12"/>
        <v>onderwijs</v>
      </c>
      <c r="AF63" s="311">
        <f t="shared" si="13"/>
        <v>-1.9647139375615027E-3</v>
      </c>
      <c r="AG63" s="311"/>
      <c r="AH63" s="237">
        <f t="shared" si="14"/>
        <v>235</v>
      </c>
      <c r="AI63" s="237">
        <f t="shared" si="15"/>
        <v>-25</v>
      </c>
      <c r="AJ63" s="703"/>
      <c r="AK63" s="705" t="str">
        <f t="shared" si="20"/>
        <v>onderwijs  235/-25</v>
      </c>
      <c r="AL63" s="703"/>
      <c r="AM63" s="703"/>
      <c r="AN63" s="703"/>
      <c r="AO63" s="703"/>
    </row>
    <row r="64" spans="1:59">
      <c r="B64" s="21"/>
      <c r="C64" s="304" t="s">
        <v>302</v>
      </c>
      <c r="D64" s="301"/>
      <c r="E64" s="237">
        <v>612</v>
      </c>
      <c r="F64" s="237">
        <v>210</v>
      </c>
      <c r="G64" s="237">
        <v>745</v>
      </c>
      <c r="H64" s="237">
        <v>612</v>
      </c>
      <c r="I64" s="237">
        <v>210</v>
      </c>
      <c r="J64" s="237">
        <v>745</v>
      </c>
      <c r="K64" s="255"/>
      <c r="L64" s="230"/>
      <c r="M64" s="242"/>
      <c r="N64" s="237">
        <v>0</v>
      </c>
      <c r="O64" s="237">
        <v>0</v>
      </c>
      <c r="P64" s="237">
        <v>0</v>
      </c>
      <c r="Q64" s="882">
        <f t="shared" si="11"/>
        <v>-254.23448275862074</v>
      </c>
      <c r="R64" s="237">
        <v>-40</v>
      </c>
      <c r="S64" s="882">
        <f t="shared" si="11"/>
        <v>-254.23448275862074</v>
      </c>
      <c r="T64" s="238"/>
      <c r="U64" s="703"/>
      <c r="V64" s="64"/>
      <c r="W64" s="380" t="str">
        <f t="shared" si="16"/>
        <v>=10*exp(-0,000835*(EP2-0)</v>
      </c>
      <c r="X64" s="380" t="str">
        <f t="shared" si="17"/>
        <v>=10*exp(-0,002433*(EP2-0)</v>
      </c>
      <c r="Y64" s="380" t="str">
        <f t="shared" si="21"/>
        <v>=10*exp(-0,000686*(EP2-0)</v>
      </c>
      <c r="Z64" s="380" t="str">
        <f t="shared" si="18"/>
        <v>=10*exp(-0,000590*(EP2+254,23)</v>
      </c>
      <c r="AA64" s="380" t="str">
        <f t="shared" si="19"/>
        <v>=10*exp(-0,002043*(EP2+40,00)</v>
      </c>
      <c r="AB64" s="380" t="str">
        <f t="shared" si="22"/>
        <v>=10*exp(-0,000511*(EP2+254,23)</v>
      </c>
      <c r="AC64" s="64"/>
      <c r="AD64" s="703"/>
      <c r="AE64" s="223" t="str">
        <f t="shared" si="12"/>
        <v>gezondheid overig</v>
      </c>
      <c r="AF64" s="311">
        <f t="shared" si="13"/>
        <v>-2.0433024950639628E-3</v>
      </c>
      <c r="AG64" s="311"/>
      <c r="AH64" s="237">
        <f t="shared" si="14"/>
        <v>210</v>
      </c>
      <c r="AI64" s="237">
        <f t="shared" si="15"/>
        <v>-40</v>
      </c>
      <c r="AJ64" s="703"/>
      <c r="AK64" s="705" t="str">
        <f t="shared" si="20"/>
        <v>gezondheid overig  210/-40</v>
      </c>
      <c r="AL64" s="703"/>
      <c r="AM64" s="703"/>
      <c r="AN64" s="703"/>
      <c r="AO64" s="703"/>
    </row>
    <row r="65" spans="1:59">
      <c r="B65" s="21"/>
      <c r="C65" s="304" t="s">
        <v>423</v>
      </c>
      <c r="D65" s="301"/>
      <c r="E65" s="237">
        <v>1753</v>
      </c>
      <c r="F65" s="237">
        <v>429.99999999999994</v>
      </c>
      <c r="G65" s="237">
        <v>1476</v>
      </c>
      <c r="H65" s="237">
        <v>1753</v>
      </c>
      <c r="I65" s="237">
        <v>429.99999999999994</v>
      </c>
      <c r="J65" s="237">
        <v>1476</v>
      </c>
      <c r="K65" s="255"/>
      <c r="L65" s="230"/>
      <c r="M65" s="242"/>
      <c r="N65" s="237">
        <v>0</v>
      </c>
      <c r="O65" s="237">
        <v>0</v>
      </c>
      <c r="P65" s="237">
        <v>0</v>
      </c>
      <c r="Q65" s="882">
        <f t="shared" si="11"/>
        <v>-317.79310344827587</v>
      </c>
      <c r="R65" s="237">
        <v>-50</v>
      </c>
      <c r="S65" s="882">
        <f t="shared" si="11"/>
        <v>-317.79310344827587</v>
      </c>
      <c r="T65" s="238"/>
      <c r="U65" s="703"/>
      <c r="V65" s="64"/>
      <c r="W65" s="380" t="str">
        <f t="shared" si="16"/>
        <v>=10*exp(-0,000291*(EP2-0)</v>
      </c>
      <c r="X65" s="380" t="str">
        <f t="shared" si="17"/>
        <v>=10*exp(-0,001188*(EP2-0)</v>
      </c>
      <c r="Y65" s="380" t="str">
        <f t="shared" si="21"/>
        <v>=10*exp(-0,000346*(EP2-0)</v>
      </c>
      <c r="Z65" s="380" t="str">
        <f t="shared" si="18"/>
        <v>=10*exp(-0,000247*(EP2+317,79)</v>
      </c>
      <c r="AA65" s="380" t="str">
        <f t="shared" si="19"/>
        <v>=10*exp(-0,001064*(EP2+50,00)</v>
      </c>
      <c r="AB65" s="380" t="str">
        <f t="shared" si="22"/>
        <v>=10*exp(-0,000285*(EP2+317,79)</v>
      </c>
      <c r="AC65" s="64"/>
      <c r="AD65" s="703"/>
      <c r="AE65" s="223" t="str">
        <f t="shared" si="12"/>
        <v>gezondheid bedgebied</v>
      </c>
      <c r="AF65" s="311">
        <f t="shared" si="13"/>
        <v>-1.0642200495124808E-3</v>
      </c>
      <c r="AG65" s="311"/>
      <c r="AH65" s="237">
        <f t="shared" si="14"/>
        <v>429.99999999999994</v>
      </c>
      <c r="AI65" s="237">
        <f t="shared" si="15"/>
        <v>-50</v>
      </c>
      <c r="AJ65" s="703"/>
      <c r="AK65" s="705" t="str">
        <f t="shared" si="20"/>
        <v>gezondheid bedgebied  430/-50</v>
      </c>
      <c r="AL65" s="703"/>
      <c r="AM65" s="703"/>
      <c r="AN65" s="703"/>
      <c r="AO65" s="703"/>
    </row>
    <row r="66" spans="1:59">
      <c r="B66" s="21"/>
      <c r="C66" s="304" t="s">
        <v>307</v>
      </c>
      <c r="D66" s="301"/>
      <c r="E66" s="237">
        <v>1338</v>
      </c>
      <c r="F66" s="237">
        <v>285</v>
      </c>
      <c r="G66" s="237">
        <v>1498</v>
      </c>
      <c r="H66" s="237">
        <v>1338</v>
      </c>
      <c r="I66" s="237">
        <v>285</v>
      </c>
      <c r="J66" s="237">
        <v>1498</v>
      </c>
      <c r="K66" s="255"/>
      <c r="L66" s="230"/>
      <c r="M66" s="242"/>
      <c r="N66" s="237">
        <v>0</v>
      </c>
      <c r="O66" s="237">
        <v>0</v>
      </c>
      <c r="P66" s="237">
        <v>0</v>
      </c>
      <c r="Q66" s="882">
        <f t="shared" si="11"/>
        <v>-254.23448275862074</v>
      </c>
      <c r="R66" s="237">
        <v>-40</v>
      </c>
      <c r="S66" s="882">
        <f t="shared" si="11"/>
        <v>-254.23448275862074</v>
      </c>
      <c r="T66" s="238"/>
      <c r="U66" s="703"/>
      <c r="V66" s="64"/>
      <c r="W66" s="380" t="str">
        <f t="shared" si="16"/>
        <v>=10*exp(-0,000382*(EP2-0)</v>
      </c>
      <c r="X66" s="380" t="str">
        <f t="shared" si="17"/>
        <v>=10*exp(-0,001792*(EP2-0)</v>
      </c>
      <c r="Y66" s="380" t="str">
        <f t="shared" si="21"/>
        <v>=10*exp(-0,000341*(EP2-0)</v>
      </c>
      <c r="Z66" s="380" t="str">
        <f t="shared" si="18"/>
        <v>=10*exp(-0,000321*(EP2+254,23)</v>
      </c>
      <c r="AA66" s="380" t="str">
        <f t="shared" si="19"/>
        <v>=10*exp(-0,001572*(EP2+40,00)</v>
      </c>
      <c r="AB66" s="380" t="str">
        <f t="shared" si="22"/>
        <v>=10*exp(-0,000292*(EP2+254,23)</v>
      </c>
      <c r="AC66" s="64"/>
      <c r="AD66" s="703"/>
      <c r="AE66" s="1101" t="str">
        <f t="shared" si="12"/>
        <v>winkel</v>
      </c>
      <c r="AF66" s="311">
        <f t="shared" si="13"/>
        <v>-1.5717711500492022E-3</v>
      </c>
      <c r="AG66" s="311"/>
      <c r="AH66" s="237">
        <f t="shared" si="14"/>
        <v>285</v>
      </c>
      <c r="AI66" s="237">
        <f t="shared" si="15"/>
        <v>-40</v>
      </c>
      <c r="AJ66" s="703"/>
      <c r="AK66" s="705" t="str">
        <f t="shared" si="20"/>
        <v>winkel  285/-40</v>
      </c>
      <c r="AL66" s="703"/>
      <c r="AM66" s="703"/>
      <c r="AN66" s="703"/>
      <c r="AO66" s="703"/>
    </row>
    <row r="67" spans="1:59">
      <c r="B67" s="21"/>
      <c r="C67" s="304" t="s">
        <v>306</v>
      </c>
      <c r="D67" s="301"/>
      <c r="E67" s="237">
        <v>644</v>
      </c>
      <c r="F67" s="237">
        <v>155</v>
      </c>
      <c r="G67" s="237">
        <v>755</v>
      </c>
      <c r="H67" s="237">
        <v>644</v>
      </c>
      <c r="I67" s="237">
        <v>155</v>
      </c>
      <c r="J67" s="237">
        <v>755</v>
      </c>
      <c r="K67" s="255"/>
      <c r="L67" s="230"/>
      <c r="M67" s="242"/>
      <c r="N67" s="237">
        <v>0</v>
      </c>
      <c r="O67" s="237">
        <v>0</v>
      </c>
      <c r="P67" s="237">
        <v>0</v>
      </c>
      <c r="Q67" s="882">
        <f t="shared" si="11"/>
        <v>-95.337931034482764</v>
      </c>
      <c r="R67" s="237">
        <v>-15</v>
      </c>
      <c r="S67" s="882">
        <f t="shared" si="11"/>
        <v>-95.337931034482764</v>
      </c>
      <c r="T67" s="238"/>
      <c r="U67" s="703"/>
      <c r="V67" s="64"/>
      <c r="W67" s="380" t="str">
        <f t="shared" si="16"/>
        <v>=10*exp(-0,000793*(EP2-0)</v>
      </c>
      <c r="X67" s="380" t="str">
        <f t="shared" si="17"/>
        <v>=10*exp(-0,003296*(EP2-0)</v>
      </c>
      <c r="Y67" s="380" t="str">
        <f t="shared" si="21"/>
        <v>=10*exp(-0,000677*(EP2-0)</v>
      </c>
      <c r="Z67" s="380" t="str">
        <f t="shared" si="18"/>
        <v>=10*exp(-0,000691*(EP2+95,34)</v>
      </c>
      <c r="AA67" s="380" t="str">
        <f t="shared" si="19"/>
        <v>=10*exp(-0,003005*(EP2+15,00)</v>
      </c>
      <c r="AB67" s="380" t="str">
        <f t="shared" si="22"/>
        <v>=10*exp(-0,000601*(EP2+95,34)</v>
      </c>
      <c r="AC67" s="64"/>
      <c r="AD67" s="703"/>
      <c r="AE67" s="1101" t="str">
        <f t="shared" si="12"/>
        <v>sport</v>
      </c>
      <c r="AF67" s="311">
        <f t="shared" si="13"/>
        <v>-3.0048566103881807E-3</v>
      </c>
      <c r="AG67" s="311"/>
      <c r="AH67" s="237">
        <f t="shared" si="14"/>
        <v>155</v>
      </c>
      <c r="AI67" s="237">
        <f t="shared" si="15"/>
        <v>-15</v>
      </c>
      <c r="AJ67" s="703"/>
      <c r="AK67" s="705" t="str">
        <f t="shared" si="20"/>
        <v>sport  155/-15</v>
      </c>
      <c r="AL67" s="703"/>
      <c r="AM67" s="703"/>
      <c r="AN67" s="703"/>
      <c r="AO67" s="703"/>
      <c r="AP67" s="703"/>
    </row>
    <row r="68" spans="1:59">
      <c r="B68" s="21"/>
      <c r="C68" s="304" t="s">
        <v>424</v>
      </c>
      <c r="D68" s="301"/>
      <c r="E68" s="237">
        <v>712</v>
      </c>
      <c r="F68" s="237">
        <v>230</v>
      </c>
      <c r="G68" s="237">
        <v>885</v>
      </c>
      <c r="H68" s="237">
        <v>712</v>
      </c>
      <c r="I68" s="237">
        <v>230</v>
      </c>
      <c r="J68" s="237">
        <v>885</v>
      </c>
      <c r="K68" s="255"/>
      <c r="L68" s="230"/>
      <c r="M68" s="242"/>
      <c r="N68" s="237">
        <v>0</v>
      </c>
      <c r="O68" s="237">
        <v>0</v>
      </c>
      <c r="P68" s="237">
        <v>0</v>
      </c>
      <c r="Q68" s="882">
        <f t="shared" si="11"/>
        <v>-158.89655172413794</v>
      </c>
      <c r="R68" s="237">
        <v>-25</v>
      </c>
      <c r="S68" s="882">
        <f t="shared" si="11"/>
        <v>-158.89655172413794</v>
      </c>
      <c r="T68" s="238"/>
      <c r="U68" s="703"/>
      <c r="V68" s="64"/>
      <c r="W68" s="380" t="str">
        <f t="shared" si="16"/>
        <v>=10*exp(-0,000717*(EP2-0)</v>
      </c>
      <c r="X68" s="380" t="str">
        <f t="shared" si="17"/>
        <v>=10*exp(-0,002221*(EP2-0)</v>
      </c>
      <c r="Y68" s="380" t="str">
        <f t="shared" si="21"/>
        <v>=10*exp(-0,000577*(EP2-0)</v>
      </c>
      <c r="Z68" s="380" t="str">
        <f t="shared" si="18"/>
        <v>=10*exp(-0,000587*(EP2+158,90)</v>
      </c>
      <c r="AA68" s="380" t="str">
        <f t="shared" si="19"/>
        <v>=10*exp(-0,002003*(EP2+25,00)</v>
      </c>
      <c r="AB68" s="380" t="str">
        <f t="shared" si="22"/>
        <v>=10*exp(-0,000489*(EP2+158,90)</v>
      </c>
      <c r="AC68" s="64"/>
      <c r="AD68" s="703"/>
      <c r="AE68" s="1101" t="str">
        <f t="shared" si="12"/>
        <v>logies in logiesgebouw</v>
      </c>
      <c r="AF68" s="311">
        <f t="shared" si="13"/>
        <v>-2.0032377402587872E-3</v>
      </c>
      <c r="AG68" s="311"/>
      <c r="AH68" s="237">
        <f t="shared" si="14"/>
        <v>230</v>
      </c>
      <c r="AI68" s="237">
        <f t="shared" si="15"/>
        <v>-25</v>
      </c>
      <c r="AJ68" s="703"/>
      <c r="AK68" s="705" t="str">
        <f t="shared" si="20"/>
        <v>logies in logiesgebouw  230/-25</v>
      </c>
      <c r="AL68" s="703"/>
      <c r="AM68" s="703"/>
      <c r="AN68" s="703"/>
      <c r="AO68" s="703"/>
      <c r="AP68" s="703"/>
    </row>
    <row r="69" spans="1:59">
      <c r="B69" s="139" t="s">
        <v>396</v>
      </c>
      <c r="C69" s="306" t="s">
        <v>425</v>
      </c>
      <c r="D69" s="302"/>
      <c r="E69" s="239">
        <v>775</v>
      </c>
      <c r="F69" s="239">
        <v>300</v>
      </c>
      <c r="G69" s="239">
        <v>926</v>
      </c>
      <c r="H69" s="239">
        <v>775</v>
      </c>
      <c r="I69" s="239">
        <v>300</v>
      </c>
      <c r="J69" s="239">
        <v>926</v>
      </c>
      <c r="K69" s="257"/>
      <c r="L69" s="230"/>
      <c r="M69" s="243"/>
      <c r="N69" s="239">
        <v>0</v>
      </c>
      <c r="O69" s="239">
        <v>0</v>
      </c>
      <c r="P69" s="239">
        <v>0</v>
      </c>
      <c r="Q69" s="883">
        <f t="shared" si="11"/>
        <v>-158.89655172413794</v>
      </c>
      <c r="R69" s="239">
        <v>-25</v>
      </c>
      <c r="S69" s="883">
        <f t="shared" si="11"/>
        <v>-158.89655172413794</v>
      </c>
      <c r="T69" s="240"/>
      <c r="U69" s="703"/>
      <c r="V69" s="64"/>
      <c r="W69" s="380" t="str">
        <f t="shared" si="16"/>
        <v>=10*exp(-0,000659*(EP2-0)</v>
      </c>
      <c r="X69" s="380" t="str">
        <f t="shared" si="17"/>
        <v>=10*exp(-0,001703*(EP2-0)</v>
      </c>
      <c r="Y69" s="380" t="str">
        <f t="shared" si="21"/>
        <v>=10*exp(-0,000552*(EP2-0)</v>
      </c>
      <c r="Z69" s="380" t="str">
        <f t="shared" si="18"/>
        <v>=10*exp(-0,000547*(EP2+158,90)</v>
      </c>
      <c r="AA69" s="380" t="str">
        <f t="shared" si="19"/>
        <v>=10*exp(-0,001572*(EP2+25,00)</v>
      </c>
      <c r="AB69" s="380" t="str">
        <f t="shared" si="22"/>
        <v>=10*exp(-0,000471*(EP2+158,90)</v>
      </c>
      <c r="AC69" s="64"/>
      <c r="AD69" s="703"/>
      <c r="AE69" s="223" t="str">
        <f t="shared" si="12"/>
        <v>cel</v>
      </c>
      <c r="AF69" s="311">
        <f t="shared" si="13"/>
        <v>-1.5717711500492022E-3</v>
      </c>
      <c r="AG69" s="311"/>
      <c r="AH69" s="237">
        <f t="shared" si="14"/>
        <v>300</v>
      </c>
      <c r="AI69" s="237">
        <f t="shared" si="15"/>
        <v>-25</v>
      </c>
      <c r="AJ69" s="703"/>
      <c r="AK69" s="705" t="str">
        <f t="shared" si="20"/>
        <v>cel  300/-25</v>
      </c>
      <c r="AL69" s="703"/>
      <c r="AM69" s="703"/>
      <c r="AN69" s="703"/>
      <c r="AO69" s="703"/>
      <c r="AP69" s="703"/>
    </row>
    <row r="70" spans="1:59">
      <c r="B70" s="21"/>
      <c r="C70" s="18"/>
      <c r="D70" s="18"/>
      <c r="E70" s="8"/>
      <c r="F70" s="215"/>
      <c r="G70" s="215"/>
      <c r="H70" s="215"/>
      <c r="I70" s="215"/>
      <c r="J70" s="215"/>
      <c r="K70" s="18"/>
      <c r="M70" s="18"/>
      <c r="N70" s="8"/>
      <c r="O70" s="8"/>
      <c r="P70" s="8"/>
      <c r="Q70" s="8"/>
      <c r="R70" s="8"/>
      <c r="S70" s="8"/>
      <c r="T70" s="8"/>
      <c r="U70" s="8"/>
      <c r="V70" s="18"/>
      <c r="W70" s="8"/>
      <c r="X70" s="8"/>
      <c r="Y70" s="8"/>
      <c r="Z70" s="8"/>
      <c r="AA70" s="8"/>
      <c r="AB70" s="8"/>
      <c r="AC70" s="8"/>
      <c r="AD70" s="8"/>
      <c r="AE70" s="8"/>
      <c r="AF70" s="8"/>
      <c r="AG70" s="8"/>
      <c r="AH70" s="8"/>
      <c r="AI70" s="8"/>
      <c r="AJ70" s="8"/>
      <c r="AK70" s="8"/>
      <c r="AL70" s="8"/>
      <c r="AM70" s="8"/>
      <c r="AN70" s="8"/>
      <c r="AO70" s="8"/>
      <c r="AP70" s="8"/>
    </row>
    <row r="71" spans="1:59">
      <c r="B71" s="139" t="s">
        <v>396</v>
      </c>
      <c r="C71" s="57" t="s">
        <v>426</v>
      </c>
      <c r="D71" s="105"/>
      <c r="E71" s="232"/>
      <c r="F71" s="232"/>
      <c r="G71" s="877"/>
      <c r="H71" s="232"/>
      <c r="I71" s="232"/>
      <c r="J71" s="877" t="s">
        <v>1377</v>
      </c>
      <c r="K71" s="105"/>
      <c r="M71" s="703"/>
      <c r="N71" s="703"/>
      <c r="O71" s="703"/>
      <c r="P71" s="703"/>
      <c r="Q71" s="703"/>
      <c r="R71" s="703"/>
      <c r="S71" s="703"/>
      <c r="T71" s="703"/>
      <c r="U71" s="703"/>
      <c r="V71" s="703"/>
      <c r="W71" s="703"/>
      <c r="X71" s="703"/>
      <c r="Y71" s="703"/>
      <c r="Z71" s="703"/>
      <c r="AA71" s="703"/>
      <c r="AB71" s="703"/>
      <c r="AC71" s="703"/>
      <c r="AD71" s="8"/>
      <c r="AE71" s="223" t="s">
        <v>8</v>
      </c>
      <c r="AF71" s="489" t="s">
        <v>1684</v>
      </c>
      <c r="AG71" s="223" t="s">
        <v>1682</v>
      </c>
      <c r="AH71" s="224"/>
      <c r="AI71" s="224"/>
      <c r="AJ71" s="8"/>
      <c r="AK71" s="8"/>
      <c r="AL71" s="8"/>
      <c r="AM71" s="8"/>
      <c r="AN71" s="8"/>
      <c r="AO71" s="8"/>
      <c r="AP71" s="8"/>
      <c r="AQ71" s="8"/>
      <c r="AR71" s="8"/>
      <c r="AS71" s="8"/>
      <c r="AT71" s="8"/>
      <c r="AU71" s="8"/>
      <c r="AV71" s="8"/>
      <c r="AW71" s="8"/>
      <c r="AX71" s="8"/>
      <c r="AY71" s="8"/>
      <c r="AZ71" s="8"/>
      <c r="BA71" s="8"/>
      <c r="BB71" s="8"/>
      <c r="BC71" s="8"/>
      <c r="BD71" s="8"/>
      <c r="BE71" s="8"/>
      <c r="BF71" s="8"/>
      <c r="BG71" s="8"/>
    </row>
    <row r="72" spans="1:59">
      <c r="B72" s="21"/>
      <c r="C72" s="64" t="s">
        <v>414</v>
      </c>
      <c r="D72" s="57"/>
      <c r="E72" s="224" t="str">
        <f t="shared" ref="E72:J72" si="23">E$43</f>
        <v>GPR 4.3 | NEN 7120</v>
      </c>
      <c r="F72" s="224" t="str">
        <f t="shared" si="23"/>
        <v>GPR 4.3 | NTA 8800</v>
      </c>
      <c r="G72" s="224" t="str">
        <f t="shared" si="23"/>
        <v>GPR 4.3 | ISSO 75.3</v>
      </c>
      <c r="H72" s="224" t="str">
        <f t="shared" si="23"/>
        <v>GPR 4.4 | NEN 7120</v>
      </c>
      <c r="I72" s="224" t="str">
        <f t="shared" si="23"/>
        <v>GPR 4.4 | NTA 8800</v>
      </c>
      <c r="J72" s="224" t="str">
        <f t="shared" si="23"/>
        <v>GPR 4.4 | ISSO 75.3</v>
      </c>
      <c r="K72" s="64"/>
      <c r="L72" s="230"/>
      <c r="M72" s="703"/>
      <c r="N72" s="703"/>
      <c r="O72" s="703"/>
      <c r="P72" s="703"/>
      <c r="Q72" s="703"/>
      <c r="R72" s="703"/>
      <c r="S72" s="703"/>
      <c r="T72" s="703"/>
      <c r="U72" s="703"/>
      <c r="V72" s="703"/>
      <c r="W72" s="703"/>
      <c r="X72" s="703"/>
      <c r="Y72" s="703"/>
      <c r="Z72" s="703"/>
      <c r="AA72" s="703"/>
      <c r="AB72" s="703"/>
      <c r="AC72" s="703"/>
      <c r="AD72" s="703"/>
      <c r="AE72" s="326" t="s">
        <v>297</v>
      </c>
      <c r="AF72" s="489" t="s">
        <v>1683</v>
      </c>
      <c r="AG72" s="223" t="str">
        <f>_xlfn.CONCAT("Primair energiegebruik")</f>
        <v>Primair energiegebruik</v>
      </c>
      <c r="AH72" s="224"/>
      <c r="AI72" s="224"/>
      <c r="AJ72" s="703"/>
      <c r="AK72" s="703"/>
      <c r="AL72" s="703"/>
      <c r="AM72" s="703"/>
      <c r="AN72" s="703"/>
      <c r="AO72" s="703"/>
      <c r="AP72" s="703"/>
      <c r="AQ72" s="8"/>
      <c r="AR72" s="8"/>
      <c r="AS72" s="8"/>
      <c r="AT72" s="8"/>
      <c r="AU72" s="8"/>
      <c r="AV72" s="8"/>
      <c r="AW72" s="8"/>
      <c r="AX72" s="8"/>
      <c r="AY72" s="8"/>
      <c r="AZ72" s="8"/>
      <c r="BA72" s="8"/>
      <c r="BB72" s="8"/>
      <c r="BC72" s="8"/>
      <c r="BD72" s="8"/>
      <c r="BE72" s="8"/>
      <c r="BF72" s="8"/>
      <c r="BG72" s="8"/>
    </row>
    <row r="73" spans="1:59">
      <c r="B73" s="139" t="s">
        <v>396</v>
      </c>
      <c r="C73" s="105" t="s">
        <v>204</v>
      </c>
      <c r="D73" s="234"/>
      <c r="E73" s="234" t="s">
        <v>427</v>
      </c>
      <c r="F73" s="234" t="s">
        <v>427</v>
      </c>
      <c r="G73" s="234" t="s">
        <v>427</v>
      </c>
      <c r="H73" s="234" t="s">
        <v>427</v>
      </c>
      <c r="I73" s="234" t="s">
        <v>427</v>
      </c>
      <c r="J73" s="234" t="s">
        <v>427</v>
      </c>
      <c r="K73" s="234"/>
      <c r="L73" s="230"/>
      <c r="M73" s="703"/>
      <c r="N73" s="703"/>
      <c r="O73" s="876"/>
      <c r="P73" s="703"/>
      <c r="Q73" s="876"/>
      <c r="R73" s="876"/>
      <c r="S73" s="876"/>
      <c r="T73" s="703"/>
      <c r="U73" s="703"/>
      <c r="V73" s="876"/>
      <c r="W73" s="876"/>
      <c r="X73" s="703"/>
      <c r="Y73" s="703"/>
      <c r="Z73" s="703"/>
      <c r="AA73" s="703"/>
      <c r="AB73" s="703"/>
      <c r="AC73" s="703"/>
      <c r="AD73" s="703"/>
      <c r="AE73" s="223"/>
      <c r="AF73" s="224" t="s">
        <v>415</v>
      </c>
      <c r="AG73" s="224"/>
      <c r="AH73" s="224" t="s">
        <v>416</v>
      </c>
      <c r="AI73" s="224" t="s">
        <v>417</v>
      </c>
      <c r="AJ73" s="703"/>
      <c r="AK73" s="703"/>
      <c r="AL73" s="703"/>
      <c r="AM73" s="703"/>
      <c r="AN73" s="703"/>
      <c r="AO73" s="703"/>
      <c r="AP73" s="703"/>
    </row>
    <row r="74" spans="1:59">
      <c r="B74" s="21"/>
      <c r="C74" s="22" t="s">
        <v>297</v>
      </c>
      <c r="D74" s="250"/>
      <c r="E74" s="261">
        <v>21.5</v>
      </c>
      <c r="F74" s="261">
        <v>22.434521484374997</v>
      </c>
      <c r="G74" s="885"/>
      <c r="H74" s="261">
        <f t="shared" ref="H74:H85" si="24">E74</f>
        <v>21.5</v>
      </c>
      <c r="I74" s="261">
        <f t="shared" ref="I74:I85" si="25">F74</f>
        <v>22.434521484374997</v>
      </c>
      <c r="J74" s="885"/>
      <c r="K74" s="258"/>
      <c r="L74" s="231"/>
      <c r="M74" s="703"/>
      <c r="O74" s="703"/>
      <c r="P74" s="703"/>
      <c r="Q74" s="703"/>
      <c r="R74" s="703"/>
      <c r="S74" s="703"/>
      <c r="T74" s="703"/>
      <c r="U74" s="703"/>
      <c r="V74" s="703"/>
      <c r="X74" s="703"/>
      <c r="Y74" s="703"/>
      <c r="Z74" s="703"/>
      <c r="AA74" s="703"/>
      <c r="AB74" s="703"/>
      <c r="AC74" s="703"/>
      <c r="AD74" s="703"/>
      <c r="AF74" s="224"/>
      <c r="AG74" s="224"/>
      <c r="AH74" s="224">
        <v>6</v>
      </c>
      <c r="AI74" s="224">
        <v>10</v>
      </c>
      <c r="AJ74" s="703"/>
      <c r="AK74" s="705" t="s">
        <v>1685</v>
      </c>
      <c r="AL74" s="703"/>
      <c r="AM74" s="703"/>
      <c r="AN74" s="703"/>
      <c r="AO74" s="703"/>
      <c r="AP74" s="18"/>
    </row>
    <row r="75" spans="1:59">
      <c r="B75" s="21"/>
      <c r="C75" s="22" t="s">
        <v>298</v>
      </c>
      <c r="D75" s="253"/>
      <c r="E75" s="262">
        <v>21.5</v>
      </c>
      <c r="F75" s="262">
        <v>22.434521484374997</v>
      </c>
      <c r="G75" s="285"/>
      <c r="H75" s="262">
        <f t="shared" si="24"/>
        <v>21.5</v>
      </c>
      <c r="I75" s="262">
        <f t="shared" si="25"/>
        <v>22.434521484374997</v>
      </c>
      <c r="J75" s="285"/>
      <c r="K75" s="259"/>
      <c r="L75" s="231"/>
      <c r="M75" s="703"/>
      <c r="O75" s="703"/>
      <c r="P75" s="703"/>
      <c r="Q75" s="703"/>
      <c r="R75" s="703"/>
      <c r="S75" s="703"/>
      <c r="T75" s="703"/>
      <c r="U75" s="703"/>
      <c r="V75" s="703"/>
      <c r="X75" s="703"/>
      <c r="Y75" s="703"/>
      <c r="Z75" s="703"/>
      <c r="AA75" s="703"/>
      <c r="AB75" s="703"/>
      <c r="AC75" s="703"/>
      <c r="AD75" s="703"/>
      <c r="AE75" s="223" t="s">
        <v>428</v>
      </c>
      <c r="AF75" s="311">
        <f>LN(6/10) / (AH75-AI75)</f>
        <v>-1.1662685474109378E-3</v>
      </c>
      <c r="AG75" s="311"/>
      <c r="AH75" s="237">
        <f>INDEX(Prim_Energie_GPR_Score_6,MATCH($AE$72,Gebruiksfuncties,0),MATCH($AE75,GPR_Versie_En_EP_Methode,0))</f>
        <v>438</v>
      </c>
      <c r="AI75" s="237">
        <f>INDEX(Prim_Energie_GPR_Score_10,MATCH($AE$72,Gebruiksfuncties,0),MATCH($AE75,GPR_Versie_En_EP_Methode,0))</f>
        <v>0</v>
      </c>
      <c r="AJ75" s="703"/>
      <c r="AK75" s="705" t="str">
        <f>_xlfn.CONCAT(AE75,"  ",AH75,"/",AI75)</f>
        <v>GPR 4.3 | NEN 7120  438/0</v>
      </c>
      <c r="AL75" s="703"/>
      <c r="AM75" s="703"/>
      <c r="AN75" s="703"/>
      <c r="AO75" s="703"/>
      <c r="AP75" s="18"/>
    </row>
    <row r="76" spans="1:59">
      <c r="B76" s="21"/>
      <c r="C76" s="22" t="s">
        <v>303</v>
      </c>
      <c r="D76" s="253"/>
      <c r="E76" s="262">
        <v>35.299999999999997</v>
      </c>
      <c r="F76" s="262">
        <v>35.564414062499999</v>
      </c>
      <c r="G76" s="262">
        <f>E76</f>
        <v>35.299999999999997</v>
      </c>
      <c r="H76" s="262">
        <f t="shared" si="24"/>
        <v>35.299999999999997</v>
      </c>
      <c r="I76" s="262">
        <f t="shared" si="25"/>
        <v>35.564414062499999</v>
      </c>
      <c r="J76" s="262">
        <v>37.9</v>
      </c>
      <c r="K76" s="259"/>
      <c r="L76" s="231"/>
      <c r="M76" s="703"/>
      <c r="O76" s="703"/>
      <c r="P76" s="703"/>
      <c r="Q76" s="703"/>
      <c r="R76" s="703"/>
      <c r="S76" s="703"/>
      <c r="T76" s="703"/>
      <c r="U76" s="703"/>
      <c r="V76" s="703"/>
      <c r="X76" s="703"/>
      <c r="Y76" s="703"/>
      <c r="Z76" s="703"/>
      <c r="AA76" s="703"/>
      <c r="AB76" s="703"/>
      <c r="AC76" s="703"/>
      <c r="AD76" s="703"/>
      <c r="AE76" s="223" t="s">
        <v>420</v>
      </c>
      <c r="AF76" s="311">
        <f>LN(6/10) / (AH76-AI76)</f>
        <v>-4.3660309723588947E-3</v>
      </c>
      <c r="AG76" s="311"/>
      <c r="AH76" s="237">
        <f>INDEX(Prim_Energie_GPR_Score_6,MATCH($AE$72,Gebruiksfuncties,0),MATCH($AE76,GPR_Versie_En_EP_Methode,0))</f>
        <v>117</v>
      </c>
      <c r="AI76" s="237">
        <f>INDEX(Prim_Energie_GPR_Score_10,MATCH($AE$72,Gebruiksfuncties,0),MATCH($AE76,GPR_Versie_En_EP_Methode,0))</f>
        <v>0</v>
      </c>
      <c r="AJ76" s="703"/>
      <c r="AK76" s="705" t="str">
        <f t="shared" ref="AK76:AK78" si="26">_xlfn.CONCAT(AE76,"  ",AH76,"/",AI76)</f>
        <v>GPR 4.3 | NTA 8800  117/0</v>
      </c>
      <c r="AL76" s="703"/>
      <c r="AM76" s="703"/>
      <c r="AN76" s="703"/>
      <c r="AO76" s="703"/>
      <c r="AP76" s="18"/>
    </row>
    <row r="77" spans="1:59" s="893" customFormat="1" ht="21">
      <c r="A77" s="18"/>
      <c r="B77" s="21"/>
      <c r="C77" s="22" t="s">
        <v>299</v>
      </c>
      <c r="D77" s="253"/>
      <c r="E77" s="262">
        <v>50.5</v>
      </c>
      <c r="F77" s="262">
        <v>46.114101562499997</v>
      </c>
      <c r="G77" s="262">
        <f t="shared" ref="G77:G85" si="27">E77</f>
        <v>50.5</v>
      </c>
      <c r="H77" s="262">
        <f t="shared" si="24"/>
        <v>50.5</v>
      </c>
      <c r="I77" s="262">
        <f t="shared" si="25"/>
        <v>46.114101562499997</v>
      </c>
      <c r="J77" s="262">
        <v>65.8</v>
      </c>
      <c r="K77" s="259"/>
      <c r="L77" s="231"/>
      <c r="M77" s="703"/>
      <c r="N77" s="18"/>
      <c r="O77" s="703"/>
      <c r="P77" s="703"/>
      <c r="Q77" s="703"/>
      <c r="R77" s="703"/>
      <c r="S77" s="703"/>
      <c r="T77" s="703"/>
      <c r="U77" s="703"/>
      <c r="V77" s="703"/>
      <c r="W77" s="18"/>
      <c r="X77" s="703"/>
      <c r="Y77" s="703"/>
      <c r="Z77" s="703"/>
      <c r="AA77" s="703"/>
      <c r="AB77" s="703"/>
      <c r="AC77" s="703"/>
      <c r="AD77" s="703"/>
      <c r="AE77" s="223" t="s">
        <v>429</v>
      </c>
      <c r="AF77" s="311">
        <f>LN(6/10) / (AH77-AI77)</f>
        <v>-7.859242666808068E-4</v>
      </c>
      <c r="AG77" s="311"/>
      <c r="AH77" s="237">
        <f>INDEX(Prim_Energie_GPR_Score_6,MATCH($AE$72,Gebruiksfuncties,0),MATCH($AE77,GPR_Versie_En_EP_Methode,0))</f>
        <v>438</v>
      </c>
      <c r="AI77" s="237">
        <f>INDEX(Prim_Energie_GPR_Score_10,MATCH($AE$72,Gebruiksfuncties,0),MATCH($AE77,GPR_Versie_En_EP_Methode,0))</f>
        <v>-211.96800000000002</v>
      </c>
      <c r="AJ77" s="703"/>
      <c r="AK77" s="705" t="str">
        <f t="shared" si="26"/>
        <v>GPR 4.4 | NEN 7120  438/-211.968</v>
      </c>
      <c r="AL77" s="703"/>
      <c r="AM77" s="703"/>
      <c r="AN77" s="703"/>
      <c r="AO77" s="703"/>
      <c r="AP77" s="18"/>
      <c r="AQ77" s="2"/>
      <c r="AR77" s="2"/>
      <c r="AS77" s="2"/>
      <c r="AT77" s="2"/>
      <c r="AU77" s="2"/>
      <c r="AV77" s="2"/>
      <c r="AW77" s="2"/>
      <c r="AX77" s="2"/>
      <c r="AY77" s="2"/>
      <c r="AZ77" s="2"/>
      <c r="BA77" s="2"/>
      <c r="BB77" s="2"/>
      <c r="BC77" s="2"/>
      <c r="BD77" s="2"/>
      <c r="BE77" s="2"/>
      <c r="BF77" s="2"/>
      <c r="BG77" s="2"/>
    </row>
    <row r="78" spans="1:59" s="18" customFormat="1">
      <c r="B78" s="21"/>
      <c r="C78" s="22" t="s">
        <v>422</v>
      </c>
      <c r="D78" s="253"/>
      <c r="E78" s="262">
        <v>40.199100000000001</v>
      </c>
      <c r="F78" s="262">
        <v>53.131464843750003</v>
      </c>
      <c r="G78" s="262">
        <f t="shared" si="27"/>
        <v>40.199100000000001</v>
      </c>
      <c r="H78" s="262">
        <f t="shared" si="24"/>
        <v>40.199100000000001</v>
      </c>
      <c r="I78" s="262">
        <f t="shared" si="25"/>
        <v>53.131464843750003</v>
      </c>
      <c r="J78" s="262">
        <v>60.2</v>
      </c>
      <c r="K78" s="259"/>
      <c r="L78" s="231"/>
      <c r="M78" s="703"/>
      <c r="O78" s="703"/>
      <c r="P78" s="703"/>
      <c r="Q78" s="703"/>
      <c r="R78" s="703"/>
      <c r="S78" s="703"/>
      <c r="T78" s="703"/>
      <c r="U78" s="703"/>
      <c r="V78" s="703"/>
      <c r="X78" s="703"/>
      <c r="Y78" s="703"/>
      <c r="Z78" s="703"/>
      <c r="AA78" s="703"/>
      <c r="AB78" s="703"/>
      <c r="AC78" s="703"/>
      <c r="AD78" s="703"/>
      <c r="AE78" s="223" t="s">
        <v>421</v>
      </c>
      <c r="AF78" s="311">
        <f>LN(6/10) / (AH78-AI78)</f>
        <v>-3.3975764799866362E-3</v>
      </c>
      <c r="AG78" s="311"/>
      <c r="AH78" s="237">
        <f>INDEX(Prim_Energie_GPR_Score_6,MATCH($AE$72,Gebruiksfuncties,0),MATCH($AE78,GPR_Versie_En_EP_Methode,0))</f>
        <v>117</v>
      </c>
      <c r="AI78" s="237">
        <f>INDEX(Prim_Energie_GPR_Score_10,MATCH($AE$72,Gebruiksfuncties,0),MATCH($AE78,GPR_Versie_En_EP_Methode,0))</f>
        <v>-33.35</v>
      </c>
      <c r="AJ78" s="703"/>
      <c r="AK78" s="705" t="str">
        <f t="shared" si="26"/>
        <v>GPR 4.4 | NTA 8800  117/-33.35</v>
      </c>
      <c r="AL78" s="703"/>
      <c r="AM78" s="703"/>
      <c r="AN78" s="703"/>
      <c r="AO78" s="703"/>
      <c r="AQ78" s="2"/>
      <c r="AR78" s="2"/>
      <c r="AS78" s="2"/>
      <c r="AT78" s="2"/>
      <c r="AU78" s="2"/>
      <c r="AV78" s="2"/>
      <c r="AW78" s="2"/>
      <c r="AX78" s="2"/>
      <c r="AY78" s="2"/>
      <c r="AZ78" s="2"/>
      <c r="BA78" s="2"/>
      <c r="BB78" s="2"/>
      <c r="BC78" s="2"/>
      <c r="BD78" s="2"/>
      <c r="BE78" s="2"/>
      <c r="BF78" s="2"/>
      <c r="BG78" s="2"/>
    </row>
    <row r="79" spans="1:59" s="6" customFormat="1">
      <c r="A79" s="18"/>
      <c r="B79" s="21"/>
      <c r="C79" s="22" t="s">
        <v>305</v>
      </c>
      <c r="D79" s="253"/>
      <c r="E79" s="262">
        <v>45.4</v>
      </c>
      <c r="F79" s="262">
        <v>47.116582031250005</v>
      </c>
      <c r="G79" s="262">
        <f t="shared" si="27"/>
        <v>45.4</v>
      </c>
      <c r="H79" s="262">
        <f t="shared" si="24"/>
        <v>45.4</v>
      </c>
      <c r="I79" s="262">
        <f t="shared" si="25"/>
        <v>47.116582031250005</v>
      </c>
      <c r="J79" s="262">
        <v>48.1</v>
      </c>
      <c r="K79" s="259"/>
      <c r="L79" s="231"/>
      <c r="M79" s="703"/>
      <c r="N79" s="18"/>
      <c r="O79" s="703"/>
      <c r="P79" s="703"/>
      <c r="Q79" s="703"/>
      <c r="R79" s="703"/>
      <c r="S79" s="703"/>
      <c r="T79" s="703"/>
      <c r="U79" s="703"/>
      <c r="V79" s="703"/>
      <c r="W79" s="18"/>
      <c r="X79" s="703"/>
      <c r="Y79" s="703"/>
      <c r="Z79" s="703"/>
      <c r="AA79" s="703"/>
      <c r="AB79" s="703"/>
      <c r="AC79" s="703"/>
      <c r="AD79" s="703"/>
      <c r="AE79" s="703"/>
      <c r="AF79" s="703"/>
      <c r="AG79" s="703"/>
      <c r="AH79" s="703"/>
      <c r="AI79" s="703"/>
      <c r="AJ79" s="703"/>
      <c r="AK79" s="703"/>
      <c r="AL79" s="703"/>
      <c r="AM79" s="703"/>
      <c r="AN79" s="703"/>
      <c r="AO79" s="703"/>
      <c r="AP79" s="18"/>
      <c r="AQ79" s="2"/>
      <c r="AR79" s="2"/>
      <c r="AS79" s="2"/>
      <c r="AT79" s="2"/>
      <c r="AU79" s="2"/>
      <c r="AV79" s="2"/>
      <c r="AW79" s="2"/>
      <c r="AX79" s="2"/>
      <c r="AY79" s="2"/>
      <c r="AZ79" s="2"/>
      <c r="BA79" s="2"/>
      <c r="BB79" s="2"/>
      <c r="BC79" s="2"/>
      <c r="BD79" s="2"/>
      <c r="BE79" s="2"/>
      <c r="BF79" s="2"/>
      <c r="BG79" s="2"/>
    </row>
    <row r="80" spans="1:59">
      <c r="B80" s="21"/>
      <c r="C80" s="22" t="s">
        <v>302</v>
      </c>
      <c r="D80" s="253"/>
      <c r="E80" s="262">
        <v>32.115299999999998</v>
      </c>
      <c r="F80" s="262">
        <v>41.491816406250003</v>
      </c>
      <c r="G80" s="262">
        <f t="shared" si="27"/>
        <v>32.115299999999998</v>
      </c>
      <c r="H80" s="262">
        <f t="shared" si="24"/>
        <v>32.115299999999998</v>
      </c>
      <c r="I80" s="262">
        <f t="shared" si="25"/>
        <v>41.491816406250003</v>
      </c>
      <c r="J80" s="262">
        <v>42.5</v>
      </c>
      <c r="K80" s="259"/>
      <c r="L80" s="231"/>
      <c r="M80" s="703"/>
      <c r="O80" s="703"/>
      <c r="P80" s="703"/>
      <c r="Q80" s="703"/>
      <c r="R80" s="703"/>
      <c r="S80" s="703"/>
      <c r="T80" s="703"/>
      <c r="U80" s="703"/>
      <c r="V80" s="703"/>
      <c r="X80" s="703"/>
      <c r="Y80" s="703"/>
      <c r="Z80" s="703"/>
      <c r="AA80" s="703"/>
      <c r="AB80" s="703"/>
      <c r="AC80" s="703"/>
      <c r="AD80" s="703"/>
      <c r="AE80" s="703"/>
      <c r="AF80" s="703"/>
      <c r="AG80" s="703"/>
      <c r="AH80" s="703"/>
      <c r="AI80" s="703"/>
      <c r="AJ80" s="703"/>
      <c r="AK80" s="703"/>
      <c r="AL80" s="703"/>
      <c r="AM80" s="703"/>
      <c r="AN80" s="703"/>
      <c r="AO80" s="703"/>
      <c r="AP80" s="18"/>
    </row>
    <row r="81" spans="1:59">
      <c r="B81" s="21"/>
      <c r="C81" s="22" t="s">
        <v>423</v>
      </c>
      <c r="D81" s="253"/>
      <c r="E81" s="262">
        <v>96.603669999999994</v>
      </c>
      <c r="F81" s="262">
        <v>87.467207031249998</v>
      </c>
      <c r="G81" s="262">
        <f t="shared" si="27"/>
        <v>96.603669999999994</v>
      </c>
      <c r="H81" s="262">
        <f t="shared" si="24"/>
        <v>96.603669999999994</v>
      </c>
      <c r="I81" s="262">
        <f t="shared" si="25"/>
        <v>87.467207031249998</v>
      </c>
      <c r="J81" s="262">
        <v>84.2</v>
      </c>
      <c r="K81" s="259"/>
      <c r="L81" s="231"/>
      <c r="M81" s="703"/>
      <c r="O81" s="703"/>
      <c r="P81" s="703"/>
      <c r="Q81" s="703"/>
      <c r="R81" s="703"/>
      <c r="S81" s="703"/>
      <c r="T81" s="703"/>
      <c r="U81" s="703"/>
      <c r="V81" s="703"/>
      <c r="X81" s="703"/>
      <c r="Y81" s="703"/>
      <c r="Z81" s="703"/>
      <c r="AA81" s="713"/>
      <c r="AB81" s="713"/>
      <c r="AC81" s="713"/>
      <c r="AD81" s="713"/>
      <c r="AE81" s="713"/>
      <c r="AF81" s="713"/>
      <c r="AG81" s="713"/>
      <c r="AH81" s="713"/>
      <c r="AI81" s="713"/>
      <c r="AJ81" s="703"/>
      <c r="AK81" s="703"/>
      <c r="AL81" s="703"/>
      <c r="AM81" s="703"/>
      <c r="AN81" s="703"/>
      <c r="AO81" s="703"/>
      <c r="AP81" s="18"/>
    </row>
    <row r="82" spans="1:59">
      <c r="B82" s="21"/>
      <c r="C82" s="22" t="s">
        <v>307</v>
      </c>
      <c r="D82" s="253"/>
      <c r="E82" s="262">
        <v>86.5</v>
      </c>
      <c r="F82" s="262">
        <v>59.2190478515625</v>
      </c>
      <c r="G82" s="262">
        <f t="shared" si="27"/>
        <v>86.5</v>
      </c>
      <c r="H82" s="262">
        <f t="shared" si="24"/>
        <v>86.5</v>
      </c>
      <c r="I82" s="262">
        <f t="shared" si="25"/>
        <v>59.2190478515625</v>
      </c>
      <c r="J82" s="262">
        <v>85.4</v>
      </c>
      <c r="K82" s="259"/>
      <c r="L82" s="231"/>
      <c r="M82" s="703"/>
      <c r="O82" s="703"/>
      <c r="P82" s="703"/>
      <c r="Q82" s="703"/>
      <c r="R82" s="703"/>
      <c r="S82" s="703"/>
      <c r="T82" s="703"/>
      <c r="U82" s="703"/>
      <c r="V82" s="703"/>
      <c r="X82" s="703"/>
      <c r="Y82" s="703"/>
      <c r="Z82" s="703"/>
      <c r="AA82" s="713"/>
      <c r="AB82" s="713"/>
      <c r="AC82" s="713"/>
      <c r="AD82" s="713"/>
      <c r="AE82" s="713"/>
      <c r="AF82" s="713"/>
      <c r="AG82" s="713"/>
      <c r="AH82" s="713"/>
      <c r="AI82" s="713"/>
      <c r="AJ82" s="703"/>
      <c r="AK82" s="703"/>
      <c r="AL82" s="703"/>
      <c r="AM82" s="703"/>
      <c r="AN82" s="703"/>
      <c r="AO82" s="703"/>
      <c r="AP82" s="18"/>
    </row>
    <row r="83" spans="1:59">
      <c r="B83" s="21"/>
      <c r="C83" s="22" t="s">
        <v>306</v>
      </c>
      <c r="D83" s="253"/>
      <c r="E83" s="262">
        <v>34</v>
      </c>
      <c r="F83" s="262">
        <v>30.624912109375</v>
      </c>
      <c r="G83" s="262">
        <f t="shared" si="27"/>
        <v>34</v>
      </c>
      <c r="H83" s="262">
        <f t="shared" si="24"/>
        <v>34</v>
      </c>
      <c r="I83" s="262">
        <f t="shared" si="25"/>
        <v>30.624912109375</v>
      </c>
      <c r="J83" s="262">
        <v>43.1</v>
      </c>
      <c r="K83" s="259"/>
      <c r="L83" s="231"/>
      <c r="M83" s="703"/>
      <c r="O83" s="703"/>
      <c r="P83" s="703"/>
      <c r="Q83" s="703"/>
      <c r="R83" s="703"/>
      <c r="S83" s="703"/>
      <c r="T83" s="703"/>
      <c r="U83" s="703"/>
      <c r="V83" s="703"/>
      <c r="X83" s="703"/>
      <c r="Y83" s="703"/>
      <c r="Z83" s="703"/>
      <c r="AA83" s="713"/>
      <c r="AB83" s="713"/>
      <c r="AC83" s="713"/>
      <c r="AD83" s="713"/>
      <c r="AE83" s="713"/>
      <c r="AF83" s="713"/>
      <c r="AG83" s="713"/>
      <c r="AH83" s="713"/>
      <c r="AI83" s="713"/>
      <c r="AJ83" s="703"/>
      <c r="AK83" s="703"/>
      <c r="AL83" s="703"/>
      <c r="AM83" s="703"/>
      <c r="AN83" s="703"/>
      <c r="AO83" s="703"/>
      <c r="AP83" s="18"/>
    </row>
    <row r="84" spans="1:59">
      <c r="B84" s="21"/>
      <c r="C84" s="22" t="s">
        <v>424</v>
      </c>
      <c r="D84" s="253"/>
      <c r="E84" s="262">
        <v>39.4</v>
      </c>
      <c r="F84" s="262">
        <v>45.443417968749998</v>
      </c>
      <c r="G84" s="262">
        <f t="shared" si="27"/>
        <v>39.4</v>
      </c>
      <c r="H84" s="262">
        <f t="shared" si="24"/>
        <v>39.4</v>
      </c>
      <c r="I84" s="262">
        <f t="shared" si="25"/>
        <v>45.443417968749998</v>
      </c>
      <c r="J84" s="262">
        <v>50.5</v>
      </c>
      <c r="K84" s="259"/>
      <c r="L84" s="231"/>
      <c r="M84" s="703"/>
      <c r="O84" s="703"/>
      <c r="P84" s="703"/>
      <c r="Q84" s="703"/>
      <c r="R84" s="703"/>
      <c r="S84" s="703"/>
      <c r="T84" s="703"/>
      <c r="U84" s="703"/>
      <c r="V84" s="703"/>
      <c r="X84" s="703"/>
      <c r="Y84" s="703"/>
      <c r="Z84" s="703"/>
      <c r="AA84" s="713"/>
      <c r="AB84" s="713"/>
      <c r="AC84" s="713"/>
      <c r="AD84" s="713"/>
      <c r="AE84" s="713"/>
      <c r="AF84" s="713"/>
      <c r="AG84" s="713"/>
      <c r="AH84" s="713"/>
      <c r="AI84" s="713"/>
      <c r="AJ84" s="703"/>
      <c r="AK84" s="703"/>
      <c r="AL84" s="703"/>
      <c r="AM84" s="703"/>
      <c r="AN84" s="703"/>
      <c r="AO84" s="703"/>
      <c r="AP84" s="18"/>
    </row>
    <row r="85" spans="1:59">
      <c r="B85" s="21"/>
      <c r="C85" s="22" t="s">
        <v>425</v>
      </c>
      <c r="D85" s="256"/>
      <c r="E85" s="263">
        <v>44.496375</v>
      </c>
      <c r="F85" s="263">
        <v>66.483620689655183</v>
      </c>
      <c r="G85" s="263">
        <f t="shared" si="27"/>
        <v>44.496375</v>
      </c>
      <c r="H85" s="263">
        <f t="shared" si="24"/>
        <v>44.496375</v>
      </c>
      <c r="I85" s="263">
        <f t="shared" si="25"/>
        <v>66.483620689655183</v>
      </c>
      <c r="J85" s="263">
        <v>52.8</v>
      </c>
      <c r="K85" s="260"/>
      <c r="L85" s="231"/>
      <c r="M85" s="703"/>
      <c r="O85" s="703"/>
      <c r="P85" s="703"/>
      <c r="Q85" s="703"/>
      <c r="R85" s="703"/>
      <c r="S85" s="703"/>
      <c r="T85" s="703"/>
      <c r="U85" s="703"/>
      <c r="V85" s="703"/>
      <c r="X85" s="703"/>
      <c r="Y85" s="703"/>
      <c r="Z85" s="703"/>
      <c r="AA85" s="703"/>
      <c r="AB85" s="703"/>
      <c r="AC85" s="703"/>
      <c r="AD85" s="703"/>
      <c r="AE85" s="703"/>
      <c r="AF85" s="703"/>
      <c r="AG85" s="703"/>
      <c r="AH85" s="703"/>
      <c r="AI85" s="703"/>
      <c r="AJ85" s="703"/>
      <c r="AK85" s="703"/>
      <c r="AL85" s="703"/>
      <c r="AM85" s="703"/>
      <c r="AN85" s="703"/>
      <c r="AO85" s="703"/>
      <c r="AP85" s="18"/>
    </row>
    <row r="86" spans="1:59">
      <c r="B86" s="21"/>
      <c r="C86" s="18"/>
      <c r="D86" s="18"/>
      <c r="E86" s="18"/>
      <c r="F86" s="18"/>
      <c r="G86" s="18"/>
      <c r="H86" s="18"/>
      <c r="I86" s="18"/>
      <c r="J86" s="18"/>
      <c r="K86" s="18"/>
      <c r="M86" s="703"/>
      <c r="N86" s="703"/>
      <c r="O86" s="703"/>
      <c r="P86" s="703"/>
      <c r="Q86" s="703"/>
      <c r="R86" s="703"/>
      <c r="S86" s="703"/>
      <c r="T86" s="703"/>
      <c r="U86" s="703"/>
      <c r="V86" s="703"/>
      <c r="W86" s="703"/>
      <c r="X86" s="703"/>
      <c r="Y86" s="703"/>
      <c r="Z86" s="703"/>
      <c r="AA86" s="703"/>
      <c r="AB86" s="703"/>
      <c r="AC86" s="703"/>
      <c r="AD86" s="703"/>
      <c r="AE86" s="703"/>
      <c r="AF86" s="703"/>
      <c r="AG86" s="703"/>
      <c r="AH86" s="703"/>
      <c r="AI86" s="703"/>
      <c r="AJ86" s="703"/>
      <c r="AK86" s="703"/>
      <c r="AL86" s="703"/>
      <c r="AM86" s="703"/>
      <c r="AN86" s="703"/>
      <c r="AO86" s="703"/>
      <c r="AP86" s="18"/>
    </row>
    <row r="87" spans="1:59" ht="21">
      <c r="A87" s="893"/>
      <c r="B87" s="895" t="s">
        <v>359</v>
      </c>
      <c r="C87" s="893" t="s">
        <v>1544</v>
      </c>
      <c r="D87" s="893"/>
      <c r="E87" s="893"/>
      <c r="F87" s="893"/>
      <c r="G87" s="893"/>
      <c r="H87" s="893"/>
      <c r="I87" s="893"/>
      <c r="J87" s="893"/>
      <c r="K87" s="893"/>
      <c r="L87" s="893"/>
      <c r="M87" s="893"/>
      <c r="N87" s="893"/>
      <c r="O87" s="893"/>
      <c r="P87" s="893"/>
      <c r="Q87" s="893"/>
      <c r="R87" s="893"/>
      <c r="S87" s="893"/>
      <c r="T87" s="893"/>
      <c r="U87" s="893"/>
      <c r="V87" s="893"/>
      <c r="W87" s="893"/>
      <c r="X87" s="893"/>
      <c r="Y87" s="893"/>
      <c r="Z87" s="893"/>
      <c r="AA87" s="893"/>
      <c r="AB87" s="893"/>
      <c r="AC87" s="893"/>
      <c r="AD87" s="893"/>
      <c r="AE87" s="893"/>
      <c r="AF87" s="893"/>
      <c r="AG87" s="893"/>
      <c r="AH87" s="893"/>
      <c r="AI87" s="893"/>
      <c r="AJ87" s="893"/>
      <c r="AK87" s="893"/>
      <c r="AL87" s="893"/>
      <c r="AM87" s="893"/>
      <c r="AN87" s="893"/>
      <c r="AO87" s="893"/>
      <c r="AP87" s="893"/>
    </row>
    <row r="88" spans="1:59">
      <c r="B88" s="21"/>
      <c r="C88" s="988"/>
      <c r="D88" s="989"/>
      <c r="E88" s="18"/>
      <c r="F88" s="18"/>
      <c r="G88" s="18"/>
      <c r="H88" s="18"/>
      <c r="I88" s="18"/>
      <c r="J88" s="18"/>
      <c r="K88" s="18"/>
      <c r="M88" s="18"/>
      <c r="O88" s="18"/>
      <c r="P88" s="18"/>
      <c r="Q88" s="18"/>
      <c r="R88" s="18"/>
      <c r="S88" s="18"/>
      <c r="T88" s="18"/>
      <c r="U88" s="18"/>
      <c r="V88" s="18"/>
      <c r="X88" s="18"/>
      <c r="Y88" s="18"/>
      <c r="Z88" s="18"/>
      <c r="AA88" s="18"/>
      <c r="AB88" s="18"/>
      <c r="AC88" s="18"/>
      <c r="AD88" s="18"/>
      <c r="AE88" s="18"/>
      <c r="AF88" s="18"/>
      <c r="AG88" s="18"/>
      <c r="AH88" s="18"/>
      <c r="AI88" s="18"/>
      <c r="AJ88" s="18"/>
      <c r="AK88" s="18"/>
      <c r="AL88" s="18"/>
      <c r="AM88" s="18"/>
      <c r="AN88" s="18"/>
      <c r="AO88" s="18"/>
      <c r="AP88" s="18"/>
    </row>
    <row r="89" spans="1:59">
      <c r="A89" s="19"/>
      <c r="B89" s="88">
        <f ca="1">MAX($B$1:OFFSET(B89,-1,0))+1</f>
        <v>13</v>
      </c>
      <c r="C89" s="89" t="s">
        <v>431</v>
      </c>
      <c r="D89" s="89"/>
      <c r="E89" s="89">
        <f t="shared" ref="E89:J89" ca="1" si="28">OFFSET(E89,0,-1)+1</f>
        <v>1</v>
      </c>
      <c r="F89" s="89">
        <f t="shared" ca="1" si="28"/>
        <v>2</v>
      </c>
      <c r="G89" s="89">
        <f t="shared" ca="1" si="28"/>
        <v>3</v>
      </c>
      <c r="H89" s="89">
        <f t="shared" ca="1" si="28"/>
        <v>4</v>
      </c>
      <c r="I89" s="89">
        <f t="shared" ca="1" si="28"/>
        <v>5</v>
      </c>
      <c r="J89" s="89">
        <f t="shared" ca="1" si="28"/>
        <v>6</v>
      </c>
      <c r="K89" s="233"/>
      <c r="L89" s="227"/>
      <c r="M89" s="233"/>
      <c r="N89" s="89">
        <f t="shared" ref="N89:S89" ca="1" si="29">OFFSET(N89,0,-1)+1</f>
        <v>1</v>
      </c>
      <c r="O89" s="89">
        <f t="shared" ca="1" si="29"/>
        <v>2</v>
      </c>
      <c r="P89" s="89">
        <f t="shared" ca="1" si="29"/>
        <v>3</v>
      </c>
      <c r="Q89" s="89">
        <f t="shared" ca="1" si="29"/>
        <v>4</v>
      </c>
      <c r="R89" s="89">
        <f t="shared" ca="1" si="29"/>
        <v>5</v>
      </c>
      <c r="S89" s="89">
        <f t="shared" ca="1" si="29"/>
        <v>6</v>
      </c>
      <c r="T89" s="233"/>
      <c r="U89" s="705"/>
      <c r="V89" s="233"/>
      <c r="W89" s="312">
        <f t="shared" ref="W89:AB89" ca="1" si="30">OFFSET(W89,0,-1)+1</f>
        <v>1</v>
      </c>
      <c r="X89" s="312">
        <f t="shared" ca="1" si="30"/>
        <v>2</v>
      </c>
      <c r="Y89" s="312">
        <f t="shared" ca="1" si="30"/>
        <v>3</v>
      </c>
      <c r="Z89" s="312">
        <f t="shared" ca="1" si="30"/>
        <v>4</v>
      </c>
      <c r="AA89" s="312">
        <f t="shared" ca="1" si="30"/>
        <v>5</v>
      </c>
      <c r="AB89" s="312">
        <f t="shared" ca="1" si="30"/>
        <v>6</v>
      </c>
      <c r="AC89" s="233"/>
      <c r="AD89" s="705"/>
      <c r="AE89" s="223" t="s">
        <v>432</v>
      </c>
      <c r="AF89" s="489" t="s">
        <v>1684</v>
      </c>
      <c r="AG89" s="223" t="s">
        <v>1686</v>
      </c>
      <c r="AH89" s="224"/>
      <c r="AI89" s="224"/>
      <c r="AJ89" s="703"/>
      <c r="AK89" s="705"/>
      <c r="AL89" s="705"/>
      <c r="AM89" s="705"/>
      <c r="AN89" s="705"/>
      <c r="AO89" s="705"/>
      <c r="AP89" s="705"/>
    </row>
    <row r="90" spans="1:59">
      <c r="B90" s="21"/>
      <c r="C90" s="57" t="s">
        <v>433</v>
      </c>
      <c r="D90" s="269"/>
      <c r="E90" s="269"/>
      <c r="F90" s="269"/>
      <c r="G90" s="269"/>
      <c r="H90" s="486" t="s">
        <v>434</v>
      </c>
      <c r="I90" s="486" t="s">
        <v>434</v>
      </c>
      <c r="J90" s="269"/>
      <c r="K90" s="269"/>
      <c r="L90" s="231"/>
      <c r="M90" s="64"/>
      <c r="N90" s="57" t="s">
        <v>435</v>
      </c>
      <c r="O90" s="57"/>
      <c r="P90" s="57"/>
      <c r="Q90" s="486" t="s">
        <v>434</v>
      </c>
      <c r="R90" s="486" t="s">
        <v>434</v>
      </c>
      <c r="S90" s="57"/>
      <c r="T90" s="57"/>
      <c r="U90" s="151"/>
      <c r="V90" s="64"/>
      <c r="W90" s="57" t="s">
        <v>411</v>
      </c>
      <c r="X90" s="57"/>
      <c r="Y90" s="57"/>
      <c r="Z90" s="57"/>
      <c r="AA90" s="57"/>
      <c r="AB90" s="57"/>
      <c r="AC90" s="57"/>
      <c r="AD90" s="703"/>
      <c r="AE90" s="326" t="s">
        <v>436</v>
      </c>
      <c r="AF90" s="489" t="s">
        <v>1683</v>
      </c>
      <c r="AG90" s="223" t="str">
        <f>_xlfn.CONCAT("Milieukosten [",HLOOKUP(AE90,$E$91:$J$92,2,FALSE),"]")</f>
        <v>Milieukosten [euro/m2 BVO]</v>
      </c>
      <c r="AH90" s="224"/>
      <c r="AI90" s="224"/>
      <c r="AJ90" s="703"/>
      <c r="AK90" s="8"/>
      <c r="AL90" s="8"/>
      <c r="AM90" s="8"/>
      <c r="AN90" s="8"/>
      <c r="AO90" s="8"/>
      <c r="AP90" s="703"/>
    </row>
    <row r="91" spans="1:59">
      <c r="B91" s="21"/>
      <c r="C91" s="64" t="s">
        <v>414</v>
      </c>
      <c r="D91" s="484"/>
      <c r="E91" s="485" t="s">
        <v>436</v>
      </c>
      <c r="F91" s="485" t="s">
        <v>436</v>
      </c>
      <c r="G91" s="485" t="s">
        <v>436</v>
      </c>
      <c r="H91" s="485" t="s">
        <v>437</v>
      </c>
      <c r="I91" s="485" t="s">
        <v>437</v>
      </c>
      <c r="J91" s="485" t="s">
        <v>437</v>
      </c>
      <c r="K91" s="248"/>
      <c r="L91" s="230"/>
      <c r="M91" s="64"/>
      <c r="N91" s="224" t="s">
        <v>436</v>
      </c>
      <c r="O91" s="224" t="s">
        <v>436</v>
      </c>
      <c r="P91" s="224" t="s">
        <v>436</v>
      </c>
      <c r="Q91" s="224" t="s">
        <v>437</v>
      </c>
      <c r="R91" s="224" t="s">
        <v>437</v>
      </c>
      <c r="S91" s="224" t="s">
        <v>437</v>
      </c>
      <c r="T91" s="57"/>
      <c r="U91" s="151"/>
      <c r="V91" s="64"/>
      <c r="W91" s="223" t="s">
        <v>436</v>
      </c>
      <c r="X91" s="223" t="s">
        <v>436</v>
      </c>
      <c r="Y91" s="223" t="s">
        <v>436</v>
      </c>
      <c r="Z91" s="223" t="s">
        <v>437</v>
      </c>
      <c r="AA91" s="223" t="s">
        <v>437</v>
      </c>
      <c r="AB91" s="223" t="s">
        <v>437</v>
      </c>
      <c r="AC91" s="57"/>
      <c r="AD91" s="703"/>
      <c r="AE91" s="223"/>
      <c r="AF91" s="224" t="s">
        <v>438</v>
      </c>
      <c r="AG91" s="224" t="s">
        <v>439</v>
      </c>
      <c r="AH91" s="224"/>
      <c r="AI91" s="224"/>
      <c r="AJ91" s="703"/>
      <c r="AK91" s="705"/>
      <c r="AL91" s="705"/>
      <c r="AM91" s="705"/>
      <c r="AN91" s="705"/>
      <c r="AO91" s="705"/>
      <c r="AP91" s="703"/>
    </row>
    <row r="92" spans="1:59">
      <c r="B92" s="139" t="s">
        <v>396</v>
      </c>
      <c r="C92" s="64" t="s">
        <v>204</v>
      </c>
      <c r="D92" s="301"/>
      <c r="E92" s="301" t="s">
        <v>440</v>
      </c>
      <c r="F92" s="301" t="s">
        <v>440</v>
      </c>
      <c r="G92" s="301" t="s">
        <v>440</v>
      </c>
      <c r="H92" s="301" t="s">
        <v>440</v>
      </c>
      <c r="I92" s="301" t="s">
        <v>440</v>
      </c>
      <c r="J92" s="301" t="s">
        <v>440</v>
      </c>
      <c r="K92" s="301"/>
      <c r="L92" s="230"/>
      <c r="M92" s="234"/>
      <c r="N92" s="234" t="s">
        <v>440</v>
      </c>
      <c r="O92" s="234" t="s">
        <v>440</v>
      </c>
      <c r="P92" s="234" t="s">
        <v>440</v>
      </c>
      <c r="Q92" s="234" t="s">
        <v>440</v>
      </c>
      <c r="R92" s="234" t="s">
        <v>440</v>
      </c>
      <c r="S92" s="234" t="s">
        <v>440</v>
      </c>
      <c r="T92" s="234"/>
      <c r="U92" s="703"/>
      <c r="V92" s="234"/>
      <c r="W92" s="269"/>
      <c r="X92" s="269"/>
      <c r="Y92" s="269"/>
      <c r="Z92" s="269"/>
      <c r="AA92" s="269"/>
      <c r="AB92" s="269"/>
      <c r="AC92" s="234"/>
      <c r="AD92" s="703"/>
      <c r="AE92" s="223"/>
      <c r="AF92" s="224"/>
      <c r="AG92" s="224"/>
      <c r="AH92" s="224">
        <v>6</v>
      </c>
      <c r="AI92" s="487">
        <v>10</v>
      </c>
      <c r="AJ92" s="703"/>
      <c r="AK92" s="705" t="s">
        <v>1685</v>
      </c>
      <c r="AL92" s="8"/>
      <c r="AM92" s="8"/>
      <c r="AN92" s="8"/>
      <c r="AO92" s="8"/>
      <c r="AP92" s="703"/>
    </row>
    <row r="93" spans="1:59">
      <c r="B93" s="21"/>
      <c r="C93" s="22" t="s">
        <v>297</v>
      </c>
      <c r="D93" s="250"/>
      <c r="E93" s="264">
        <v>-5.7670000000000003</v>
      </c>
      <c r="F93" s="873">
        <f t="shared" ref="F93:G104" si="31">E93</f>
        <v>-5.7670000000000003</v>
      </c>
      <c r="G93" s="885"/>
      <c r="H93" s="264">
        <v>-6.2290000000000001</v>
      </c>
      <c r="I93" s="873">
        <f>H93</f>
        <v>-6.2290000000000001</v>
      </c>
      <c r="J93" s="885"/>
      <c r="K93" s="258"/>
      <c r="L93" s="231"/>
      <c r="M93" s="250"/>
      <c r="N93" s="264">
        <v>3.8359999999999999</v>
      </c>
      <c r="O93" s="873">
        <f t="shared" ref="O93:P96" si="32">N93</f>
        <v>3.8359999999999999</v>
      </c>
      <c r="P93" s="885">
        <f>O93</f>
        <v>3.8359999999999999</v>
      </c>
      <c r="Q93" s="264">
        <v>3.6139999999999999</v>
      </c>
      <c r="R93" s="873">
        <f t="shared" ref="R93:S104" si="33">Q93</f>
        <v>3.6139999999999999</v>
      </c>
      <c r="S93" s="885">
        <f>R93</f>
        <v>3.6139999999999999</v>
      </c>
      <c r="T93" s="258"/>
      <c r="U93" s="703"/>
      <c r="V93" s="64"/>
      <c r="W93" s="314" t="str">
        <f>_xlfn.CONCAT("=",E93,"*ln(MPG) + ",N93)</f>
        <v>=-5,767*ln(MPG) + 3,836</v>
      </c>
      <c r="X93" s="314" t="str">
        <f t="shared" ref="X93:X104" si="34">_xlfn.CONCAT("=",F93,"*ln(MPG) + ",O93)</f>
        <v>=-5,767*ln(MPG) + 3,836</v>
      </c>
      <c r="Y93" s="314" t="s">
        <v>1320</v>
      </c>
      <c r="Z93" s="314" t="str">
        <f t="shared" ref="Z93:Z104" si="35">_xlfn.CONCAT("=",H93,"*ln(MPG) + ",Q93)</f>
        <v>=-6,229*ln(MPG) + 3,614</v>
      </c>
      <c r="AA93" s="314" t="str">
        <f t="shared" ref="AA93:AA104" si="36">_xlfn.CONCAT("=",I93,"*ln(MPG) + ",R93)</f>
        <v>=-6,229*ln(MPG) + 3,614</v>
      </c>
      <c r="AB93" s="314" t="s">
        <v>1320</v>
      </c>
      <c r="AC93" s="57"/>
      <c r="AD93" s="703"/>
      <c r="AE93" s="223" t="str">
        <f t="shared" ref="AE93:AE104" si="37">C93</f>
        <v>woning</v>
      </c>
      <c r="AF93" s="310">
        <f t="shared" ref="AF93:AF104" si="38">INDEX(MPG_factor_a,MATCH($AE93,Gebruiksfuncties,0),MATCH($AE$90,GPR_Versie_en_NMD,0))</f>
        <v>-5.7670000000000003</v>
      </c>
      <c r="AG93" s="310">
        <f t="shared" ref="AG93:AG104" si="39">INDEX(MPG_factor_b,MATCH($AE93,Gebruiksfuncties,0),MATCH($AE$90,GPR_Versie_en_NMD,0))</f>
        <v>3.8359999999999999</v>
      </c>
      <c r="AH93" s="310">
        <f t="shared" ref="AH93:AI104" si="40">EXP((AH$92-$AG93)/$AF93)</f>
        <v>0.68712543101769019</v>
      </c>
      <c r="AI93" s="310">
        <f t="shared" si="40"/>
        <v>0.34340665483741845</v>
      </c>
      <c r="AJ93" s="703"/>
      <c r="AK93" s="1365" t="str">
        <f>_xlfn.CONCAT(AE93,"  ",FIXED(AH93,2)," / ",FIXED(AI93,2))</f>
        <v>woning  0.69 / 0.34</v>
      </c>
      <c r="AL93" s="705"/>
      <c r="AM93" s="705"/>
      <c r="AN93" s="705"/>
      <c r="AO93" s="705"/>
      <c r="AP93" s="152"/>
    </row>
    <row r="94" spans="1:59">
      <c r="B94" s="21"/>
      <c r="C94" s="22" t="s">
        <v>298</v>
      </c>
      <c r="D94" s="253"/>
      <c r="E94" s="265">
        <v>-5.7670000000000003</v>
      </c>
      <c r="F94" s="874">
        <f t="shared" si="31"/>
        <v>-5.7670000000000003</v>
      </c>
      <c r="G94" s="285"/>
      <c r="H94" s="265">
        <f>H93</f>
        <v>-6.2290000000000001</v>
      </c>
      <c r="I94" s="874">
        <f>I93</f>
        <v>-6.2290000000000001</v>
      </c>
      <c r="J94" s="285"/>
      <c r="K94" s="259"/>
      <c r="L94" s="231"/>
      <c r="M94" s="253"/>
      <c r="N94" s="265">
        <v>3.8359999999999999</v>
      </c>
      <c r="O94" s="874">
        <f t="shared" si="32"/>
        <v>3.8359999999999999</v>
      </c>
      <c r="P94" s="285">
        <f>O94</f>
        <v>3.8359999999999999</v>
      </c>
      <c r="Q94" s="265">
        <f>Q93</f>
        <v>3.6139999999999999</v>
      </c>
      <c r="R94" s="874">
        <f t="shared" si="33"/>
        <v>3.6139999999999999</v>
      </c>
      <c r="S94" s="285">
        <f>R94</f>
        <v>3.6139999999999999</v>
      </c>
      <c r="T94" s="259"/>
      <c r="U94" s="703"/>
      <c r="V94" s="64"/>
      <c r="W94" s="314" t="str">
        <f t="shared" ref="W94:W104" si="41">_xlfn.CONCAT("=",E94,"*ln(MPG) + ",N94)</f>
        <v>=-5,767*ln(MPG) + 3,836</v>
      </c>
      <c r="X94" s="314" t="str">
        <f t="shared" si="34"/>
        <v>=-5,767*ln(MPG) + 3,836</v>
      </c>
      <c r="Y94" s="314" t="s">
        <v>1320</v>
      </c>
      <c r="Z94" s="314" t="str">
        <f t="shared" si="35"/>
        <v>=-6,229*ln(MPG) + 3,614</v>
      </c>
      <c r="AA94" s="314" t="str">
        <f t="shared" si="36"/>
        <v>=-6,229*ln(MPG) + 3,614</v>
      </c>
      <c r="AB94" s="314" t="s">
        <v>1320</v>
      </c>
      <c r="AC94" s="57"/>
      <c r="AD94" s="703"/>
      <c r="AE94" s="1101" t="str">
        <f t="shared" si="37"/>
        <v>woongebouw</v>
      </c>
      <c r="AF94" s="310">
        <f t="shared" si="38"/>
        <v>-5.7670000000000003</v>
      </c>
      <c r="AG94" s="310">
        <f t="shared" si="39"/>
        <v>3.8359999999999999</v>
      </c>
      <c r="AH94" s="310">
        <f t="shared" si="40"/>
        <v>0.68712543101769019</v>
      </c>
      <c r="AI94" s="310">
        <f t="shared" si="40"/>
        <v>0.34340665483741845</v>
      </c>
      <c r="AJ94" s="703"/>
      <c r="AK94" s="1365" t="str">
        <f>_xlfn.CONCAT(AE94,"  ",FIXED(AH94,2)," / ",FIXED(AI94,2))</f>
        <v>woongebouw  0.69 / 0.34</v>
      </c>
      <c r="AL94" s="8"/>
      <c r="AM94" s="8"/>
      <c r="AN94" s="8"/>
      <c r="AO94" s="8"/>
      <c r="AP94" s="152"/>
    </row>
    <row r="95" spans="1:59">
      <c r="B95" s="21"/>
      <c r="C95" s="22" t="s">
        <v>303</v>
      </c>
      <c r="D95" s="253"/>
      <c r="E95" s="265">
        <v>-5.3570000000000002</v>
      </c>
      <c r="F95" s="874">
        <f t="shared" si="31"/>
        <v>-5.3570000000000002</v>
      </c>
      <c r="G95" s="874">
        <f t="shared" si="31"/>
        <v>-5.3570000000000002</v>
      </c>
      <c r="H95" s="265">
        <v>-9.4329999999999998</v>
      </c>
      <c r="I95" s="874">
        <f t="shared" ref="I95:J104" si="42">H95</f>
        <v>-9.4329999999999998</v>
      </c>
      <c r="J95" s="874">
        <f t="shared" si="42"/>
        <v>-9.4329999999999998</v>
      </c>
      <c r="K95" s="259"/>
      <c r="L95" s="231"/>
      <c r="M95" s="253"/>
      <c r="N95" s="265">
        <v>4.2529000000000003</v>
      </c>
      <c r="O95" s="874">
        <f t="shared" si="32"/>
        <v>4.2529000000000003</v>
      </c>
      <c r="P95" s="874">
        <f t="shared" si="32"/>
        <v>4.2529000000000003</v>
      </c>
      <c r="Q95" s="265">
        <v>4.0190999999999999</v>
      </c>
      <c r="R95" s="874">
        <f t="shared" si="33"/>
        <v>4.0190999999999999</v>
      </c>
      <c r="S95" s="874">
        <f>R95</f>
        <v>4.0190999999999999</v>
      </c>
      <c r="T95" s="259"/>
      <c r="U95" s="703"/>
      <c r="V95" s="64"/>
      <c r="W95" s="314" t="str">
        <f t="shared" si="41"/>
        <v>=-5,357*ln(MPG) + 4,2529</v>
      </c>
      <c r="X95" s="314" t="str">
        <f t="shared" si="34"/>
        <v>=-5,357*ln(MPG) + 4,2529</v>
      </c>
      <c r="Y95" s="314" t="str">
        <f t="shared" ref="Y95:Y104" si="43">_xlfn.CONCAT("=",G95,"*ln(MPG) + ",P95)</f>
        <v>=-5,357*ln(MPG) + 4,2529</v>
      </c>
      <c r="Z95" s="314" t="str">
        <f t="shared" si="35"/>
        <v>=-9,433*ln(MPG) + 4,0191</v>
      </c>
      <c r="AA95" s="314" t="str">
        <f t="shared" si="36"/>
        <v>=-9,433*ln(MPG) + 4,0191</v>
      </c>
      <c r="AB95" s="314" t="str">
        <f t="shared" ref="AB95:AB104" si="44">_xlfn.CONCAT("=",J95,"*ln(MPG) + ",S95)</f>
        <v>=-9,433*ln(MPG) + 4,0191</v>
      </c>
      <c r="AC95" s="57"/>
      <c r="AD95" s="703"/>
      <c r="AE95" s="1101" t="str">
        <f t="shared" si="37"/>
        <v>kantoor</v>
      </c>
      <c r="AF95" s="310">
        <f t="shared" si="38"/>
        <v>-5.3570000000000002</v>
      </c>
      <c r="AG95" s="310">
        <f t="shared" si="39"/>
        <v>4.2529000000000003</v>
      </c>
      <c r="AH95" s="310">
        <f t="shared" si="40"/>
        <v>0.72170845019163166</v>
      </c>
      <c r="AI95" s="310">
        <f t="shared" si="40"/>
        <v>0.34204238783910956</v>
      </c>
      <c r="AJ95" s="703"/>
      <c r="AK95" s="1365" t="str">
        <f t="shared" ref="AK95:AK104" si="45">_xlfn.CONCAT(AE95,"  ",FIXED(AH95,2)," / ",FIXED(AI95,2))</f>
        <v>kantoor  0.72 / 0.34</v>
      </c>
      <c r="AL95" s="705"/>
      <c r="AM95" s="705"/>
      <c r="AN95" s="705"/>
      <c r="AO95" s="705"/>
      <c r="AP95" s="152"/>
    </row>
    <row r="96" spans="1:59" s="6" customFormat="1">
      <c r="A96" s="18"/>
      <c r="B96" s="21"/>
      <c r="C96" s="22" t="s">
        <v>299</v>
      </c>
      <c r="D96" s="253"/>
      <c r="E96" s="265">
        <v>-5.6340000000000003</v>
      </c>
      <c r="F96" s="874">
        <f t="shared" si="31"/>
        <v>-5.6340000000000003</v>
      </c>
      <c r="G96" s="874">
        <f t="shared" si="31"/>
        <v>-5.6340000000000003</v>
      </c>
      <c r="H96" s="265">
        <v>-6.6280000000000001</v>
      </c>
      <c r="I96" s="874">
        <f t="shared" si="42"/>
        <v>-6.6280000000000001</v>
      </c>
      <c r="J96" s="874">
        <f t="shared" si="42"/>
        <v>-6.6280000000000001</v>
      </c>
      <c r="K96" s="259"/>
      <c r="L96" s="231"/>
      <c r="M96" s="253"/>
      <c r="N96" s="265">
        <v>5.4684999999999997</v>
      </c>
      <c r="O96" s="874">
        <f t="shared" si="32"/>
        <v>5.4684999999999997</v>
      </c>
      <c r="P96" s="874">
        <f t="shared" si="32"/>
        <v>5.4684999999999997</v>
      </c>
      <c r="Q96" s="265">
        <v>5.5023</v>
      </c>
      <c r="R96" s="874">
        <f t="shared" si="33"/>
        <v>5.5023</v>
      </c>
      <c r="S96" s="874">
        <f t="shared" si="33"/>
        <v>5.5023</v>
      </c>
      <c r="T96" s="259"/>
      <c r="U96" s="703"/>
      <c r="V96" s="64"/>
      <c r="W96" s="314" t="str">
        <f t="shared" si="41"/>
        <v>=-5,634*ln(MPG) + 5,4685</v>
      </c>
      <c r="X96" s="314" t="str">
        <f t="shared" si="34"/>
        <v>=-5,634*ln(MPG) + 5,4685</v>
      </c>
      <c r="Y96" s="314" t="str">
        <f t="shared" si="43"/>
        <v>=-5,634*ln(MPG) + 5,4685</v>
      </c>
      <c r="Z96" s="314" t="str">
        <f t="shared" si="35"/>
        <v>=-6,628*ln(MPG) + 5,5023</v>
      </c>
      <c r="AA96" s="314" t="str">
        <f t="shared" si="36"/>
        <v>=-6,628*ln(MPG) + 5,5023</v>
      </c>
      <c r="AB96" s="314" t="str">
        <f t="shared" si="44"/>
        <v>=-6,628*ln(MPG) + 5,5023</v>
      </c>
      <c r="AC96" s="57"/>
      <c r="AD96" s="703"/>
      <c r="AE96" s="1101" t="str">
        <f t="shared" si="37"/>
        <v>bijeenkomst overig</v>
      </c>
      <c r="AF96" s="310">
        <f t="shared" si="38"/>
        <v>-5.6340000000000003</v>
      </c>
      <c r="AG96" s="310">
        <f t="shared" si="39"/>
        <v>5.4684999999999997</v>
      </c>
      <c r="AH96" s="310">
        <f t="shared" si="40"/>
        <v>0.90997518582080561</v>
      </c>
      <c r="AI96" s="310">
        <f t="shared" si="40"/>
        <v>0.44739513718418583</v>
      </c>
      <c r="AJ96" s="703"/>
      <c r="AK96" s="1365" t="str">
        <f t="shared" si="45"/>
        <v>bijeenkomst overig  0.91 / 0.45</v>
      </c>
      <c r="AL96" s="8"/>
      <c r="AM96" s="8"/>
      <c r="AN96" s="8"/>
      <c r="AO96" s="8"/>
      <c r="AP96" s="152"/>
      <c r="AQ96" s="2"/>
      <c r="AR96" s="2"/>
      <c r="AS96" s="2"/>
      <c r="AT96" s="2"/>
      <c r="AU96" s="2"/>
      <c r="AV96" s="2"/>
      <c r="AW96" s="2"/>
      <c r="AX96" s="2"/>
      <c r="AY96" s="2"/>
      <c r="AZ96" s="2"/>
      <c r="BA96" s="2"/>
      <c r="BB96" s="2"/>
      <c r="BC96" s="2"/>
      <c r="BD96" s="2"/>
      <c r="BE96" s="2"/>
      <c r="BF96" s="2"/>
      <c r="BG96" s="2"/>
    </row>
    <row r="97" spans="1:59" s="8" customFormat="1">
      <c r="A97" s="18"/>
      <c r="B97" s="21"/>
      <c r="C97" s="22" t="s">
        <v>422</v>
      </c>
      <c r="D97" s="253"/>
      <c r="E97" s="266">
        <f>E98</f>
        <v>-5.56</v>
      </c>
      <c r="F97" s="874">
        <f t="shared" si="31"/>
        <v>-5.56</v>
      </c>
      <c r="G97" s="874">
        <f t="shared" si="31"/>
        <v>-5.56</v>
      </c>
      <c r="H97" s="266">
        <f>H98</f>
        <v>-8.84</v>
      </c>
      <c r="I97" s="874">
        <f t="shared" si="42"/>
        <v>-8.84</v>
      </c>
      <c r="J97" s="874">
        <f t="shared" si="42"/>
        <v>-8.84</v>
      </c>
      <c r="K97" s="259"/>
      <c r="L97" s="231"/>
      <c r="M97" s="253"/>
      <c r="N97" s="266">
        <f>N98</f>
        <v>5.1684999999999999</v>
      </c>
      <c r="O97" s="874">
        <f>O98</f>
        <v>5.1684999999999999</v>
      </c>
      <c r="P97" s="874">
        <f>P98</f>
        <v>5.1684999999999999</v>
      </c>
      <c r="Q97" s="266">
        <f>Q98</f>
        <v>4.5613000000000001</v>
      </c>
      <c r="R97" s="874">
        <f t="shared" si="33"/>
        <v>4.5613000000000001</v>
      </c>
      <c r="S97" s="874">
        <f>S98</f>
        <v>4.5613000000000001</v>
      </c>
      <c r="T97" s="259"/>
      <c r="U97" s="703"/>
      <c r="V97" s="64"/>
      <c r="W97" s="315" t="str">
        <f t="shared" si="41"/>
        <v>=-5,56*ln(MPG) + 5,1685</v>
      </c>
      <c r="X97" s="315" t="str">
        <f t="shared" si="34"/>
        <v>=-5,56*ln(MPG) + 5,1685</v>
      </c>
      <c r="Y97" s="315" t="str">
        <f t="shared" si="43"/>
        <v>=-5,56*ln(MPG) + 5,1685</v>
      </c>
      <c r="Z97" s="315" t="str">
        <f t="shared" si="35"/>
        <v>=-8,84*ln(MPG) + 4,5613</v>
      </c>
      <c r="AA97" s="315" t="str">
        <f t="shared" si="36"/>
        <v>=-8,84*ln(MPG) + 4,5613</v>
      </c>
      <c r="AB97" s="315" t="str">
        <f t="shared" si="44"/>
        <v>=-8,84*ln(MPG) + 4,5613</v>
      </c>
      <c r="AC97" s="57"/>
      <c r="AD97" s="703"/>
      <c r="AE97" s="223" t="str">
        <f t="shared" si="37"/>
        <v>bijeenkomst kinderdagverblijf</v>
      </c>
      <c r="AF97" s="310">
        <f t="shared" si="38"/>
        <v>-5.56</v>
      </c>
      <c r="AG97" s="310">
        <f t="shared" si="39"/>
        <v>5.1684999999999999</v>
      </c>
      <c r="AH97" s="310">
        <f t="shared" si="40"/>
        <v>0.86109507242772054</v>
      </c>
      <c r="AI97" s="310">
        <f t="shared" si="40"/>
        <v>0.41938127016959614</v>
      </c>
      <c r="AJ97" s="703"/>
      <c r="AK97" s="1365" t="str">
        <f t="shared" si="45"/>
        <v>bijeenkomst kinderdagverblijf  0.86 / 0.42</v>
      </c>
      <c r="AL97" s="705"/>
      <c r="AM97" s="705"/>
      <c r="AN97" s="705"/>
      <c r="AO97" s="705"/>
      <c r="AP97" s="152"/>
      <c r="AQ97" s="2"/>
      <c r="AR97" s="2"/>
      <c r="AS97" s="2"/>
      <c r="AT97" s="2"/>
      <c r="AU97" s="2"/>
      <c r="AV97" s="2"/>
      <c r="AW97" s="2"/>
      <c r="AX97" s="2"/>
      <c r="AY97" s="2"/>
      <c r="AZ97" s="2"/>
      <c r="BA97" s="2"/>
      <c r="BB97" s="2"/>
      <c r="BC97" s="2"/>
      <c r="BD97" s="2"/>
      <c r="BE97" s="2"/>
      <c r="BF97" s="2"/>
      <c r="BG97" s="2"/>
    </row>
    <row r="98" spans="1:59" s="8" customFormat="1">
      <c r="A98" s="18"/>
      <c r="B98" s="21"/>
      <c r="C98" s="22" t="s">
        <v>305</v>
      </c>
      <c r="D98" s="253"/>
      <c r="E98" s="265">
        <v>-5.56</v>
      </c>
      <c r="F98" s="874">
        <f t="shared" si="31"/>
        <v>-5.56</v>
      </c>
      <c r="G98" s="874">
        <f t="shared" si="31"/>
        <v>-5.56</v>
      </c>
      <c r="H98" s="265">
        <v>-8.84</v>
      </c>
      <c r="I98" s="874">
        <f t="shared" si="42"/>
        <v>-8.84</v>
      </c>
      <c r="J98" s="874">
        <f t="shared" si="42"/>
        <v>-8.84</v>
      </c>
      <c r="K98" s="259"/>
      <c r="L98" s="231"/>
      <c r="M98" s="253"/>
      <c r="N98" s="265">
        <v>5.1684999999999999</v>
      </c>
      <c r="O98" s="874">
        <f>N98</f>
        <v>5.1684999999999999</v>
      </c>
      <c r="P98" s="874">
        <f>O98</f>
        <v>5.1684999999999999</v>
      </c>
      <c r="Q98" s="265">
        <v>4.5613000000000001</v>
      </c>
      <c r="R98" s="874">
        <f t="shared" si="33"/>
        <v>4.5613000000000001</v>
      </c>
      <c r="S98" s="874">
        <f>R98</f>
        <v>4.5613000000000001</v>
      </c>
      <c r="T98" s="259"/>
      <c r="U98" s="703"/>
      <c r="V98" s="64"/>
      <c r="W98" s="314" t="str">
        <f t="shared" si="41"/>
        <v>=-5,56*ln(MPG) + 5,1685</v>
      </c>
      <c r="X98" s="314" t="str">
        <f t="shared" si="34"/>
        <v>=-5,56*ln(MPG) + 5,1685</v>
      </c>
      <c r="Y98" s="314" t="str">
        <f t="shared" si="43"/>
        <v>=-5,56*ln(MPG) + 5,1685</v>
      </c>
      <c r="Z98" s="314" t="str">
        <f t="shared" si="35"/>
        <v>=-8,84*ln(MPG) + 4,5613</v>
      </c>
      <c r="AA98" s="314" t="str">
        <f t="shared" si="36"/>
        <v>=-8,84*ln(MPG) + 4,5613</v>
      </c>
      <c r="AB98" s="314" t="str">
        <f t="shared" si="44"/>
        <v>=-8,84*ln(MPG) + 4,5613</v>
      </c>
      <c r="AC98" s="57"/>
      <c r="AD98" s="703"/>
      <c r="AE98" s="1101" t="str">
        <f t="shared" si="37"/>
        <v>onderwijs</v>
      </c>
      <c r="AF98" s="310">
        <f t="shared" si="38"/>
        <v>-5.56</v>
      </c>
      <c r="AG98" s="310">
        <f t="shared" si="39"/>
        <v>5.1684999999999999</v>
      </c>
      <c r="AH98" s="310">
        <f t="shared" si="40"/>
        <v>0.86109507242772054</v>
      </c>
      <c r="AI98" s="310">
        <f t="shared" si="40"/>
        <v>0.41938127016959614</v>
      </c>
      <c r="AJ98" s="703"/>
      <c r="AK98" s="1365" t="str">
        <f t="shared" si="45"/>
        <v>onderwijs  0.86 / 0.42</v>
      </c>
      <c r="AP98" s="152"/>
      <c r="AQ98" s="2"/>
      <c r="AR98" s="2"/>
      <c r="AS98" s="2"/>
      <c r="AT98" s="2"/>
      <c r="AU98" s="2"/>
      <c r="AV98" s="2"/>
      <c r="AW98" s="2"/>
      <c r="AX98" s="2"/>
      <c r="AY98" s="2"/>
      <c r="AZ98" s="2"/>
      <c r="BA98" s="2"/>
      <c r="BB98" s="2"/>
      <c r="BC98" s="2"/>
      <c r="BD98" s="2"/>
      <c r="BE98" s="2"/>
      <c r="BF98" s="2"/>
      <c r="BG98" s="2"/>
    </row>
    <row r="99" spans="1:59">
      <c r="B99" s="21"/>
      <c r="C99" s="22" t="s">
        <v>302</v>
      </c>
      <c r="D99" s="253"/>
      <c r="E99" s="266" t="str">
        <f>"#N/B"</f>
        <v>#N/B</v>
      </c>
      <c r="F99" s="874" t="str">
        <f t="shared" si="31"/>
        <v>#N/B</v>
      </c>
      <c r="G99" s="874" t="str">
        <f t="shared" si="31"/>
        <v>#N/B</v>
      </c>
      <c r="H99" s="266" t="str">
        <f>"#N/B"</f>
        <v>#N/B</v>
      </c>
      <c r="I99" s="874" t="str">
        <f t="shared" si="42"/>
        <v>#N/B</v>
      </c>
      <c r="J99" s="874" t="str">
        <f t="shared" si="42"/>
        <v>#N/B</v>
      </c>
      <c r="K99" s="259"/>
      <c r="L99" s="231"/>
      <c r="M99" s="253"/>
      <c r="N99" s="266" t="str">
        <f t="shared" ref="N99:S100" si="46">"#N/B"</f>
        <v>#N/B</v>
      </c>
      <c r="O99" s="874" t="str">
        <f t="shared" si="46"/>
        <v>#N/B</v>
      </c>
      <c r="P99" s="874" t="str">
        <f t="shared" si="46"/>
        <v>#N/B</v>
      </c>
      <c r="Q99" s="266" t="str">
        <f t="shared" si="46"/>
        <v>#N/B</v>
      </c>
      <c r="R99" s="874" t="str">
        <f t="shared" si="33"/>
        <v>#N/B</v>
      </c>
      <c r="S99" s="874" t="str">
        <f t="shared" si="46"/>
        <v>#N/B</v>
      </c>
      <c r="T99" s="259"/>
      <c r="U99" s="703"/>
      <c r="V99" s="64"/>
      <c r="W99" s="315" t="str">
        <f t="shared" si="41"/>
        <v>=#N/B*ln(MPG) + #N/B</v>
      </c>
      <c r="X99" s="315" t="str">
        <f t="shared" si="34"/>
        <v>=#N/B*ln(MPG) + #N/B</v>
      </c>
      <c r="Y99" s="315" t="str">
        <f t="shared" si="43"/>
        <v>=#N/B*ln(MPG) + #N/B</v>
      </c>
      <c r="Z99" s="315" t="str">
        <f t="shared" si="35"/>
        <v>=#N/B*ln(MPG) + #N/B</v>
      </c>
      <c r="AA99" s="315" t="str">
        <f t="shared" si="36"/>
        <v>=#N/B*ln(MPG) + #N/B</v>
      </c>
      <c r="AB99" s="315" t="str">
        <f t="shared" si="44"/>
        <v>=#N/B*ln(MPG) + #N/B</v>
      </c>
      <c r="AC99" s="57"/>
      <c r="AD99" s="703"/>
      <c r="AE99" s="223" t="str">
        <f t="shared" si="37"/>
        <v>gezondheid overig</v>
      </c>
      <c r="AF99" s="310" t="str">
        <f t="shared" si="38"/>
        <v>#N/B</v>
      </c>
      <c r="AG99" s="310" t="str">
        <f t="shared" si="39"/>
        <v>#N/B</v>
      </c>
      <c r="AH99" s="310" t="e">
        <f t="shared" si="40"/>
        <v>#VALUE!</v>
      </c>
      <c r="AI99" s="310" t="e">
        <f t="shared" si="40"/>
        <v>#VALUE!</v>
      </c>
      <c r="AJ99" s="703"/>
      <c r="AK99" s="1365" t="e">
        <f t="shared" si="45"/>
        <v>#VALUE!</v>
      </c>
      <c r="AL99" s="705"/>
      <c r="AM99" s="705"/>
      <c r="AN99" s="705"/>
      <c r="AO99" s="705"/>
      <c r="AP99" s="152"/>
    </row>
    <row r="100" spans="1:59">
      <c r="B100" s="21"/>
      <c r="C100" s="22" t="s">
        <v>423</v>
      </c>
      <c r="D100" s="253"/>
      <c r="E100" s="266" t="str">
        <f>"#N/B"</f>
        <v>#N/B</v>
      </c>
      <c r="F100" s="874" t="str">
        <f t="shared" si="31"/>
        <v>#N/B</v>
      </c>
      <c r="G100" s="874" t="str">
        <f t="shared" si="31"/>
        <v>#N/B</v>
      </c>
      <c r="H100" s="266" t="str">
        <f>"#N/B"</f>
        <v>#N/B</v>
      </c>
      <c r="I100" s="874" t="str">
        <f t="shared" si="42"/>
        <v>#N/B</v>
      </c>
      <c r="J100" s="874" t="str">
        <f t="shared" si="42"/>
        <v>#N/B</v>
      </c>
      <c r="K100" s="259"/>
      <c r="L100" s="231"/>
      <c r="M100" s="253"/>
      <c r="N100" s="266" t="str">
        <f t="shared" si="46"/>
        <v>#N/B</v>
      </c>
      <c r="O100" s="874" t="str">
        <f t="shared" si="46"/>
        <v>#N/B</v>
      </c>
      <c r="P100" s="874" t="str">
        <f t="shared" si="46"/>
        <v>#N/B</v>
      </c>
      <c r="Q100" s="266" t="str">
        <f t="shared" si="46"/>
        <v>#N/B</v>
      </c>
      <c r="R100" s="874" t="str">
        <f t="shared" si="33"/>
        <v>#N/B</v>
      </c>
      <c r="S100" s="874" t="str">
        <f t="shared" si="46"/>
        <v>#N/B</v>
      </c>
      <c r="T100" s="259"/>
      <c r="U100" s="703"/>
      <c r="V100" s="64"/>
      <c r="W100" s="315" t="str">
        <f t="shared" si="41"/>
        <v>=#N/B*ln(MPG) + #N/B</v>
      </c>
      <c r="X100" s="315" t="str">
        <f t="shared" si="34"/>
        <v>=#N/B*ln(MPG) + #N/B</v>
      </c>
      <c r="Y100" s="315" t="str">
        <f t="shared" si="43"/>
        <v>=#N/B*ln(MPG) + #N/B</v>
      </c>
      <c r="Z100" s="315" t="str">
        <f t="shared" si="35"/>
        <v>=#N/B*ln(MPG) + #N/B</v>
      </c>
      <c r="AA100" s="315" t="str">
        <f t="shared" si="36"/>
        <v>=#N/B*ln(MPG) + #N/B</v>
      </c>
      <c r="AB100" s="315" t="str">
        <f t="shared" si="44"/>
        <v>=#N/B*ln(MPG) + #N/B</v>
      </c>
      <c r="AC100" s="57"/>
      <c r="AD100" s="703"/>
      <c r="AE100" s="223" t="str">
        <f t="shared" si="37"/>
        <v>gezondheid bedgebied</v>
      </c>
      <c r="AF100" s="310" t="str">
        <f t="shared" si="38"/>
        <v>#N/B</v>
      </c>
      <c r="AG100" s="310" t="str">
        <f t="shared" si="39"/>
        <v>#N/B</v>
      </c>
      <c r="AH100" s="310" t="e">
        <f t="shared" si="40"/>
        <v>#VALUE!</v>
      </c>
      <c r="AI100" s="310" t="e">
        <f t="shared" si="40"/>
        <v>#VALUE!</v>
      </c>
      <c r="AJ100" s="703"/>
      <c r="AK100" s="1365" t="e">
        <f t="shared" si="45"/>
        <v>#VALUE!</v>
      </c>
      <c r="AL100" s="8"/>
      <c r="AM100" s="8"/>
      <c r="AN100" s="8"/>
      <c r="AO100" s="8"/>
      <c r="AP100" s="152"/>
    </row>
    <row r="101" spans="1:59">
      <c r="B101" s="21"/>
      <c r="C101" s="22" t="s">
        <v>307</v>
      </c>
      <c r="D101" s="253"/>
      <c r="E101" s="265">
        <v>-5.1950000000000003</v>
      </c>
      <c r="F101" s="874">
        <f t="shared" si="31"/>
        <v>-5.1950000000000003</v>
      </c>
      <c r="G101" s="874">
        <f t="shared" si="31"/>
        <v>-5.1950000000000003</v>
      </c>
      <c r="H101" s="265">
        <v>-8.02</v>
      </c>
      <c r="I101" s="874">
        <f t="shared" si="42"/>
        <v>-8.02</v>
      </c>
      <c r="J101" s="874">
        <f t="shared" si="42"/>
        <v>-8.02</v>
      </c>
      <c r="K101" s="259"/>
      <c r="L101" s="231"/>
      <c r="M101" s="253"/>
      <c r="N101" s="265">
        <v>6.1741999999999999</v>
      </c>
      <c r="O101" s="874">
        <f t="shared" ref="O101:P103" si="47">N101</f>
        <v>6.1741999999999999</v>
      </c>
      <c r="P101" s="874">
        <f t="shared" si="47"/>
        <v>6.1741999999999999</v>
      </c>
      <c r="Q101" s="265">
        <v>5.0240999999999998</v>
      </c>
      <c r="R101" s="874">
        <f t="shared" si="33"/>
        <v>5.0240999999999998</v>
      </c>
      <c r="S101" s="874">
        <f t="shared" si="33"/>
        <v>5.0240999999999998</v>
      </c>
      <c r="T101" s="259"/>
      <c r="U101" s="703"/>
      <c r="V101" s="64"/>
      <c r="W101" s="314" t="str">
        <f t="shared" si="41"/>
        <v>=-5,195*ln(MPG) + 6,1742</v>
      </c>
      <c r="X101" s="314" t="str">
        <f t="shared" si="34"/>
        <v>=-5,195*ln(MPG) + 6,1742</v>
      </c>
      <c r="Y101" s="314" t="str">
        <f t="shared" si="43"/>
        <v>=-5,195*ln(MPG) + 6,1742</v>
      </c>
      <c r="Z101" s="314" t="str">
        <f t="shared" si="35"/>
        <v>=-8,02*ln(MPG) + 5,0241</v>
      </c>
      <c r="AA101" s="314" t="str">
        <f t="shared" si="36"/>
        <v>=-8,02*ln(MPG) + 5,0241</v>
      </c>
      <c r="AB101" s="314" t="str">
        <f t="shared" si="44"/>
        <v>=-8,02*ln(MPG) + 5,0241</v>
      </c>
      <c r="AC101" s="57"/>
      <c r="AD101" s="703"/>
      <c r="AE101" s="1101" t="str">
        <f t="shared" si="37"/>
        <v>winkel</v>
      </c>
      <c r="AF101" s="310">
        <f t="shared" si="38"/>
        <v>-5.1950000000000003</v>
      </c>
      <c r="AG101" s="310">
        <f t="shared" si="39"/>
        <v>6.1741999999999999</v>
      </c>
      <c r="AH101" s="310">
        <f t="shared" si="40"/>
        <v>1.0341007852256354</v>
      </c>
      <c r="AI101" s="310">
        <f t="shared" si="40"/>
        <v>0.47881600260440521</v>
      </c>
      <c r="AJ101" s="703"/>
      <c r="AK101" s="1365" t="str">
        <f t="shared" si="45"/>
        <v>winkel  1.03 / 0.48</v>
      </c>
      <c r="AL101" s="705"/>
      <c r="AM101" s="705"/>
      <c r="AN101" s="705"/>
      <c r="AO101" s="705"/>
      <c r="AP101" s="152"/>
    </row>
    <row r="102" spans="1:59">
      <c r="B102" s="21"/>
      <c r="C102" s="22" t="s">
        <v>306</v>
      </c>
      <c r="D102" s="253"/>
      <c r="E102" s="265">
        <v>-5.4290000000000003</v>
      </c>
      <c r="F102" s="874">
        <f t="shared" si="31"/>
        <v>-5.4290000000000003</v>
      </c>
      <c r="G102" s="874">
        <f t="shared" si="31"/>
        <v>-5.4290000000000003</v>
      </c>
      <c r="H102" s="266">
        <f>E102</f>
        <v>-5.4290000000000003</v>
      </c>
      <c r="I102" s="874">
        <f t="shared" si="42"/>
        <v>-5.4290000000000003</v>
      </c>
      <c r="J102" s="874">
        <f t="shared" si="42"/>
        <v>-5.4290000000000003</v>
      </c>
      <c r="K102" s="259"/>
      <c r="L102" s="231"/>
      <c r="M102" s="253"/>
      <c r="N102" s="265">
        <v>6.5660999999999996</v>
      </c>
      <c r="O102" s="874">
        <f t="shared" si="47"/>
        <v>6.5660999999999996</v>
      </c>
      <c r="P102" s="874">
        <f t="shared" si="47"/>
        <v>6.5660999999999996</v>
      </c>
      <c r="Q102" s="266">
        <f>N102</f>
        <v>6.5660999999999996</v>
      </c>
      <c r="R102" s="874">
        <f t="shared" si="33"/>
        <v>6.5660999999999996</v>
      </c>
      <c r="S102" s="874">
        <f t="shared" si="33"/>
        <v>6.5660999999999996</v>
      </c>
      <c r="T102" s="259"/>
      <c r="U102" s="703"/>
      <c r="V102" s="64"/>
      <c r="W102" s="314" t="str">
        <f t="shared" si="41"/>
        <v>=-5,429*ln(MPG) + 6,5661</v>
      </c>
      <c r="X102" s="314" t="str">
        <f t="shared" si="34"/>
        <v>=-5,429*ln(MPG) + 6,5661</v>
      </c>
      <c r="Y102" s="314" t="str">
        <f t="shared" si="43"/>
        <v>=-5,429*ln(MPG) + 6,5661</v>
      </c>
      <c r="Z102" s="314" t="str">
        <f t="shared" si="35"/>
        <v>=-5,429*ln(MPG) + 6,5661</v>
      </c>
      <c r="AA102" s="314" t="str">
        <f t="shared" si="36"/>
        <v>=-5,429*ln(MPG) + 6,5661</v>
      </c>
      <c r="AB102" s="314" t="str">
        <f t="shared" si="44"/>
        <v>=-5,429*ln(MPG) + 6,5661</v>
      </c>
      <c r="AC102" s="57"/>
      <c r="AD102" s="703"/>
      <c r="AE102" s="1101" t="str">
        <f t="shared" si="37"/>
        <v>sport</v>
      </c>
      <c r="AF102" s="310">
        <f t="shared" si="38"/>
        <v>-5.4290000000000003</v>
      </c>
      <c r="AG102" s="310">
        <f t="shared" si="39"/>
        <v>6.5660999999999996</v>
      </c>
      <c r="AH102" s="310">
        <f t="shared" si="40"/>
        <v>1.1099038021523646</v>
      </c>
      <c r="AI102" s="310">
        <f t="shared" si="40"/>
        <v>0.53125635775881819</v>
      </c>
      <c r="AJ102" s="703"/>
      <c r="AK102" s="1365" t="str">
        <f t="shared" si="45"/>
        <v>sport  1.11 / 0.53</v>
      </c>
      <c r="AL102" s="8"/>
      <c r="AM102" s="8"/>
      <c r="AN102" s="8"/>
      <c r="AO102" s="8"/>
      <c r="AP102" s="152"/>
    </row>
    <row r="103" spans="1:59">
      <c r="B103" s="21"/>
      <c r="C103" s="22" t="s">
        <v>424</v>
      </c>
      <c r="D103" s="253"/>
      <c r="E103" s="265">
        <v>-5.7450000000000001</v>
      </c>
      <c r="F103" s="874">
        <f t="shared" si="31"/>
        <v>-5.7450000000000001</v>
      </c>
      <c r="G103" s="874">
        <f t="shared" si="31"/>
        <v>-5.7450000000000001</v>
      </c>
      <c r="H103" s="265">
        <v>-8.2200000000000006</v>
      </c>
      <c r="I103" s="874">
        <f t="shared" si="42"/>
        <v>-8.2200000000000006</v>
      </c>
      <c r="J103" s="874">
        <f t="shared" si="42"/>
        <v>-8.2200000000000006</v>
      </c>
      <c r="K103" s="259"/>
      <c r="L103" s="231"/>
      <c r="M103" s="253"/>
      <c r="N103" s="265">
        <v>4.4561999999999999</v>
      </c>
      <c r="O103" s="874">
        <f t="shared" si="47"/>
        <v>4.4561999999999999</v>
      </c>
      <c r="P103" s="874">
        <f t="shared" si="47"/>
        <v>4.4561999999999999</v>
      </c>
      <c r="Q103" s="265">
        <v>3.9643999999999999</v>
      </c>
      <c r="R103" s="874">
        <f t="shared" si="33"/>
        <v>3.9643999999999999</v>
      </c>
      <c r="S103" s="874">
        <f t="shared" si="33"/>
        <v>3.9643999999999999</v>
      </c>
      <c r="T103" s="259"/>
      <c r="U103" s="703"/>
      <c r="V103" s="64"/>
      <c r="W103" s="314" t="str">
        <f t="shared" si="41"/>
        <v>=-5,745*ln(MPG) + 4,4562</v>
      </c>
      <c r="X103" s="314" t="str">
        <f t="shared" si="34"/>
        <v>=-5,745*ln(MPG) + 4,4562</v>
      </c>
      <c r="Y103" s="314" t="str">
        <f t="shared" si="43"/>
        <v>=-5,745*ln(MPG) + 4,4562</v>
      </c>
      <c r="Z103" s="314" t="str">
        <f t="shared" si="35"/>
        <v>=-8,22*ln(MPG) + 3,9644</v>
      </c>
      <c r="AA103" s="314" t="str">
        <f t="shared" si="36"/>
        <v>=-8,22*ln(MPG) + 3,9644</v>
      </c>
      <c r="AB103" s="314" t="str">
        <f t="shared" si="44"/>
        <v>=-8,22*ln(MPG) + 3,9644</v>
      </c>
      <c r="AC103" s="57"/>
      <c r="AD103" s="703"/>
      <c r="AE103" s="1101" t="str">
        <f t="shared" si="37"/>
        <v>logies in logiesgebouw</v>
      </c>
      <c r="AF103" s="310">
        <f t="shared" si="38"/>
        <v>-5.7450000000000001</v>
      </c>
      <c r="AG103" s="310">
        <f t="shared" si="39"/>
        <v>4.4561999999999999</v>
      </c>
      <c r="AH103" s="310">
        <f t="shared" si="40"/>
        <v>0.76435676674654418</v>
      </c>
      <c r="AI103" s="310">
        <f t="shared" si="40"/>
        <v>0.38099148928121052</v>
      </c>
      <c r="AJ103" s="703"/>
      <c r="AK103" s="1365" t="str">
        <f t="shared" si="45"/>
        <v>logies in logiesgebouw  0.76 / 0.38</v>
      </c>
      <c r="AL103" s="703"/>
      <c r="AM103" s="703"/>
      <c r="AN103" s="703"/>
      <c r="AO103" s="703"/>
      <c r="AP103" s="152"/>
    </row>
    <row r="104" spans="1:59">
      <c r="B104" s="21"/>
      <c r="C104" s="22" t="s">
        <v>425</v>
      </c>
      <c r="D104" s="256"/>
      <c r="E104" s="267" t="str">
        <f>"#N/B"</f>
        <v>#N/B</v>
      </c>
      <c r="F104" s="875" t="str">
        <f t="shared" si="31"/>
        <v>#N/B</v>
      </c>
      <c r="G104" s="875" t="str">
        <f t="shared" si="31"/>
        <v>#N/B</v>
      </c>
      <c r="H104" s="267" t="str">
        <f>"#N/B"</f>
        <v>#N/B</v>
      </c>
      <c r="I104" s="875" t="str">
        <f t="shared" si="42"/>
        <v>#N/B</v>
      </c>
      <c r="J104" s="875" t="str">
        <f t="shared" si="42"/>
        <v>#N/B</v>
      </c>
      <c r="K104" s="260"/>
      <c r="L104" s="231"/>
      <c r="M104" s="256"/>
      <c r="N104" s="267" t="str">
        <f>"#N/B"</f>
        <v>#N/B</v>
      </c>
      <c r="O104" s="875" t="str">
        <f>"#N/B"</f>
        <v>#N/B</v>
      </c>
      <c r="P104" s="875" t="str">
        <f>"#N/B"</f>
        <v>#N/B</v>
      </c>
      <c r="Q104" s="267" t="str">
        <f>"#N/B"</f>
        <v>#N/B</v>
      </c>
      <c r="R104" s="875" t="str">
        <f t="shared" si="33"/>
        <v>#N/B</v>
      </c>
      <c r="S104" s="875" t="str">
        <f>"#N/B"</f>
        <v>#N/B</v>
      </c>
      <c r="T104" s="260"/>
      <c r="U104" s="703"/>
      <c r="V104" s="64"/>
      <c r="W104" s="315" t="str">
        <f t="shared" si="41"/>
        <v>=#N/B*ln(MPG) + #N/B</v>
      </c>
      <c r="X104" s="315" t="str">
        <f t="shared" si="34"/>
        <v>=#N/B*ln(MPG) + #N/B</v>
      </c>
      <c r="Y104" s="315" t="str">
        <f t="shared" si="43"/>
        <v>=#N/B*ln(MPG) + #N/B</v>
      </c>
      <c r="Z104" s="315" t="str">
        <f t="shared" si="35"/>
        <v>=#N/B*ln(MPG) + #N/B</v>
      </c>
      <c r="AA104" s="315" t="str">
        <f t="shared" si="36"/>
        <v>=#N/B*ln(MPG) + #N/B</v>
      </c>
      <c r="AB104" s="315" t="str">
        <f t="shared" si="44"/>
        <v>=#N/B*ln(MPG) + #N/B</v>
      </c>
      <c r="AC104" s="57"/>
      <c r="AD104" s="703"/>
      <c r="AE104" s="223" t="str">
        <f t="shared" si="37"/>
        <v>cel</v>
      </c>
      <c r="AF104" s="310" t="str">
        <f t="shared" si="38"/>
        <v>#N/B</v>
      </c>
      <c r="AG104" s="310" t="str">
        <f t="shared" si="39"/>
        <v>#N/B</v>
      </c>
      <c r="AH104" s="310" t="e">
        <f t="shared" si="40"/>
        <v>#VALUE!</v>
      </c>
      <c r="AI104" s="310" t="e">
        <f t="shared" si="40"/>
        <v>#VALUE!</v>
      </c>
      <c r="AJ104" s="703"/>
      <c r="AK104" s="1365" t="e">
        <f t="shared" si="45"/>
        <v>#VALUE!</v>
      </c>
      <c r="AL104" s="703"/>
      <c r="AM104" s="703"/>
      <c r="AN104" s="703"/>
      <c r="AO104" s="703"/>
      <c r="AP104" s="152"/>
    </row>
    <row r="105" spans="1:59">
      <c r="B105" s="21"/>
      <c r="C105" s="703"/>
      <c r="D105" s="703"/>
      <c r="E105" s="703"/>
      <c r="F105" s="703"/>
      <c r="G105" s="703"/>
      <c r="H105" s="703"/>
      <c r="I105" s="703"/>
      <c r="J105" s="703"/>
      <c r="K105" s="703"/>
      <c r="M105" s="703"/>
      <c r="O105" s="703"/>
      <c r="P105" s="703"/>
      <c r="Q105" s="703"/>
      <c r="R105" s="703"/>
      <c r="S105" s="703"/>
      <c r="T105" s="703"/>
      <c r="U105" s="703"/>
      <c r="V105" s="18"/>
      <c r="X105" s="18"/>
      <c r="Y105" s="18"/>
      <c r="Z105" s="18"/>
      <c r="AA105" s="18"/>
      <c r="AB105" s="18"/>
      <c r="AC105" s="18"/>
      <c r="AD105" s="18"/>
      <c r="AE105" s="18"/>
      <c r="AF105" s="18"/>
      <c r="AG105" s="18"/>
      <c r="AH105" s="18"/>
      <c r="AI105" s="18"/>
      <c r="AJ105" s="18"/>
      <c r="AK105" s="18"/>
      <c r="AL105" s="18"/>
      <c r="AM105" s="18"/>
      <c r="AN105" s="18"/>
      <c r="AO105" s="18"/>
      <c r="AP105" s="18"/>
    </row>
    <row r="106" spans="1:59">
      <c r="A106" s="19"/>
      <c r="B106" s="88">
        <f ca="1">MAX($B$1:OFFSET(B106,-1,0))+1</f>
        <v>14</v>
      </c>
      <c r="C106" s="89" t="s">
        <v>1589</v>
      </c>
      <c r="D106" s="89"/>
      <c r="E106" s="89">
        <f t="shared" ref="E106:J106" ca="1" si="48">OFFSET(E106,0,-1)+1</f>
        <v>1</v>
      </c>
      <c r="F106" s="89">
        <f t="shared" ca="1" si="48"/>
        <v>2</v>
      </c>
      <c r="G106" s="89">
        <f t="shared" ca="1" si="48"/>
        <v>3</v>
      </c>
      <c r="H106" s="89">
        <f t="shared" ca="1" si="48"/>
        <v>4</v>
      </c>
      <c r="I106" s="89">
        <f t="shared" ca="1" si="48"/>
        <v>5</v>
      </c>
      <c r="J106" s="89">
        <f t="shared" ca="1" si="48"/>
        <v>6</v>
      </c>
      <c r="K106" s="233"/>
      <c r="L106" s="227"/>
      <c r="M106" s="233"/>
      <c r="N106" s="89">
        <f t="shared" ref="N106:S106" ca="1" si="49">OFFSET(N106,0,-1)+1</f>
        <v>1</v>
      </c>
      <c r="O106" s="89">
        <f t="shared" ca="1" si="49"/>
        <v>2</v>
      </c>
      <c r="P106" s="89">
        <f t="shared" ca="1" si="49"/>
        <v>3</v>
      </c>
      <c r="Q106" s="89">
        <f t="shared" ca="1" si="49"/>
        <v>4</v>
      </c>
      <c r="R106" s="89">
        <f t="shared" ca="1" si="49"/>
        <v>5</v>
      </c>
      <c r="S106" s="89">
        <f t="shared" ca="1" si="49"/>
        <v>6</v>
      </c>
      <c r="T106" s="233"/>
      <c r="U106" s="705"/>
      <c r="V106" s="18"/>
      <c r="X106" s="18"/>
      <c r="Y106" s="18"/>
      <c r="Z106" s="18"/>
      <c r="AA106" s="18"/>
      <c r="AB106" s="18"/>
      <c r="AC106" s="18"/>
      <c r="AD106" s="18"/>
      <c r="AE106" s="18"/>
      <c r="AF106" s="18"/>
      <c r="AG106" s="18"/>
      <c r="AH106" s="18"/>
      <c r="AI106" s="18"/>
      <c r="AJ106" s="703"/>
      <c r="AK106" s="705"/>
      <c r="AL106" s="705"/>
      <c r="AM106" s="705"/>
      <c r="AN106" s="705"/>
      <c r="AO106" s="705"/>
      <c r="AP106" s="705"/>
    </row>
    <row r="107" spans="1:59">
      <c r="B107" s="21"/>
      <c r="C107" s="57" t="s">
        <v>1590</v>
      </c>
      <c r="D107" s="269"/>
      <c r="E107" s="269"/>
      <c r="F107" s="269"/>
      <c r="G107" s="269"/>
      <c r="H107" s="269"/>
      <c r="I107" s="269"/>
      <c r="J107" s="269"/>
      <c r="K107" s="269"/>
      <c r="L107" s="231"/>
      <c r="M107" s="64"/>
      <c r="N107" s="57" t="s">
        <v>1591</v>
      </c>
      <c r="O107" s="57"/>
      <c r="P107" s="57"/>
      <c r="Q107" s="57"/>
      <c r="R107" s="57"/>
      <c r="S107" s="57"/>
      <c r="T107" s="57"/>
      <c r="U107" s="151"/>
      <c r="V107" s="18"/>
      <c r="X107" s="18"/>
      <c r="Y107" s="18"/>
      <c r="Z107" s="18"/>
      <c r="AA107" s="18"/>
      <c r="AB107" s="18"/>
      <c r="AC107" s="18"/>
      <c r="AD107" s="18"/>
      <c r="AE107" s="223" t="s">
        <v>432</v>
      </c>
      <c r="AF107" s="489" t="s">
        <v>1684</v>
      </c>
      <c r="AG107" s="223" t="s">
        <v>1686</v>
      </c>
      <c r="AH107" s="224"/>
      <c r="AI107" s="224"/>
      <c r="AJ107" s="703"/>
      <c r="AK107" s="8"/>
      <c r="AL107" s="8"/>
      <c r="AM107" s="8"/>
      <c r="AN107" s="8"/>
      <c r="AO107" s="8"/>
      <c r="AP107" s="703"/>
    </row>
    <row r="108" spans="1:59">
      <c r="B108" s="21"/>
      <c r="C108" s="64" t="s">
        <v>414</v>
      </c>
      <c r="D108" s="484"/>
      <c r="E108" s="485" t="str">
        <f>_xlfn.CONCAT(GPR4.3," | ",$E$11)</f>
        <v>GPR 4.3 | nieuwbouw</v>
      </c>
      <c r="F108" s="485" t="str">
        <f>_xlfn.CONCAT(GPR4.3," | ",$F$11)</f>
        <v>GPR 4.3 | bestaande bouw</v>
      </c>
      <c r="G108" s="485" t="str">
        <f>_xlfn.CONCAT(GPR4.4," | ",$E$11)</f>
        <v>GPR 4.4 | nieuwbouw</v>
      </c>
      <c r="H108" s="485" t="str">
        <f>_xlfn.CONCAT(GPR4.4," | ",$F$11)</f>
        <v>GPR 4.4 | bestaande bouw</v>
      </c>
      <c r="I108" s="485"/>
      <c r="J108" s="485"/>
      <c r="K108" s="248"/>
      <c r="L108" s="230"/>
      <c r="M108" s="64"/>
      <c r="N108" s="224" t="str">
        <f t="shared" ref="N108" si="50">E108</f>
        <v>GPR 4.3 | nieuwbouw</v>
      </c>
      <c r="O108" s="224" t="str">
        <f t="shared" ref="O108" si="51">F108</f>
        <v>GPR 4.3 | bestaande bouw</v>
      </c>
      <c r="P108" s="224" t="str">
        <f t="shared" ref="P108" si="52">G108</f>
        <v>GPR 4.4 | nieuwbouw</v>
      </c>
      <c r="Q108" s="224" t="str">
        <f t="shared" ref="Q108" si="53">H108</f>
        <v>GPR 4.4 | bestaande bouw</v>
      </c>
      <c r="R108" s="224"/>
      <c r="S108" s="224"/>
      <c r="T108" s="57"/>
      <c r="U108" s="151"/>
      <c r="V108" s="18"/>
      <c r="X108" s="18"/>
      <c r="Y108" s="18"/>
      <c r="Z108" s="18"/>
      <c r="AA108" s="18"/>
      <c r="AB108" s="18"/>
      <c r="AC108" s="18"/>
      <c r="AD108" s="18"/>
      <c r="AE108" s="326" t="s">
        <v>297</v>
      </c>
      <c r="AF108" s="489" t="s">
        <v>1683</v>
      </c>
      <c r="AG108" s="223" t="s">
        <v>1687</v>
      </c>
      <c r="AH108" s="224"/>
      <c r="AI108" s="224"/>
      <c r="AJ108" s="703"/>
      <c r="AK108" s="8"/>
      <c r="AL108" s="8"/>
      <c r="AM108" s="8"/>
      <c r="AN108" s="8"/>
      <c r="AO108" s="8"/>
      <c r="AP108" s="703"/>
    </row>
    <row r="109" spans="1:59">
      <c r="B109" s="21"/>
      <c r="C109" s="22" t="s">
        <v>297</v>
      </c>
      <c r="D109" s="250"/>
      <c r="E109" s="264"/>
      <c r="F109" s="873"/>
      <c r="G109" s="1088">
        <v>0</v>
      </c>
      <c r="H109" s="1088">
        <v>0</v>
      </c>
      <c r="I109" s="873"/>
      <c r="J109" s="885"/>
      <c r="K109" s="258"/>
      <c r="L109" s="231"/>
      <c r="M109" s="250"/>
      <c r="N109" s="264"/>
      <c r="O109" s="873"/>
      <c r="P109" s="1088">
        <v>140</v>
      </c>
      <c r="Q109" s="1088">
        <v>140</v>
      </c>
      <c r="R109" s="873"/>
      <c r="S109" s="885"/>
      <c r="T109" s="258"/>
      <c r="U109" s="703"/>
      <c r="V109" s="18"/>
      <c r="X109" s="18"/>
      <c r="Y109" s="18"/>
      <c r="Z109" s="18"/>
      <c r="AA109" s="18"/>
      <c r="AB109" s="18"/>
      <c r="AC109" s="18"/>
      <c r="AD109" s="18"/>
      <c r="AE109" s="223"/>
      <c r="AF109" s="224" t="s">
        <v>438</v>
      </c>
      <c r="AG109" s="224" t="s">
        <v>439</v>
      </c>
      <c r="AH109" s="224"/>
      <c r="AI109" s="224"/>
      <c r="AJ109" s="703"/>
      <c r="AK109" s="8"/>
      <c r="AL109" s="8"/>
      <c r="AM109" s="8"/>
      <c r="AN109" s="8"/>
      <c r="AO109" s="8"/>
      <c r="AP109" s="152"/>
    </row>
    <row r="110" spans="1:59">
      <c r="B110" s="21"/>
      <c r="C110" s="22" t="s">
        <v>298</v>
      </c>
      <c r="D110" s="253"/>
      <c r="E110" s="265"/>
      <c r="F110" s="874"/>
      <c r="G110" s="1089">
        <v>0</v>
      </c>
      <c r="H110" s="1089">
        <v>0</v>
      </c>
      <c r="I110" s="874"/>
      <c r="J110" s="285"/>
      <c r="K110" s="259"/>
      <c r="L110" s="231"/>
      <c r="M110" s="253"/>
      <c r="N110" s="265"/>
      <c r="O110" s="874"/>
      <c r="P110" s="1089">
        <v>140</v>
      </c>
      <c r="Q110" s="1089">
        <v>140</v>
      </c>
      <c r="R110" s="874"/>
      <c r="S110" s="285"/>
      <c r="T110" s="259"/>
      <c r="U110" s="703"/>
      <c r="V110" s="18"/>
      <c r="X110" s="18"/>
      <c r="Y110" s="18"/>
      <c r="Z110" s="18"/>
      <c r="AA110" s="18"/>
      <c r="AB110" s="18"/>
      <c r="AC110" s="18"/>
      <c r="AD110" s="18"/>
      <c r="AF110" s="224"/>
      <c r="AG110" s="224"/>
      <c r="AH110" s="224">
        <v>6</v>
      </c>
      <c r="AI110" s="487">
        <v>10</v>
      </c>
      <c r="AJ110" s="703"/>
      <c r="AK110" s="705" t="s">
        <v>1685</v>
      </c>
      <c r="AL110" s="8"/>
      <c r="AM110" s="8"/>
      <c r="AN110" s="8"/>
      <c r="AO110" s="8"/>
      <c r="AP110" s="152"/>
    </row>
    <row r="111" spans="1:59">
      <c r="B111" s="21"/>
      <c r="C111" s="22" t="s">
        <v>303</v>
      </c>
      <c r="D111" s="253"/>
      <c r="E111" s="265"/>
      <c r="F111" s="874"/>
      <c r="G111" s="1089">
        <v>0</v>
      </c>
      <c r="H111" s="1089">
        <v>0</v>
      </c>
      <c r="I111" s="874"/>
      <c r="J111" s="874"/>
      <c r="K111" s="259"/>
      <c r="L111" s="231"/>
      <c r="M111" s="253"/>
      <c r="N111" s="265"/>
      <c r="O111" s="874"/>
      <c r="P111" s="1089">
        <v>140</v>
      </c>
      <c r="Q111" s="1089">
        <v>140</v>
      </c>
      <c r="R111" s="874"/>
      <c r="S111" s="874"/>
      <c r="T111" s="259"/>
      <c r="U111" s="703"/>
      <c r="V111" s="18"/>
      <c r="X111" s="18"/>
      <c r="Y111" s="18"/>
      <c r="Z111" s="18"/>
      <c r="AA111" s="18"/>
      <c r="AB111" s="18"/>
      <c r="AC111" s="18"/>
      <c r="AD111" s="18"/>
      <c r="AE111" s="223" t="s">
        <v>436</v>
      </c>
      <c r="AF111" s="310">
        <f>INDEX(MPG_factor_a,MATCH($AE$108,Gebruiksfuncties,0),MATCH($AE111,GPR_Versie_en_NMD,0))</f>
        <v>-5.7670000000000003</v>
      </c>
      <c r="AG111" s="310">
        <f>INDEX(MPG_factor_b,MATCH($AE$108,Gebruiksfuncties,0),MATCH($AE111,GPR_Versie_en_NMD,0))</f>
        <v>3.8359999999999999</v>
      </c>
      <c r="AH111" s="310">
        <f t="shared" ref="AH111:AI114" si="54">EXP((AH$110-$AG111)/$AF111)</f>
        <v>0.68712543101769019</v>
      </c>
      <c r="AI111" s="310">
        <f t="shared" si="54"/>
        <v>0.34340665483741845</v>
      </c>
      <c r="AJ111" s="703"/>
      <c r="AK111" s="705" t="str">
        <f>_xlfn.CONCAT(AE111,"  ",FIXED(AH111),"/",FIXED(AI111,2))</f>
        <v>GPR 4.3 NMD 2.3  0.69/0.34</v>
      </c>
      <c r="AL111" s="8"/>
      <c r="AM111" s="8"/>
      <c r="AN111" s="8"/>
      <c r="AO111" s="8"/>
      <c r="AP111" s="152"/>
    </row>
    <row r="112" spans="1:59" s="6" customFormat="1">
      <c r="A112" s="18"/>
      <c r="B112" s="21"/>
      <c r="C112" s="22" t="s">
        <v>299</v>
      </c>
      <c r="D112" s="253"/>
      <c r="E112" s="265"/>
      <c r="F112" s="874"/>
      <c r="G112" s="1089">
        <v>0</v>
      </c>
      <c r="H112" s="1089">
        <v>0</v>
      </c>
      <c r="I112" s="874"/>
      <c r="J112" s="874"/>
      <c r="K112" s="259"/>
      <c r="L112" s="231"/>
      <c r="M112" s="253"/>
      <c r="N112" s="265"/>
      <c r="O112" s="874"/>
      <c r="P112" s="1089">
        <v>140</v>
      </c>
      <c r="Q112" s="1089">
        <v>140</v>
      </c>
      <c r="R112" s="874"/>
      <c r="S112" s="874"/>
      <c r="T112" s="259"/>
      <c r="U112" s="703"/>
      <c r="V112" s="18"/>
      <c r="W112" s="18"/>
      <c r="X112" s="18"/>
      <c r="Y112" s="18"/>
      <c r="Z112" s="18"/>
      <c r="AA112" s="18"/>
      <c r="AB112" s="18"/>
      <c r="AC112" s="18"/>
      <c r="AD112" s="18"/>
      <c r="AE112" s="223" t="s">
        <v>436</v>
      </c>
      <c r="AF112" s="310">
        <f>INDEX(MPG_factor_a,MATCH($AE$108,Gebruiksfuncties,0),MATCH($AE112,GPR_Versie_en_NMD,0))</f>
        <v>-5.7670000000000003</v>
      </c>
      <c r="AG112" s="310">
        <f>INDEX(MPG_factor_b,MATCH($AE$108,Gebruiksfuncties,0),MATCH($AE112,GPR_Versie_en_NMD,0))</f>
        <v>3.8359999999999999</v>
      </c>
      <c r="AH112" s="310">
        <f t="shared" si="54"/>
        <v>0.68712543101769019</v>
      </c>
      <c r="AI112" s="310">
        <f t="shared" si="54"/>
        <v>0.34340665483741845</v>
      </c>
      <c r="AJ112" s="703"/>
      <c r="AK112" s="705" t="str">
        <f t="shared" ref="AK112:AK114" si="55">_xlfn.CONCAT(AE112,"  ",FIXED(AH112),"/",FIXED(AI112,2))</f>
        <v>GPR 4.3 NMD 2.3  0.69/0.34</v>
      </c>
      <c r="AL112" s="703"/>
      <c r="AM112" s="703"/>
      <c r="AN112" s="703"/>
      <c r="AO112" s="703"/>
      <c r="AP112" s="152"/>
      <c r="AQ112" s="2"/>
      <c r="AR112" s="2"/>
      <c r="AS112" s="2"/>
      <c r="AT112" s="2"/>
      <c r="AU112" s="2"/>
      <c r="AV112" s="2"/>
      <c r="AW112" s="2"/>
      <c r="AX112" s="2"/>
      <c r="AY112" s="2"/>
      <c r="AZ112" s="2"/>
      <c r="BA112" s="2"/>
      <c r="BB112" s="2"/>
      <c r="BC112" s="2"/>
      <c r="BD112" s="2"/>
      <c r="BE112" s="2"/>
      <c r="BF112" s="2"/>
      <c r="BG112" s="2"/>
    </row>
    <row r="113" spans="1:59" s="8" customFormat="1">
      <c r="A113" s="18"/>
      <c r="B113" s="21"/>
      <c r="C113" s="22" t="s">
        <v>422</v>
      </c>
      <c r="D113" s="253"/>
      <c r="E113" s="266"/>
      <c r="F113" s="874"/>
      <c r="G113" s="1089">
        <v>0</v>
      </c>
      <c r="H113" s="1089">
        <v>0</v>
      </c>
      <c r="I113" s="874"/>
      <c r="J113" s="874"/>
      <c r="K113" s="259"/>
      <c r="L113" s="231"/>
      <c r="M113" s="253"/>
      <c r="N113" s="266"/>
      <c r="O113" s="874"/>
      <c r="P113" s="1089">
        <v>140</v>
      </c>
      <c r="Q113" s="1089">
        <v>140</v>
      </c>
      <c r="R113" s="874"/>
      <c r="S113" s="874"/>
      <c r="T113" s="259"/>
      <c r="U113" s="703"/>
      <c r="V113" s="18"/>
      <c r="W113" s="18"/>
      <c r="X113" s="18"/>
      <c r="Y113" s="18"/>
      <c r="Z113" s="18"/>
      <c r="AA113" s="18"/>
      <c r="AB113" s="18"/>
      <c r="AC113" s="18"/>
      <c r="AD113" s="18"/>
      <c r="AE113" s="223" t="s">
        <v>437</v>
      </c>
      <c r="AF113" s="310">
        <f>INDEX(MPG_factor_a,MATCH($AE$108,Gebruiksfuncties,0),MATCH($AE113,GPR_Versie_en_NMD,0))</f>
        <v>-6.2290000000000001</v>
      </c>
      <c r="AG113" s="310">
        <f>INDEX(MPG_factor_b,MATCH($AE$108,Gebruiksfuncties,0),MATCH($AE113,GPR_Versie_en_NMD,0))</f>
        <v>3.6139999999999999</v>
      </c>
      <c r="AH113" s="310">
        <f t="shared" si="54"/>
        <v>0.68178082889248581</v>
      </c>
      <c r="AI113" s="310">
        <f t="shared" si="54"/>
        <v>0.35872303168018571</v>
      </c>
      <c r="AJ113" s="703"/>
      <c r="AK113" s="705" t="str">
        <f t="shared" si="55"/>
        <v>GPR 4.4 NMD 3.0  0.68/0.36</v>
      </c>
      <c r="AL113" s="703"/>
      <c r="AM113" s="703"/>
      <c r="AN113" s="703"/>
      <c r="AO113" s="703"/>
      <c r="AP113" s="152"/>
      <c r="AQ113" s="2"/>
      <c r="AR113" s="2"/>
      <c r="AS113" s="2"/>
      <c r="AT113" s="2"/>
      <c r="AU113" s="2"/>
      <c r="AV113" s="2"/>
      <c r="AW113" s="2"/>
      <c r="AX113" s="2"/>
      <c r="AY113" s="2"/>
      <c r="AZ113" s="2"/>
      <c r="BA113" s="2"/>
      <c r="BB113" s="2"/>
      <c r="BC113" s="2"/>
      <c r="BD113" s="2"/>
      <c r="BE113" s="2"/>
      <c r="BF113" s="2"/>
      <c r="BG113" s="2"/>
    </row>
    <row r="114" spans="1:59" s="8" customFormat="1">
      <c r="A114" s="18"/>
      <c r="B114" s="21"/>
      <c r="C114" s="22" t="s">
        <v>305</v>
      </c>
      <c r="D114" s="253"/>
      <c r="E114" s="265"/>
      <c r="F114" s="874"/>
      <c r="G114" s="1089">
        <v>0</v>
      </c>
      <c r="H114" s="1089">
        <v>0</v>
      </c>
      <c r="I114" s="874"/>
      <c r="J114" s="874"/>
      <c r="K114" s="259"/>
      <c r="L114" s="231"/>
      <c r="M114" s="253"/>
      <c r="N114" s="265"/>
      <c r="O114" s="874"/>
      <c r="P114" s="1089">
        <v>140</v>
      </c>
      <c r="Q114" s="1089">
        <v>140</v>
      </c>
      <c r="R114" s="874"/>
      <c r="S114" s="874"/>
      <c r="T114" s="259"/>
      <c r="U114" s="703"/>
      <c r="V114" s="18"/>
      <c r="W114" s="18"/>
      <c r="X114" s="18"/>
      <c r="Y114" s="18"/>
      <c r="Z114" s="18"/>
      <c r="AA114" s="18"/>
      <c r="AB114" s="18"/>
      <c r="AC114" s="18"/>
      <c r="AD114" s="18"/>
      <c r="AE114" s="223" t="s">
        <v>437</v>
      </c>
      <c r="AF114" s="310">
        <f>INDEX(MPG_factor_a,MATCH($AE$108,Gebruiksfuncties,0),MATCH($AE114,GPR_Versie_en_NMD,0))</f>
        <v>-6.2290000000000001</v>
      </c>
      <c r="AG114" s="310">
        <f>INDEX(MPG_factor_b,MATCH($AE$108,Gebruiksfuncties,0),MATCH($AE114,GPR_Versie_en_NMD,0))</f>
        <v>3.6139999999999999</v>
      </c>
      <c r="AH114" s="310">
        <f t="shared" si="54"/>
        <v>0.68178082889248581</v>
      </c>
      <c r="AI114" s="310">
        <f t="shared" si="54"/>
        <v>0.35872303168018571</v>
      </c>
      <c r="AJ114" s="703"/>
      <c r="AK114" s="705" t="str">
        <f t="shared" si="55"/>
        <v>GPR 4.4 NMD 3.0  0.68/0.36</v>
      </c>
      <c r="AL114" s="703"/>
      <c r="AM114" s="703"/>
      <c r="AN114" s="703"/>
      <c r="AO114" s="703"/>
      <c r="AP114" s="152"/>
      <c r="AQ114" s="2"/>
      <c r="AR114" s="2"/>
      <c r="AS114" s="2"/>
      <c r="AT114" s="2"/>
      <c r="AU114" s="2"/>
      <c r="AV114" s="2"/>
      <c r="AW114" s="2"/>
      <c r="AX114" s="2"/>
      <c r="AY114" s="2"/>
      <c r="AZ114" s="2"/>
      <c r="BA114" s="2"/>
      <c r="BB114" s="2"/>
      <c r="BC114" s="2"/>
      <c r="BD114" s="2"/>
      <c r="BE114" s="2"/>
      <c r="BF114" s="2"/>
      <c r="BG114" s="2"/>
    </row>
    <row r="115" spans="1:59">
      <c r="B115" s="21"/>
      <c r="C115" s="22" t="s">
        <v>302</v>
      </c>
      <c r="D115" s="253"/>
      <c r="E115" s="266"/>
      <c r="F115" s="874"/>
      <c r="G115" s="1089">
        <v>0</v>
      </c>
      <c r="H115" s="1089">
        <v>0</v>
      </c>
      <c r="I115" s="874"/>
      <c r="J115" s="874"/>
      <c r="K115" s="259"/>
      <c r="L115" s="231"/>
      <c r="M115" s="253"/>
      <c r="N115" s="266"/>
      <c r="O115" s="874"/>
      <c r="P115" s="1089">
        <v>140</v>
      </c>
      <c r="Q115" s="1089">
        <v>140</v>
      </c>
      <c r="R115" s="874"/>
      <c r="S115" s="874"/>
      <c r="T115" s="259"/>
      <c r="U115" s="703"/>
      <c r="V115" s="18"/>
      <c r="X115" s="18"/>
      <c r="Y115" s="18"/>
      <c r="Z115" s="18"/>
      <c r="AA115" s="18"/>
      <c r="AB115" s="18"/>
      <c r="AC115" s="18"/>
      <c r="AD115" s="18"/>
      <c r="AE115" s="18"/>
      <c r="AF115" s="18"/>
      <c r="AG115" s="18"/>
      <c r="AH115" s="18"/>
      <c r="AI115" s="18"/>
      <c r="AJ115" s="703"/>
      <c r="AK115" s="703"/>
      <c r="AL115" s="703"/>
      <c r="AM115" s="703"/>
      <c r="AN115" s="703"/>
      <c r="AO115" s="703"/>
      <c r="AP115" s="152"/>
    </row>
    <row r="116" spans="1:59">
      <c r="B116" s="21"/>
      <c r="C116" s="22" t="s">
        <v>423</v>
      </c>
      <c r="D116" s="253"/>
      <c r="E116" s="266"/>
      <c r="F116" s="874"/>
      <c r="G116" s="1089">
        <v>0</v>
      </c>
      <c r="H116" s="1089">
        <v>0</v>
      </c>
      <c r="I116" s="874"/>
      <c r="J116" s="874"/>
      <c r="K116" s="259"/>
      <c r="L116" s="231"/>
      <c r="M116" s="253"/>
      <c r="N116" s="266"/>
      <c r="O116" s="874"/>
      <c r="P116" s="1089">
        <v>140</v>
      </c>
      <c r="Q116" s="1089">
        <v>140</v>
      </c>
      <c r="R116" s="874"/>
      <c r="S116" s="874"/>
      <c r="T116" s="259"/>
      <c r="U116" s="703"/>
      <c r="V116" s="18"/>
      <c r="X116" s="18"/>
      <c r="Y116" s="18"/>
      <c r="Z116" s="18"/>
      <c r="AA116" s="18"/>
      <c r="AB116" s="18"/>
      <c r="AC116" s="18"/>
      <c r="AD116" s="18"/>
      <c r="AE116" s="18"/>
      <c r="AF116" s="18"/>
      <c r="AG116" s="18"/>
      <c r="AH116" s="18"/>
      <c r="AI116" s="18"/>
      <c r="AJ116" s="703"/>
      <c r="AK116" s="703"/>
      <c r="AL116" s="703"/>
      <c r="AM116" s="703"/>
      <c r="AN116" s="703"/>
      <c r="AO116" s="703"/>
      <c r="AP116" s="152"/>
    </row>
    <row r="117" spans="1:59">
      <c r="B117" s="21"/>
      <c r="C117" s="22" t="s">
        <v>307</v>
      </c>
      <c r="D117" s="253"/>
      <c r="E117" s="265"/>
      <c r="F117" s="874"/>
      <c r="G117" s="1089">
        <v>0</v>
      </c>
      <c r="H117" s="1089">
        <v>0</v>
      </c>
      <c r="I117" s="874"/>
      <c r="J117" s="874"/>
      <c r="K117" s="259"/>
      <c r="L117" s="231"/>
      <c r="M117" s="253"/>
      <c r="N117" s="265"/>
      <c r="O117" s="874"/>
      <c r="P117" s="1089">
        <v>140</v>
      </c>
      <c r="Q117" s="1089">
        <v>140</v>
      </c>
      <c r="R117" s="874"/>
      <c r="S117" s="874"/>
      <c r="T117" s="259"/>
      <c r="U117" s="703"/>
      <c r="V117" s="18"/>
      <c r="X117" s="18"/>
      <c r="Y117" s="18"/>
      <c r="Z117" s="18"/>
      <c r="AA117" s="18"/>
      <c r="AB117" s="18"/>
      <c r="AC117" s="18"/>
      <c r="AD117" s="18"/>
      <c r="AE117" s="18"/>
      <c r="AF117" s="18"/>
      <c r="AG117" s="18"/>
      <c r="AH117" s="18"/>
      <c r="AI117" s="18"/>
      <c r="AJ117" s="703"/>
      <c r="AK117" s="703"/>
      <c r="AL117" s="703"/>
      <c r="AM117" s="703"/>
      <c r="AN117" s="703"/>
      <c r="AO117" s="703"/>
      <c r="AP117" s="152"/>
    </row>
    <row r="118" spans="1:59">
      <c r="B118" s="21"/>
      <c r="C118" s="22" t="s">
        <v>306</v>
      </c>
      <c r="D118" s="253"/>
      <c r="E118" s="265"/>
      <c r="F118" s="874"/>
      <c r="G118" s="1089">
        <v>0</v>
      </c>
      <c r="H118" s="1089">
        <v>0</v>
      </c>
      <c r="I118" s="874"/>
      <c r="J118" s="874"/>
      <c r="K118" s="259"/>
      <c r="L118" s="231"/>
      <c r="M118" s="253"/>
      <c r="N118" s="265"/>
      <c r="O118" s="874"/>
      <c r="P118" s="1089">
        <v>140</v>
      </c>
      <c r="Q118" s="1089">
        <v>140</v>
      </c>
      <c r="R118" s="874"/>
      <c r="S118" s="874"/>
      <c r="T118" s="259"/>
      <c r="U118" s="703"/>
      <c r="V118" s="18"/>
      <c r="X118" s="18"/>
      <c r="Y118" s="18"/>
      <c r="Z118" s="18"/>
      <c r="AA118" s="18"/>
      <c r="AB118" s="18"/>
      <c r="AC118" s="18"/>
      <c r="AD118" s="18"/>
      <c r="AE118" s="18"/>
      <c r="AF118" s="18"/>
      <c r="AG118" s="18"/>
      <c r="AH118" s="18"/>
      <c r="AI118" s="18"/>
      <c r="AJ118" s="703"/>
      <c r="AK118" s="703"/>
      <c r="AL118" s="703"/>
      <c r="AM118" s="703"/>
      <c r="AN118" s="703"/>
      <c r="AO118" s="703"/>
      <c r="AP118" s="152"/>
    </row>
    <row r="119" spans="1:59">
      <c r="B119" s="21"/>
      <c r="C119" s="22" t="s">
        <v>424</v>
      </c>
      <c r="D119" s="253"/>
      <c r="E119" s="265"/>
      <c r="F119" s="874"/>
      <c r="G119" s="1089">
        <v>0</v>
      </c>
      <c r="H119" s="1089">
        <v>0</v>
      </c>
      <c r="I119" s="874"/>
      <c r="J119" s="874"/>
      <c r="K119" s="259"/>
      <c r="L119" s="231"/>
      <c r="M119" s="253"/>
      <c r="N119" s="265"/>
      <c r="O119" s="874"/>
      <c r="P119" s="1089">
        <v>140</v>
      </c>
      <c r="Q119" s="1089">
        <v>140</v>
      </c>
      <c r="R119" s="874"/>
      <c r="S119" s="874"/>
      <c r="T119" s="259"/>
      <c r="U119" s="703"/>
      <c r="V119" s="18"/>
      <c r="X119" s="18"/>
      <c r="Y119" s="18"/>
      <c r="Z119" s="18"/>
      <c r="AA119" s="18"/>
      <c r="AB119" s="18"/>
      <c r="AC119" s="18"/>
      <c r="AD119" s="18"/>
      <c r="AE119" s="18"/>
      <c r="AF119" s="18"/>
      <c r="AG119" s="18"/>
      <c r="AH119" s="18"/>
      <c r="AI119" s="18"/>
      <c r="AJ119" s="703"/>
      <c r="AK119" s="703"/>
      <c r="AL119" s="703"/>
      <c r="AM119" s="703"/>
      <c r="AN119" s="703"/>
      <c r="AO119" s="703"/>
      <c r="AP119" s="152"/>
    </row>
    <row r="120" spans="1:59">
      <c r="B120" s="21"/>
      <c r="C120" s="22" t="s">
        <v>425</v>
      </c>
      <c r="D120" s="256"/>
      <c r="E120" s="267"/>
      <c r="F120" s="875"/>
      <c r="G120" s="1090">
        <v>0</v>
      </c>
      <c r="H120" s="1090">
        <v>0</v>
      </c>
      <c r="I120" s="875"/>
      <c r="J120" s="875"/>
      <c r="K120" s="260"/>
      <c r="L120" s="231"/>
      <c r="M120" s="256"/>
      <c r="N120" s="267"/>
      <c r="O120" s="875"/>
      <c r="P120" s="1090">
        <v>140</v>
      </c>
      <c r="Q120" s="1090">
        <v>140</v>
      </c>
      <c r="R120" s="875"/>
      <c r="S120" s="875"/>
      <c r="T120" s="260"/>
      <c r="U120" s="703"/>
      <c r="V120" s="18"/>
      <c r="X120" s="18"/>
      <c r="Y120" s="18"/>
      <c r="Z120" s="18"/>
      <c r="AA120" s="18"/>
      <c r="AB120" s="18"/>
      <c r="AC120" s="18"/>
      <c r="AD120" s="18"/>
      <c r="AE120" s="18"/>
      <c r="AF120" s="18"/>
      <c r="AG120" s="18"/>
      <c r="AH120" s="18"/>
      <c r="AI120" s="18"/>
      <c r="AJ120" s="703"/>
      <c r="AK120" s="703"/>
      <c r="AL120" s="703"/>
      <c r="AM120" s="703"/>
      <c r="AN120" s="703"/>
      <c r="AO120" s="703"/>
      <c r="AP120" s="152"/>
    </row>
    <row r="121" spans="1:59">
      <c r="B121" s="21"/>
      <c r="C121" s="703"/>
      <c r="D121" s="703"/>
      <c r="E121" s="703"/>
      <c r="F121" s="703"/>
      <c r="G121" s="703"/>
      <c r="H121" s="703"/>
      <c r="I121" s="703"/>
      <c r="J121" s="703"/>
      <c r="K121" s="703"/>
      <c r="M121" s="703"/>
      <c r="O121" s="703"/>
      <c r="P121" s="703"/>
      <c r="Q121" s="703"/>
      <c r="R121" s="703"/>
      <c r="S121" s="703"/>
      <c r="T121" s="703"/>
      <c r="U121" s="703"/>
      <c r="V121" s="18"/>
      <c r="X121" s="18"/>
      <c r="Y121" s="18"/>
      <c r="Z121" s="18"/>
      <c r="AA121" s="18"/>
      <c r="AB121" s="18"/>
      <c r="AC121" s="18"/>
      <c r="AD121" s="18"/>
      <c r="AJ121" s="8"/>
      <c r="AK121" s="8"/>
      <c r="AL121" s="8"/>
      <c r="AM121" s="8"/>
      <c r="AN121" s="8"/>
      <c r="AO121" s="8"/>
      <c r="AP121" s="18"/>
    </row>
    <row r="122" spans="1:59">
      <c r="A122" s="19"/>
      <c r="B122" s="88">
        <f ca="1">MAX($B$1:OFFSET(B122,-1,0))+1</f>
        <v>15</v>
      </c>
      <c r="C122" s="89" t="s">
        <v>441</v>
      </c>
      <c r="D122" s="89"/>
      <c r="E122" s="89">
        <f t="shared" ref="E122:J122" ca="1" si="56">OFFSET(E122,0,-1)+1</f>
        <v>1</v>
      </c>
      <c r="F122" s="89">
        <f t="shared" ca="1" si="56"/>
        <v>2</v>
      </c>
      <c r="G122" s="89">
        <f t="shared" ca="1" si="56"/>
        <v>3</v>
      </c>
      <c r="H122" s="89">
        <f t="shared" ca="1" si="56"/>
        <v>4</v>
      </c>
      <c r="I122" s="89">
        <f t="shared" ca="1" si="56"/>
        <v>5</v>
      </c>
      <c r="J122" s="89">
        <f t="shared" ca="1" si="56"/>
        <v>6</v>
      </c>
      <c r="K122" s="233"/>
      <c r="L122" s="227"/>
      <c r="M122" s="233"/>
      <c r="N122" s="89">
        <f t="shared" ref="N122:S122" ca="1" si="57">OFFSET(N122,0,-1)+1</f>
        <v>1</v>
      </c>
      <c r="O122" s="89">
        <f t="shared" ca="1" si="57"/>
        <v>2</v>
      </c>
      <c r="P122" s="89">
        <f t="shared" ca="1" si="57"/>
        <v>3</v>
      </c>
      <c r="Q122" s="89">
        <f t="shared" ca="1" si="57"/>
        <v>4</v>
      </c>
      <c r="R122" s="89">
        <f t="shared" ca="1" si="57"/>
        <v>5</v>
      </c>
      <c r="S122" s="89">
        <f t="shared" ca="1" si="57"/>
        <v>6</v>
      </c>
      <c r="T122" s="233"/>
      <c r="U122" s="705"/>
      <c r="V122" s="18"/>
      <c r="W122" s="713" t="s">
        <v>8</v>
      </c>
      <c r="X122" s="224">
        <f>MATCH(AL125,Y122:AB122,0)</f>
        <v>4</v>
      </c>
      <c r="Y122" s="489" t="s">
        <v>428</v>
      </c>
      <c r="Z122" s="489" t="s">
        <v>420</v>
      </c>
      <c r="AA122" s="489" t="s">
        <v>429</v>
      </c>
      <c r="AB122" s="489" t="s">
        <v>421</v>
      </c>
      <c r="AC122" s="703"/>
      <c r="AD122" s="703"/>
      <c r="AE122" s="705"/>
      <c r="AK122" s="703" t="s">
        <v>471</v>
      </c>
      <c r="AL122" s="703"/>
      <c r="AM122" s="703"/>
      <c r="AN122" s="703"/>
      <c r="AO122" s="703"/>
      <c r="AP122" s="18"/>
      <c r="AQ122" s="18"/>
      <c r="AR122" s="703"/>
      <c r="AS122" s="703"/>
    </row>
    <row r="123" spans="1:59">
      <c r="B123" s="139" t="s">
        <v>396</v>
      </c>
      <c r="C123" s="57" t="s">
        <v>442</v>
      </c>
      <c r="D123" s="105"/>
      <c r="E123" s="64"/>
      <c r="F123" s="232"/>
      <c r="G123" s="232"/>
      <c r="H123" s="232"/>
      <c r="I123" s="232"/>
      <c r="J123" s="232"/>
      <c r="K123" s="57"/>
      <c r="M123" s="105"/>
      <c r="N123" s="57" t="s">
        <v>443</v>
      </c>
      <c r="O123" s="105"/>
      <c r="P123" s="105"/>
      <c r="Q123" s="105"/>
      <c r="R123" s="105"/>
      <c r="S123" s="105"/>
      <c r="T123" s="105"/>
      <c r="U123" s="8"/>
      <c r="V123" s="18"/>
      <c r="W123" s="224" t="s">
        <v>416</v>
      </c>
      <c r="X123" s="237" cm="1">
        <f t="array" ref="X123">INDEX(Y123:AB123,1,$X$122)</f>
        <v>180</v>
      </c>
      <c r="Y123" s="490">
        <f>INDEX(Prim_Energie_GPR_Score_6,MATCH($AL$124,Gebruiksfuncties,0),MATCH(Y$122,GPR_Versie_En_EP_Methode,0))</f>
        <v>656</v>
      </c>
      <c r="Z123" s="490">
        <f>INDEX(Prim_Energie_GPR_Score_6,MATCH($AL$124,Gebruiksfuncties,0),MATCH(Z$122,GPR_Versie_En_EP_Methode,0))</f>
        <v>180</v>
      </c>
      <c r="AA123" s="490">
        <f>INDEX(Prim_Energie_GPR_Score_6,MATCH($AL$124,Gebruiksfuncties,0),MATCH(AA$122,GPR_Versie_En_EP_Methode,0))</f>
        <v>656</v>
      </c>
      <c r="AB123" s="490">
        <f>INDEX(Prim_Energie_GPR_Score_6,MATCH($AL$124,Gebruiksfuncties,0),MATCH(AB$122,GPR_Versie_En_EP_Methode,0))</f>
        <v>180</v>
      </c>
      <c r="AC123" s="703"/>
      <c r="AD123" s="703"/>
      <c r="AE123" s="703"/>
      <c r="AK123" s="703"/>
      <c r="AL123" s="703"/>
      <c r="AM123" s="703"/>
      <c r="AN123" s="703"/>
      <c r="AO123" s="703"/>
      <c r="AP123" s="18"/>
      <c r="AQ123" s="18"/>
      <c r="AR123" s="703"/>
      <c r="AS123" s="703"/>
    </row>
    <row r="124" spans="1:59">
      <c r="B124" s="21"/>
      <c r="C124" s="64" t="s">
        <v>414</v>
      </c>
      <c r="D124" s="57"/>
      <c r="E124" s="224" t="str">
        <f t="shared" ref="E124:J124" si="58">E$43</f>
        <v>GPR 4.3 | NEN 7120</v>
      </c>
      <c r="F124" s="224" t="str">
        <f t="shared" si="58"/>
        <v>GPR 4.3 | NTA 8800</v>
      </c>
      <c r="G124" s="224" t="str">
        <f t="shared" si="58"/>
        <v>GPR 4.3 | ISSO 75.3</v>
      </c>
      <c r="H124" s="224" t="str">
        <f t="shared" si="58"/>
        <v>GPR 4.4 | NEN 7120</v>
      </c>
      <c r="I124" s="224" t="str">
        <f t="shared" si="58"/>
        <v>GPR 4.4 | NTA 8800</v>
      </c>
      <c r="J124" s="224" t="str">
        <f t="shared" si="58"/>
        <v>GPR 4.4 | ISSO 75.3</v>
      </c>
      <c r="K124" s="57"/>
      <c r="L124" s="230"/>
      <c r="M124" s="64"/>
      <c r="N124" s="224" t="str">
        <f t="shared" ref="N124:S124" si="59">E$43</f>
        <v>GPR 4.3 | NEN 7120</v>
      </c>
      <c r="O124" s="224" t="str">
        <f t="shared" si="59"/>
        <v>GPR 4.3 | NTA 8800</v>
      </c>
      <c r="P124" s="224" t="str">
        <f t="shared" si="59"/>
        <v>GPR 4.3 | ISSO 75.3</v>
      </c>
      <c r="Q124" s="224" t="str">
        <f t="shared" si="59"/>
        <v>GPR 4.4 | NEN 7120</v>
      </c>
      <c r="R124" s="224" t="str">
        <f t="shared" si="59"/>
        <v>GPR 4.4 | NTA 8800</v>
      </c>
      <c r="S124" s="224" t="str">
        <f t="shared" si="59"/>
        <v>GPR 4.4 | ISSO 75.3</v>
      </c>
      <c r="T124" s="105"/>
      <c r="U124" s="8"/>
      <c r="V124" s="18"/>
      <c r="W124" s="224" t="s">
        <v>417</v>
      </c>
      <c r="X124" s="237" cm="1">
        <f t="array" ref="X124">INDEX(Y124:AB124,1,$X$122)</f>
        <v>-50</v>
      </c>
      <c r="Y124" s="490">
        <f>INDEX(Prim_Energie_GPR_Score_10,MATCH($AL$124,Gebruiksfuncties,0),MATCH(Y$122,GPR_Versie_En_EP_Methode,0))</f>
        <v>0</v>
      </c>
      <c r="Z124" s="490">
        <f>INDEX(Prim_Energie_GPR_Score_10,MATCH($AL$124,Gebruiksfuncties,0),MATCH(Z$122,GPR_Versie_En_EP_Methode,0))</f>
        <v>0</v>
      </c>
      <c r="AA124" s="490">
        <f>INDEX(Prim_Energie_GPR_Score_10,MATCH($AL$124,Gebruiksfuncties,0),MATCH(AA$122,GPR_Versie_En_EP_Methode,0))</f>
        <v>-317.79310344827587</v>
      </c>
      <c r="AB124" s="490">
        <f>INDEX(Prim_Energie_GPR_Score_10,MATCH($AL$124,Gebruiksfuncties,0),MATCH(AB$122,GPR_Versie_En_EP_Methode,0))</f>
        <v>-50</v>
      </c>
      <c r="AC124" s="703"/>
      <c r="AD124" s="703"/>
      <c r="AE124" s="703"/>
      <c r="AK124" s="703"/>
      <c r="AL124" s="488" t="s">
        <v>303</v>
      </c>
      <c r="AM124" s="703" t="s">
        <v>473</v>
      </c>
      <c r="AN124" s="703"/>
      <c r="AO124" s="703"/>
      <c r="AP124" s="18"/>
      <c r="AQ124" s="18"/>
      <c r="AR124" s="703"/>
      <c r="AS124" s="703"/>
    </row>
    <row r="125" spans="1:59">
      <c r="B125" s="139" t="s">
        <v>396</v>
      </c>
      <c r="C125" s="64" t="s">
        <v>204</v>
      </c>
      <c r="D125" s="234"/>
      <c r="E125" s="234" t="s">
        <v>440</v>
      </c>
      <c r="F125" s="234" t="s">
        <v>440</v>
      </c>
      <c r="G125" s="234" t="s">
        <v>440</v>
      </c>
      <c r="H125" s="234" t="s">
        <v>440</v>
      </c>
      <c r="I125" s="234" t="s">
        <v>440</v>
      </c>
      <c r="J125" s="234" t="s">
        <v>440</v>
      </c>
      <c r="K125" s="269"/>
      <c r="L125" s="230"/>
      <c r="M125" s="234"/>
      <c r="N125" s="234" t="s">
        <v>440</v>
      </c>
      <c r="O125" s="234" t="s">
        <v>440</v>
      </c>
      <c r="P125" s="234" t="s">
        <v>440</v>
      </c>
      <c r="Q125" s="234" t="s">
        <v>440</v>
      </c>
      <c r="R125" s="234" t="s">
        <v>440</v>
      </c>
      <c r="S125" s="234" t="s">
        <v>440</v>
      </c>
      <c r="T125" s="234"/>
      <c r="U125" s="703"/>
      <c r="V125" s="18"/>
      <c r="W125" s="224" t="s">
        <v>479</v>
      </c>
      <c r="X125" s="311" cm="1">
        <f t="array" ref="X125">INDEX(Y125:AB125,1,$X$122)</f>
        <v>-2.2209809728956117E-3</v>
      </c>
      <c r="Y125" s="491">
        <f>LN(6/10) / (Y123-Y124)</f>
        <v>-7.7869759720425411E-4</v>
      </c>
      <c r="Z125" s="491">
        <f t="shared" ref="Z125:AB125" si="60">LN(6/10) / (Z123-Z124)</f>
        <v>-2.8379201320332817E-3</v>
      </c>
      <c r="AA125" s="491">
        <f t="shared" si="60"/>
        <v>-5.2457305556705852E-4</v>
      </c>
      <c r="AB125" s="491">
        <f t="shared" si="60"/>
        <v>-2.2209809728956117E-3</v>
      </c>
      <c r="AC125" s="8"/>
      <c r="AD125" s="8"/>
      <c r="AE125" s="703"/>
      <c r="AK125" s="703"/>
      <c r="AL125" s="488" t="s">
        <v>421</v>
      </c>
      <c r="AM125" s="703">
        <v>4</v>
      </c>
      <c r="AN125" s="703">
        <v>5</v>
      </c>
      <c r="AO125" s="703">
        <v>6</v>
      </c>
      <c r="AP125" s="18">
        <v>7</v>
      </c>
      <c r="AQ125" s="18">
        <v>8</v>
      </c>
      <c r="AR125" s="703">
        <v>9</v>
      </c>
      <c r="AS125" s="703">
        <v>10</v>
      </c>
      <c r="AT125" s="8"/>
      <c r="AU125" s="8"/>
      <c r="AV125" s="8"/>
      <c r="AW125" s="8"/>
      <c r="AX125" s="8"/>
      <c r="AY125" s="8"/>
      <c r="AZ125" s="8"/>
      <c r="BA125" s="8"/>
      <c r="BB125" s="8"/>
      <c r="BC125" s="8"/>
      <c r="BD125" s="8"/>
      <c r="BE125" s="8"/>
      <c r="BF125" s="8"/>
      <c r="BG125" s="8"/>
    </row>
    <row r="126" spans="1:59" ht="32">
      <c r="B126" s="21"/>
      <c r="C126" s="22" t="s">
        <v>297</v>
      </c>
      <c r="D126" s="241"/>
      <c r="E126" s="271">
        <v>2.4312769999999997</v>
      </c>
      <c r="F126" s="272">
        <f>$E126*F58/($E58/3.6)</f>
        <v>2.338022539726027</v>
      </c>
      <c r="G126" s="886">
        <f t="shared" ref="G126:G131" si="61">$E126*G58/$E58</f>
        <v>3.3305164383561641</v>
      </c>
      <c r="H126" s="272">
        <f t="shared" ref="H126:H131" si="62">E126*I126/F126</f>
        <v>1.5491195683435091</v>
      </c>
      <c r="I126" s="271">
        <v>1.4897012835303334</v>
      </c>
      <c r="J126" s="886">
        <f t="shared" ref="J126:J127" si="63">G126*I126/F126</f>
        <v>2.1220816004705605</v>
      </c>
      <c r="K126" s="273"/>
      <c r="L126" s="231"/>
      <c r="M126" s="270"/>
      <c r="N126" s="271" t="str">
        <f t="shared" ref="N126:O137" si="64">"#N/B"</f>
        <v>#N/B</v>
      </c>
      <c r="O126" s="272" t="str">
        <f t="shared" si="64"/>
        <v>#N/B</v>
      </c>
      <c r="P126" s="886"/>
      <c r="Q126" s="272">
        <f t="shared" ref="Q126:Q137" si="65">(Q58/3.6)/2.56*$F$9*$G$303</f>
        <v>-0.70769045000000008</v>
      </c>
      <c r="R126" s="271">
        <f t="shared" ref="R126:R137" si="66">R58/1.45*$F$9*$G$303</f>
        <v>-0.70769045000000008</v>
      </c>
      <c r="S126" s="886"/>
      <c r="T126" s="273"/>
      <c r="U126" s="149"/>
      <c r="V126" s="18"/>
      <c r="W126" s="713" t="s">
        <v>480</v>
      </c>
      <c r="X126" s="224" t="str" cm="1">
        <f t="array" ref="X126">INDEX(Y126:AB126,1,$X$122)</f>
        <v>GPR 4.4 | NTA 8800</v>
      </c>
      <c r="Y126" s="489" t="s">
        <v>428</v>
      </c>
      <c r="Z126" s="489" t="s">
        <v>420</v>
      </c>
      <c r="AA126" s="489" t="s">
        <v>429</v>
      </c>
      <c r="AB126" s="489" t="s">
        <v>421</v>
      </c>
      <c r="AC126" s="703"/>
      <c r="AD126" s="703"/>
      <c r="AE126" s="703"/>
      <c r="AK126" s="703" t="s">
        <v>474</v>
      </c>
      <c r="AL126" s="714" t="s">
        <v>475</v>
      </c>
      <c r="AM126" s="715">
        <f t="shared" ref="AM126:AS126" si="67">EXP((AM$125-$X$132)/$X$131)</f>
        <v>1.0020268578352736</v>
      </c>
      <c r="AN126" s="715">
        <f t="shared" si="67"/>
        <v>0.90123790874014942</v>
      </c>
      <c r="AO126" s="715">
        <f t="shared" si="67"/>
        <v>0.81058682389513648</v>
      </c>
      <c r="AP126" s="715">
        <f t="shared" si="67"/>
        <v>0.72905388543953287</v>
      </c>
      <c r="AQ126" s="715">
        <f t="shared" si="67"/>
        <v>0.65572194391262495</v>
      </c>
      <c r="AR126" s="715">
        <f t="shared" si="67"/>
        <v>0.58976610140323182</v>
      </c>
      <c r="AS126" s="715">
        <f t="shared" si="67"/>
        <v>0.53044443242045092</v>
      </c>
      <c r="AT126" s="703"/>
      <c r="AU126" s="703"/>
      <c r="AV126" s="703"/>
      <c r="AW126" s="703"/>
      <c r="AX126" s="703"/>
      <c r="AY126" s="703"/>
      <c r="AZ126" s="703"/>
      <c r="BA126" s="703"/>
    </row>
    <row r="127" spans="1:59">
      <c r="B127" s="1008"/>
      <c r="C127" s="22" t="s">
        <v>298</v>
      </c>
      <c r="D127" s="242"/>
      <c r="E127" s="266">
        <f>E126</f>
        <v>2.4312769999999997</v>
      </c>
      <c r="F127" s="275">
        <f>$E127*F59/($E59/3.6)</f>
        <v>2.338022539726027</v>
      </c>
      <c r="G127" s="887">
        <f t="shared" si="61"/>
        <v>3.3305164383561641</v>
      </c>
      <c r="H127" s="275">
        <f t="shared" si="62"/>
        <v>1.5491195683435091</v>
      </c>
      <c r="I127" s="266">
        <v>1.4897012835303334</v>
      </c>
      <c r="J127" s="887">
        <f t="shared" si="63"/>
        <v>2.1220816004705605</v>
      </c>
      <c r="K127" s="276"/>
      <c r="L127" s="231"/>
      <c r="M127" s="274"/>
      <c r="N127" s="266" t="str">
        <f t="shared" si="64"/>
        <v>#N/B</v>
      </c>
      <c r="O127" s="275" t="str">
        <f t="shared" si="64"/>
        <v>#N/B</v>
      </c>
      <c r="P127" s="887"/>
      <c r="Q127" s="275">
        <f t="shared" si="65"/>
        <v>-0.70769045000000008</v>
      </c>
      <c r="R127" s="266">
        <f t="shared" si="66"/>
        <v>-0.70769045000000008</v>
      </c>
      <c r="S127" s="887"/>
      <c r="T127" s="276"/>
      <c r="U127" s="150"/>
      <c r="V127" s="18"/>
      <c r="W127" s="224" t="s">
        <v>1703</v>
      </c>
      <c r="X127" s="266" cm="1">
        <f t="array" ref="X127">INDEX(Y127:AB127,1,$X$122)</f>
        <v>2.6075267259664314</v>
      </c>
      <c r="Y127" s="494">
        <f>IFERROR(INDEX(DPG_E_GPR_score_6,MATCH($AL$124,Gebruiksfuncties,0),MATCH(Y$126,GPR_Versie_En_EP_Methode,0)),0)</f>
        <v>3.085</v>
      </c>
      <c r="Z127" s="494">
        <f>IFERROR(INDEX(DPG_E_GPR_score_6,MATCH($AL$124,Gebruiksfuncties,0),MATCH(Z$126,GPR_Versie_En_EP_Methode,0)),0)</f>
        <v>3.0473780487804873</v>
      </c>
      <c r="AA127" s="494">
        <f>IFERROR(INDEX(DPG_E_GPR_score_6,MATCH($AL$124,Gebruiksfuncties,0),MATCH(AA$126,GPR_Versie_En_EP_Methode,0)),0)</f>
        <v>2.6397184139413263</v>
      </c>
      <c r="AB127" s="494">
        <f>IFERROR(INDEX(DPG_E_GPR_score_6,MATCH($AL$124,Gebruiksfuncties,0),MATCH(AB$126,GPR_Versie_En_EP_Methode,0)),0)</f>
        <v>2.6075267259664314</v>
      </c>
      <c r="AE127" s="703"/>
      <c r="AK127" s="1376">
        <v>4</v>
      </c>
      <c r="AL127" s="716">
        <f>LN($AK127/10)/$X$129+$X$128</f>
        <v>5.519404309179432</v>
      </c>
      <c r="AM127" s="717">
        <f t="shared" ref="AM127:AS133" si="68">10*EXP($X$136*(SUM($AL127,AM$126)-$X$135))</f>
        <v>4.0160328493732784</v>
      </c>
      <c r="AN127" s="717">
        <f t="shared" si="68"/>
        <v>4.0687395619705011</v>
      </c>
      <c r="AO127" s="717">
        <f t="shared" si="68"/>
        <v>4.1167353666711843</v>
      </c>
      <c r="AP127" s="717">
        <f t="shared" si="68"/>
        <v>4.1603869304649592</v>
      </c>
      <c r="AQ127" s="717">
        <f t="shared" si="68"/>
        <v>4.200043021710707</v>
      </c>
      <c r="AR127" s="717">
        <f t="shared" si="68"/>
        <v>4.2360330752245243</v>
      </c>
      <c r="AS127" s="717">
        <f t="shared" si="68"/>
        <v>4.2686664184577241</v>
      </c>
      <c r="AT127" s="703"/>
      <c r="AU127" s="703"/>
      <c r="AV127" s="703"/>
      <c r="AW127" s="703"/>
      <c r="AX127" s="703"/>
      <c r="AY127" s="703"/>
      <c r="AZ127" s="703"/>
      <c r="BA127" s="703"/>
    </row>
    <row r="128" spans="1:59" s="18" customFormat="1">
      <c r="B128" s="21"/>
      <c r="C128" s="22" t="s">
        <v>303</v>
      </c>
      <c r="D128" s="242"/>
      <c r="E128" s="266">
        <v>3.085</v>
      </c>
      <c r="F128" s="275">
        <f>$E128*F60/($E60/3.6)</f>
        <v>3.0473780487804873</v>
      </c>
      <c r="G128" s="874">
        <f t="shared" si="61"/>
        <v>3.1273246951219513</v>
      </c>
      <c r="H128" s="275">
        <f>E128*I128/F128</f>
        <v>2.6397184139413263</v>
      </c>
      <c r="I128" s="266">
        <v>2.6075267259664314</v>
      </c>
      <c r="J128" s="874">
        <f>G128*I128/F128</f>
        <v>2.6759340629130821</v>
      </c>
      <c r="K128" s="276"/>
      <c r="L128" s="231"/>
      <c r="M128" s="274"/>
      <c r="N128" s="266" t="str">
        <f t="shared" si="64"/>
        <v>#N/B</v>
      </c>
      <c r="O128" s="275" t="str">
        <f t="shared" si="64"/>
        <v>#N/B</v>
      </c>
      <c r="P128" s="874"/>
      <c r="Q128" s="275">
        <f t="shared" si="65"/>
        <v>-1.0610051724137932</v>
      </c>
      <c r="R128" s="266">
        <f t="shared" si="66"/>
        <v>-1.0610051724137932</v>
      </c>
      <c r="S128" s="874">
        <f t="shared" ref="S128:S137" si="69">(S60/3.6)/2.56*$F$9*$G$303</f>
        <v>-1.0610051724137932</v>
      </c>
      <c r="T128" s="276"/>
      <c r="U128" s="151"/>
      <c r="W128" s="224" t="s">
        <v>481</v>
      </c>
      <c r="X128" s="266" cm="1">
        <f t="array" ref="X128">INDEX(Y128:AB128,1,$X$122)</f>
        <v>-1.0610051724137932</v>
      </c>
      <c r="Y128" s="494">
        <v>0</v>
      </c>
      <c r="Z128" s="494">
        <v>0</v>
      </c>
      <c r="AA128" s="494">
        <f>INDEX(DPG_E_GPR_score_10,MATCH($AL$124,Gebruiksfuncties,0),MATCH(AA$126,GPR_Versie_En_EP_Methode,0))</f>
        <v>-1.0610051724137932</v>
      </c>
      <c r="AB128" s="494">
        <f>INDEX(DPG_E_GPR_score_10,MATCH($AL$124,Gebruiksfuncties,0),MATCH(AB$126,GPR_Versie_En_EP_Methode,0))</f>
        <v>-1.0610051724137932</v>
      </c>
      <c r="AE128" s="703"/>
      <c r="AK128" s="1376">
        <v>5</v>
      </c>
      <c r="AL128" s="716">
        <f t="shared" ref="AL128:AL133" si="70">LN($AK128/10)/$X$129+$X$128</f>
        <v>3.9168824351220186</v>
      </c>
      <c r="AM128" s="717">
        <f t="shared" si="68"/>
        <v>4.9411939154887463</v>
      </c>
      <c r="AN128" s="717">
        <f t="shared" si="68"/>
        <v>5.0060425104476884</v>
      </c>
      <c r="AO128" s="717">
        <f t="shared" si="68"/>
        <v>5.0650949602285733</v>
      </c>
      <c r="AP128" s="717">
        <f t="shared" si="68"/>
        <v>5.1188023997613517</v>
      </c>
      <c r="AQ128" s="717">
        <f t="shared" si="68"/>
        <v>5.167593942093017</v>
      </c>
      <c r="AR128" s="717">
        <f t="shared" si="68"/>
        <v>5.211874912919324</v>
      </c>
      <c r="AS128" s="717">
        <f t="shared" si="68"/>
        <v>5.2520258984998103</v>
      </c>
      <c r="AT128" s="703"/>
      <c r="AU128" s="703"/>
      <c r="AV128" s="703"/>
      <c r="AW128" s="703"/>
      <c r="AX128" s="703"/>
      <c r="AY128" s="703"/>
      <c r="AZ128" s="703"/>
      <c r="BA128" s="703"/>
      <c r="BB128" s="2"/>
      <c r="BC128" s="2"/>
      <c r="BD128" s="2"/>
      <c r="BE128" s="2"/>
      <c r="BF128" s="2"/>
      <c r="BG128" s="2"/>
    </row>
    <row r="129" spans="2:59">
      <c r="B129" s="21"/>
      <c r="C129" s="22" t="s">
        <v>299</v>
      </c>
      <c r="D129" s="242"/>
      <c r="E129" s="266">
        <v>3.13</v>
      </c>
      <c r="F129" s="275">
        <f>$E129*F61/($E61/3.6)</f>
        <v>3.0889630512514894</v>
      </c>
      <c r="G129" s="874">
        <f t="shared" si="61"/>
        <v>4.3051489868891535</v>
      </c>
      <c r="H129" s="275">
        <f t="shared" si="62"/>
        <v>3.6163969516739685</v>
      </c>
      <c r="I129" s="266">
        <v>3.5689829272777658</v>
      </c>
      <c r="J129" s="874">
        <f t="shared" ref="J129:J136" si="71">G129*I129/F129</f>
        <v>4.9741621957470317</v>
      </c>
      <c r="K129" s="276"/>
      <c r="L129" s="231"/>
      <c r="M129" s="274"/>
      <c r="N129" s="266" t="str">
        <f t="shared" si="64"/>
        <v>#N/B</v>
      </c>
      <c r="O129" s="275" t="str">
        <f t="shared" si="64"/>
        <v>#N/B</v>
      </c>
      <c r="P129" s="874"/>
      <c r="Q129" s="275">
        <f t="shared" si="65"/>
        <v>-0.31830155172413793</v>
      </c>
      <c r="R129" s="266">
        <f t="shared" si="66"/>
        <v>-0.31830155172413793</v>
      </c>
      <c r="S129" s="874">
        <f t="shared" si="69"/>
        <v>-0.31830155172413793</v>
      </c>
      <c r="T129" s="276"/>
      <c r="U129" s="151"/>
      <c r="V129" s="18"/>
      <c r="W129" s="224" t="s">
        <v>479</v>
      </c>
      <c r="X129" s="311" cm="1">
        <f t="array" ref="X129">INDEX(Y129:AB129,1,$X$122)</f>
        <v>-0.13924524521417866</v>
      </c>
      <c r="Y129" s="491">
        <f>LN(6/10) / (Y127-Y128)</f>
        <v>-0.16558367058865178</v>
      </c>
      <c r="Z129" s="491">
        <f>LN(6/10) / (Z127-Z128)</f>
        <v>-0.16762791343542527</v>
      </c>
      <c r="AA129" s="491">
        <f>LN(6/10) / (AA127-AA128)</f>
        <v>-0.13803398493458088</v>
      </c>
      <c r="AB129" s="491">
        <f>LN(6/10) / (AB127-AB128)</f>
        <v>-0.13924524521417866</v>
      </c>
      <c r="AE129" s="703"/>
      <c r="AK129" s="1376">
        <v>6</v>
      </c>
      <c r="AL129" s="716">
        <f t="shared" si="70"/>
        <v>2.6075267259664314</v>
      </c>
      <c r="AM129" s="717">
        <f t="shared" si="68"/>
        <v>5.8532295496380158</v>
      </c>
      <c r="AN129" s="717">
        <f t="shared" si="68"/>
        <v>5.9300477678173023</v>
      </c>
      <c r="AO129" s="717">
        <f t="shared" si="68"/>
        <v>6</v>
      </c>
      <c r="AP129" s="717">
        <f t="shared" si="68"/>
        <v>6.0636206506940047</v>
      </c>
      <c r="AQ129" s="717">
        <f t="shared" si="68"/>
        <v>6.1214180377694056</v>
      </c>
      <c r="AR129" s="717">
        <f t="shared" si="68"/>
        <v>6.1738723011236019</v>
      </c>
      <c r="AS129" s="717">
        <f t="shared" si="68"/>
        <v>6.2214342748624016</v>
      </c>
      <c r="AT129" s="703"/>
      <c r="AU129" s="703"/>
      <c r="AV129" s="703"/>
      <c r="AW129" s="703"/>
      <c r="AX129" s="703"/>
      <c r="AY129" s="703"/>
      <c r="AZ129" s="703"/>
      <c r="BA129" s="703"/>
    </row>
    <row r="130" spans="2:59">
      <c r="B130" s="21"/>
      <c r="C130" s="22" t="s">
        <v>422</v>
      </c>
      <c r="D130" s="242"/>
      <c r="E130" s="265">
        <f>E131</f>
        <v>4.5299999999999994</v>
      </c>
      <c r="F130" s="285">
        <f>F131</f>
        <v>4.4770794392523365</v>
      </c>
      <c r="G130" s="285">
        <f t="shared" si="61"/>
        <v>7.1611976047904182</v>
      </c>
      <c r="H130" s="285">
        <f t="shared" si="62"/>
        <v>4.1606952781564823</v>
      </c>
      <c r="I130" s="265">
        <v>4.1120890249069912</v>
      </c>
      <c r="J130" s="285">
        <f t="shared" si="71"/>
        <v>6.577386547504859</v>
      </c>
      <c r="K130" s="276"/>
      <c r="L130" s="231"/>
      <c r="M130" s="274"/>
      <c r="N130" s="285" t="str">
        <f t="shared" si="64"/>
        <v>#N/B</v>
      </c>
      <c r="O130" s="285" t="str">
        <f t="shared" si="64"/>
        <v>#N/B</v>
      </c>
      <c r="P130" s="874"/>
      <c r="Q130" s="275">
        <f t="shared" si="65"/>
        <v>-0.31830155172413793</v>
      </c>
      <c r="R130" s="265">
        <f t="shared" si="66"/>
        <v>-0.31830155172413793</v>
      </c>
      <c r="S130" s="874">
        <f t="shared" si="69"/>
        <v>-0.31830155172413793</v>
      </c>
      <c r="T130" s="276"/>
      <c r="U130" s="151"/>
      <c r="V130" s="18"/>
      <c r="W130" s="713" t="s">
        <v>9</v>
      </c>
      <c r="X130" s="224" t="str" cm="1">
        <f t="array" ref="X130">INDEX(Y130:AB130,1,$X$122)</f>
        <v>GPR 4.4 NMD 3.0</v>
      </c>
      <c r="Y130" s="489" t="s">
        <v>436</v>
      </c>
      <c r="Z130" s="489" t="s">
        <v>436</v>
      </c>
      <c r="AA130" s="489" t="s">
        <v>437</v>
      </c>
      <c r="AB130" s="489" t="s">
        <v>437</v>
      </c>
      <c r="AE130" s="703"/>
      <c r="AK130" s="1376">
        <v>7</v>
      </c>
      <c r="AL130" s="716">
        <f t="shared" si="70"/>
        <v>1.5004822477858446</v>
      </c>
      <c r="AM130" s="717">
        <f t="shared" si="68"/>
        <v>6.7544928057421068</v>
      </c>
      <c r="AN130" s="717">
        <f t="shared" si="68"/>
        <v>6.8431392696543245</v>
      </c>
      <c r="AO130" s="717">
        <f t="shared" si="68"/>
        <v>6.9238625430227598</v>
      </c>
      <c r="AP130" s="717">
        <f t="shared" si="68"/>
        <v>6.997279316406587</v>
      </c>
      <c r="AQ130" s="717">
        <f t="shared" si="68"/>
        <v>7.0639761769825791</v>
      </c>
      <c r="AR130" s="717">
        <f t="shared" si="68"/>
        <v>7.1245071951925727</v>
      </c>
      <c r="AS130" s="717">
        <f t="shared" si="68"/>
        <v>7.1793926232662919</v>
      </c>
      <c r="AT130" s="703"/>
      <c r="AU130" s="703"/>
      <c r="AV130" s="703"/>
      <c r="AW130" s="703"/>
      <c r="AX130" s="703"/>
      <c r="AY130" s="703"/>
      <c r="AZ130" s="703"/>
      <c r="BA130" s="703"/>
    </row>
    <row r="131" spans="2:59">
      <c r="B131" s="21"/>
      <c r="C131" s="22" t="s">
        <v>305</v>
      </c>
      <c r="D131" s="242"/>
      <c r="E131" s="266">
        <v>4.5299999999999994</v>
      </c>
      <c r="F131" s="275">
        <f>$E131*F63/($E63/3.6)</f>
        <v>4.4770794392523365</v>
      </c>
      <c r="G131" s="874">
        <f t="shared" si="61"/>
        <v>4.4612032710280367</v>
      </c>
      <c r="H131" s="275">
        <f t="shared" si="62"/>
        <v>3.6896731711953707</v>
      </c>
      <c r="I131" s="266">
        <v>3.6465695126533695</v>
      </c>
      <c r="J131" s="874">
        <f t="shared" si="71"/>
        <v>3.6336384150907683</v>
      </c>
      <c r="K131" s="276"/>
      <c r="L131" s="231"/>
      <c r="M131" s="274"/>
      <c r="N131" s="266" t="str">
        <f t="shared" si="64"/>
        <v>#N/B</v>
      </c>
      <c r="O131" s="275" t="str">
        <f t="shared" si="64"/>
        <v>#N/B</v>
      </c>
      <c r="P131" s="874"/>
      <c r="Q131" s="275">
        <f t="shared" si="65"/>
        <v>-0.53050258620689661</v>
      </c>
      <c r="R131" s="266">
        <f t="shared" si="66"/>
        <v>-0.53050258620689661</v>
      </c>
      <c r="S131" s="874">
        <f t="shared" si="69"/>
        <v>-0.53050258620689661</v>
      </c>
      <c r="T131" s="276"/>
      <c r="U131" s="151"/>
      <c r="V131" s="18"/>
      <c r="W131" s="224" t="s">
        <v>482</v>
      </c>
      <c r="X131" s="310" cm="1">
        <f t="array" ref="X131">INDEX(Y131:AB131,1,$X$122)</f>
        <v>-9.4329999999999998</v>
      </c>
      <c r="Y131" s="492">
        <f>INDEX(MPG_factor_a,MATCH($AL$124,Gebruiksfuncties,0),MATCH(Y$130,GPR_Versie_en_NMD,0))</f>
        <v>-5.3570000000000002</v>
      </c>
      <c r="Z131" s="492">
        <f>INDEX(MPG_factor_a,MATCH($AL$124,Gebruiksfuncties,0),MATCH(Z$130,GPR_Versie_en_NMD,0))</f>
        <v>-5.3570000000000002</v>
      </c>
      <c r="AA131" s="492">
        <f>INDEX(MPG_factor_a,MATCH($AL$124,Gebruiksfuncties,0),MATCH(AA$130,GPR_Versie_en_NMD,0))</f>
        <v>-9.4329999999999998</v>
      </c>
      <c r="AB131" s="492">
        <f>INDEX(MPG_factor_a,MATCH($AL$124,Gebruiksfuncties,0),MATCH(AB$130,GPR_Versie_en_NMD,0))</f>
        <v>-9.4329999999999998</v>
      </c>
      <c r="AE131" s="703"/>
      <c r="AK131" s="1376">
        <v>8</v>
      </c>
      <c r="AL131" s="716">
        <f t="shared" si="70"/>
        <v>0.54151670164362042</v>
      </c>
      <c r="AM131" s="717">
        <f t="shared" si="68"/>
        <v>7.6466356544822425</v>
      </c>
      <c r="AN131" s="717">
        <f t="shared" si="68"/>
        <v>7.7469906672255675</v>
      </c>
      <c r="AO131" s="717">
        <f t="shared" si="68"/>
        <v>7.8383759833459488</v>
      </c>
      <c r="AP131" s="717">
        <f t="shared" si="68"/>
        <v>7.9214897467534051</v>
      </c>
      <c r="AQ131" s="717">
        <f t="shared" si="68"/>
        <v>7.9969960218787337</v>
      </c>
      <c r="AR131" s="717">
        <f t="shared" si="68"/>
        <v>8.0655220615620067</v>
      </c>
      <c r="AS131" s="717">
        <f t="shared" si="68"/>
        <v>8.1276568336744628</v>
      </c>
      <c r="AT131" s="703"/>
      <c r="AU131" s="703"/>
      <c r="AV131" s="703"/>
      <c r="AW131" s="703"/>
      <c r="AX131" s="703"/>
      <c r="AY131" s="703"/>
      <c r="AZ131" s="703"/>
      <c r="BA131" s="703"/>
    </row>
    <row r="132" spans="2:59">
      <c r="B132" s="21"/>
      <c r="C132" s="22" t="s">
        <v>302</v>
      </c>
      <c r="D132" s="242"/>
      <c r="E132" s="285" t="str">
        <f t="shared" ref="E132:H133" si="72">"#N/B"</f>
        <v>#N/B</v>
      </c>
      <c r="F132" s="285" t="str">
        <f t="shared" si="72"/>
        <v>#N/B</v>
      </c>
      <c r="G132" s="285" t="str">
        <f t="shared" si="72"/>
        <v>#N/B</v>
      </c>
      <c r="H132" s="285" t="str">
        <f t="shared" si="72"/>
        <v>#N/B</v>
      </c>
      <c r="I132" s="265">
        <v>3.0421145136275034</v>
      </c>
      <c r="J132" s="285" t="s">
        <v>1378</v>
      </c>
      <c r="K132" s="276"/>
      <c r="L132" s="231"/>
      <c r="M132" s="274"/>
      <c r="N132" s="285" t="str">
        <f t="shared" si="64"/>
        <v>#N/B</v>
      </c>
      <c r="O132" s="285" t="str">
        <f t="shared" si="64"/>
        <v>#N/B</v>
      </c>
      <c r="P132" s="874"/>
      <c r="Q132" s="275">
        <f t="shared" si="65"/>
        <v>-0.8488041379310346</v>
      </c>
      <c r="R132" s="265">
        <f t="shared" si="66"/>
        <v>-0.8488041379310346</v>
      </c>
      <c r="S132" s="874">
        <f t="shared" si="69"/>
        <v>-0.8488041379310346</v>
      </c>
      <c r="T132" s="276"/>
      <c r="U132" s="151"/>
      <c r="V132" s="18"/>
      <c r="W132" s="224" t="s">
        <v>483</v>
      </c>
      <c r="X132" s="310" cm="1">
        <f t="array" ref="X132">INDEX(Y132:AB132,1,$X$122)</f>
        <v>4.0190999999999999</v>
      </c>
      <c r="Y132" s="492">
        <f>INDEX(MPG_factor_b,MATCH($AL$124,Gebruiksfuncties,0),MATCH(Y$130,GPR_Versie_en_NMD,0))</f>
        <v>4.2529000000000003</v>
      </c>
      <c r="Z132" s="492">
        <f>INDEX(MPG_factor_b,MATCH($AL$124,Gebruiksfuncties,0),MATCH(Z$130,GPR_Versie_en_NMD,0))</f>
        <v>4.2529000000000003</v>
      </c>
      <c r="AA132" s="492">
        <f>INDEX(MPG_factor_b,MATCH($AL$124,Gebruiksfuncties,0),MATCH(AA$130,GPR_Versie_en_NMD,0))</f>
        <v>4.0190999999999999</v>
      </c>
      <c r="AB132" s="492">
        <f>INDEX(MPG_factor_b,MATCH($AL$124,Gebruiksfuncties,0),MATCH(AB$130,GPR_Versie_en_NMD,0))</f>
        <v>4.0190999999999999</v>
      </c>
      <c r="AE132" s="703"/>
      <c r="AK132" s="1376">
        <v>9</v>
      </c>
      <c r="AL132" s="716">
        <f t="shared" si="70"/>
        <v>-0.30435085724657107</v>
      </c>
      <c r="AM132" s="717">
        <f t="shared" si="68"/>
        <v>8.5308804598304384</v>
      </c>
      <c r="AN132" s="717">
        <f t="shared" si="68"/>
        <v>8.6428403668983584</v>
      </c>
      <c r="AO132" s="717">
        <f t="shared" si="68"/>
        <v>8.7447933358684189</v>
      </c>
      <c r="AP132" s="717">
        <f t="shared" si="68"/>
        <v>8.8375182429038439</v>
      </c>
      <c r="AQ132" s="717">
        <f t="shared" si="68"/>
        <v>8.9217559437917728</v>
      </c>
      <c r="AR132" s="717">
        <f t="shared" si="68"/>
        <v>8.9982062258947177</v>
      </c>
      <c r="AS132" s="717">
        <f t="shared" si="68"/>
        <v>9.0675261643933496</v>
      </c>
      <c r="AT132" s="703"/>
      <c r="AU132" s="703"/>
      <c r="AV132" s="703"/>
      <c r="AW132" s="703"/>
      <c r="AX132" s="703"/>
      <c r="AY132" s="703"/>
      <c r="AZ132" s="703"/>
      <c r="BA132" s="703"/>
    </row>
    <row r="133" spans="2:59">
      <c r="B133" s="21"/>
      <c r="C133" s="22" t="s">
        <v>423</v>
      </c>
      <c r="D133" s="242"/>
      <c r="E133" s="285" t="str">
        <f t="shared" si="72"/>
        <v>#N/B</v>
      </c>
      <c r="F133" s="285" t="str">
        <f t="shared" si="72"/>
        <v>#N/B</v>
      </c>
      <c r="G133" s="285" t="str">
        <f t="shared" si="72"/>
        <v>#N/B</v>
      </c>
      <c r="H133" s="285" t="str">
        <f t="shared" si="72"/>
        <v>#N/B</v>
      </c>
      <c r="I133" s="265">
        <v>7.1710028268311063</v>
      </c>
      <c r="J133" s="285" t="s">
        <v>1378</v>
      </c>
      <c r="K133" s="276"/>
      <c r="L133" s="231"/>
      <c r="M133" s="274"/>
      <c r="N133" s="285" t="str">
        <f t="shared" si="64"/>
        <v>#N/B</v>
      </c>
      <c r="O133" s="285" t="str">
        <f t="shared" si="64"/>
        <v>#N/B</v>
      </c>
      <c r="P133" s="874"/>
      <c r="Q133" s="275">
        <f t="shared" si="65"/>
        <v>-1.0610051724137932</v>
      </c>
      <c r="R133" s="265">
        <f t="shared" si="66"/>
        <v>-1.0610051724137932</v>
      </c>
      <c r="S133" s="874">
        <f t="shared" si="69"/>
        <v>-1.0610051724137932</v>
      </c>
      <c r="T133" s="276"/>
      <c r="U133" s="151"/>
      <c r="V133" s="18"/>
      <c r="W133" s="713" t="s">
        <v>484</v>
      </c>
      <c r="X133" s="325" t="str" cm="1">
        <f t="array" ref="X133">INDEX(Y133:AB133,1,$X$122)</f>
        <v>GPR 4.4 | NTA 8800 | NMD 2.3/30 | DPG2</v>
      </c>
      <c r="Y133" s="493" t="s">
        <v>450</v>
      </c>
      <c r="Z133" s="493" t="s">
        <v>451</v>
      </c>
      <c r="AA133" s="493" t="s">
        <v>452</v>
      </c>
      <c r="AB133" s="493" t="s">
        <v>453</v>
      </c>
      <c r="AE133" s="703"/>
      <c r="AK133" s="1376">
        <v>10</v>
      </c>
      <c r="AL133" s="716">
        <f t="shared" si="70"/>
        <v>-1.0610051724137932</v>
      </c>
      <c r="AM133" s="717">
        <f t="shared" si="68"/>
        <v>9.4081674595324252</v>
      </c>
      <c r="AN133" s="717">
        <f t="shared" si="68"/>
        <v>9.5316409461682472</v>
      </c>
      <c r="AO133" s="717">
        <f t="shared" si="68"/>
        <v>9.6440784149129346</v>
      </c>
      <c r="AP133" s="717">
        <f t="shared" si="68"/>
        <v>9.7463388389297307</v>
      </c>
      <c r="AQ133" s="717">
        <f t="shared" si="68"/>
        <v>9.8392392611184381</v>
      </c>
      <c r="AR133" s="717">
        <f t="shared" si="68"/>
        <v>9.9235514326158309</v>
      </c>
      <c r="AS133" s="717">
        <f t="shared" si="68"/>
        <v>10</v>
      </c>
      <c r="AT133" s="703"/>
      <c r="AU133" s="703"/>
      <c r="AV133" s="703"/>
      <c r="AW133" s="703"/>
      <c r="AX133" s="703"/>
      <c r="AY133" s="703"/>
      <c r="AZ133" s="703"/>
      <c r="BA133" s="703"/>
    </row>
    <row r="134" spans="2:59">
      <c r="B134" s="21"/>
      <c r="C134" s="22" t="s">
        <v>307</v>
      </c>
      <c r="D134" s="242"/>
      <c r="E134" s="266">
        <v>6.3233333333333324</v>
      </c>
      <c r="F134" s="275">
        <f>$E134*F66/($E66/3.6)</f>
        <v>4.8488340807174879</v>
      </c>
      <c r="G134" s="874">
        <f>$E134*G66/$E66</f>
        <v>7.0794867962132528</v>
      </c>
      <c r="H134" s="275">
        <f>E134*I134/F134</f>
        <v>6.9555396130330989</v>
      </c>
      <c r="I134" s="266">
        <v>5.3336200620119278</v>
      </c>
      <c r="J134" s="874">
        <f t="shared" si="71"/>
        <v>7.787293228941393</v>
      </c>
      <c r="K134" s="276"/>
      <c r="L134" s="231"/>
      <c r="M134" s="274"/>
      <c r="N134" s="266" t="str">
        <f t="shared" si="64"/>
        <v>#N/B</v>
      </c>
      <c r="O134" s="275" t="str">
        <f t="shared" si="64"/>
        <v>#N/B</v>
      </c>
      <c r="P134" s="874"/>
      <c r="Q134" s="275">
        <f t="shared" si="65"/>
        <v>-0.8488041379310346</v>
      </c>
      <c r="R134" s="266">
        <f t="shared" si="66"/>
        <v>-0.8488041379310346</v>
      </c>
      <c r="S134" s="874">
        <f t="shared" si="69"/>
        <v>-0.8488041379310346</v>
      </c>
      <c r="T134" s="276"/>
      <c r="U134" s="151"/>
      <c r="V134" s="18"/>
      <c r="W134" s="224" t="s">
        <v>454</v>
      </c>
      <c r="X134" s="310" cm="1">
        <f t="array" ref="X134">INDEX(Y134:AB134,1,$X$122)</f>
        <v>3.4181135498615678</v>
      </c>
      <c r="Y134" s="492">
        <f>INDEX(DPG_D_GPR_score_6,MATCH($AL$124,Gebruiksfuncties,0),MATCH(Y$133,$D$156:$K$156,0))</f>
        <v>3.8792971145657744</v>
      </c>
      <c r="Z134" s="492">
        <f>INDEX(DPG_D_GPR_score_6,MATCH($AL$124,Gebruiksfuncties,0),MATCH(Z$133,$D$156:$K$156,0))</f>
        <v>3.9073780487804877</v>
      </c>
      <c r="AA134" s="492">
        <f>INDEX(DPG_D_GPR_score_6,MATCH($AL$124,Gebruiksfuncties,0),MATCH(AA$133,$D$156:$K$156,0))</f>
        <v>3.4503052378364627</v>
      </c>
      <c r="AB134" s="492">
        <f>INDEX(DPG_D_GPR_score_6,MATCH($AL$124,Gebruiksfuncties,0),MATCH(AB$133,$D$156:$K$156,0))</f>
        <v>3.4181135498615678</v>
      </c>
      <c r="AE134" s="703"/>
      <c r="AF134" s="703"/>
      <c r="AG134" s="703"/>
      <c r="AH134" s="703"/>
      <c r="AI134" s="703"/>
      <c r="AJ134" s="703"/>
      <c r="AK134" s="703"/>
      <c r="AL134" s="18"/>
      <c r="AM134" s="703"/>
      <c r="AN134" s="703"/>
    </row>
    <row r="135" spans="2:59">
      <c r="B135" s="21"/>
      <c r="C135" s="22" t="s">
        <v>306</v>
      </c>
      <c r="D135" s="242"/>
      <c r="E135" s="266">
        <v>3.5369999999999999</v>
      </c>
      <c r="F135" s="275">
        <f>$E135*F67/($E67/3.6)</f>
        <v>3.0646677018633541</v>
      </c>
      <c r="G135" s="874">
        <f>$E135*G67/$E67</f>
        <v>4.1466381987577643</v>
      </c>
      <c r="H135" s="275">
        <f>E135*I135/F135</f>
        <v>2.5914308819789849</v>
      </c>
      <c r="I135" s="266">
        <v>2.2453702362488719</v>
      </c>
      <c r="J135" s="874">
        <f t="shared" si="71"/>
        <v>3.0380905526306425</v>
      </c>
      <c r="K135" s="276"/>
      <c r="L135" s="231"/>
      <c r="M135" s="274"/>
      <c r="N135" s="266" t="str">
        <f t="shared" si="64"/>
        <v>#N/B</v>
      </c>
      <c r="O135" s="275" t="str">
        <f t="shared" si="64"/>
        <v>#N/B</v>
      </c>
      <c r="P135" s="874"/>
      <c r="Q135" s="275">
        <f t="shared" si="65"/>
        <v>-0.31830155172413793</v>
      </c>
      <c r="R135" s="266">
        <f t="shared" si="66"/>
        <v>-0.31830155172413793</v>
      </c>
      <c r="S135" s="874">
        <f t="shared" si="69"/>
        <v>-0.31830155172413793</v>
      </c>
      <c r="T135" s="276"/>
      <c r="U135" s="151"/>
      <c r="V135" s="18"/>
      <c r="W135" s="224" t="s">
        <v>455</v>
      </c>
      <c r="X135" s="310" cm="1">
        <f t="array" ref="X135">INDEX(Y135:AB135,1,$X$122)</f>
        <v>-0.5305607399933423</v>
      </c>
      <c r="Y135" s="492">
        <f>INDEX(DPG_D_GPR_score_10,MATCH($AL$124,Gebruiksfuncties,0),MATCH(Y$133,$M$156:$T$156,0))</f>
        <v>0.12322635158054962</v>
      </c>
      <c r="Z135" s="492">
        <f>INDEX(DPG_D_GPR_score_10,MATCH($AL$124,Gebruiksfuncties,0),MATCH(Z$133,$M$156:$T$156,0))</f>
        <v>0</v>
      </c>
      <c r="AA135" s="492">
        <f>INDEX(DPG_D_GPR_score_10,MATCH($AL$124,Gebruiksfuncties,0),MATCH(AA$133,$M$156:$T$156,0))</f>
        <v>-0.5305607399933423</v>
      </c>
      <c r="AB135" s="492">
        <f>INDEX(DPG_D_GPR_score_10,MATCH($AL$124,Gebruiksfuncties,0),MATCH(AB$133,$M$156:$T$156,0))</f>
        <v>-0.5305607399933423</v>
      </c>
      <c r="AE135" s="703"/>
      <c r="AF135" s="703"/>
      <c r="AG135" s="703"/>
      <c r="AH135" s="703"/>
      <c r="AI135" s="703"/>
      <c r="AJ135" s="703"/>
      <c r="AK135" s="1376">
        <v>4</v>
      </c>
      <c r="AL135" s="1378"/>
      <c r="AM135" s="1377" t="str">
        <f t="shared" ref="AM135:AS141" si="73">IFERROR((AM127-$AK135)/(AM$125-$AK135),"-")</f>
        <v>-</v>
      </c>
      <c r="AN135" s="1377">
        <f t="shared" si="73"/>
        <v>6.8739561970501128E-2</v>
      </c>
      <c r="AO135" s="1377">
        <f t="shared" si="73"/>
        <v>5.8367683335592169E-2</v>
      </c>
      <c r="AP135" s="1377">
        <f t="shared" si="73"/>
        <v>5.3462310154986405E-2</v>
      </c>
      <c r="AQ135" s="1377">
        <f t="shared" si="73"/>
        <v>5.0010755427676745E-2</v>
      </c>
      <c r="AR135" s="1377">
        <f t="shared" si="73"/>
        <v>4.7206615044904865E-2</v>
      </c>
      <c r="AS135" s="1377">
        <f t="shared" si="73"/>
        <v>4.4777736409620683E-2</v>
      </c>
    </row>
    <row r="136" spans="2:59">
      <c r="B136" s="21"/>
      <c r="C136" s="22" t="s">
        <v>424</v>
      </c>
      <c r="D136" s="242"/>
      <c r="E136" s="266">
        <v>3.23</v>
      </c>
      <c r="F136" s="275">
        <f>$E136*F68/($E68/3.6)</f>
        <v>3.7562359550561797</v>
      </c>
      <c r="G136" s="874">
        <f>$E136*G68/$E68</f>
        <v>4.0148174157303371</v>
      </c>
      <c r="H136" s="275">
        <f>E136*I136/F136</f>
        <v>2.8650602297655849</v>
      </c>
      <c r="I136" s="266">
        <v>3.3318397054015514</v>
      </c>
      <c r="J136" s="874">
        <f t="shared" si="71"/>
        <v>3.5612054822226726</v>
      </c>
      <c r="K136" s="276"/>
      <c r="L136" s="231"/>
      <c r="M136" s="274"/>
      <c r="N136" s="266" t="str">
        <f t="shared" si="64"/>
        <v>#N/B</v>
      </c>
      <c r="O136" s="275" t="str">
        <f t="shared" si="64"/>
        <v>#N/B</v>
      </c>
      <c r="P136" s="874"/>
      <c r="Q136" s="275">
        <f t="shared" si="65"/>
        <v>-0.53050258620689661</v>
      </c>
      <c r="R136" s="266">
        <f t="shared" si="66"/>
        <v>-0.53050258620689661</v>
      </c>
      <c r="S136" s="874">
        <f t="shared" si="69"/>
        <v>-0.53050258620689661</v>
      </c>
      <c r="T136" s="276"/>
      <c r="U136" s="151"/>
      <c r="V136" s="18"/>
      <c r="W136" s="224" t="s">
        <v>479</v>
      </c>
      <c r="X136" s="311" cm="1">
        <f t="array" ref="X136">INDEX(Y136:AB136,1,$X$122)</f>
        <v>-0.1293663610286683</v>
      </c>
      <c r="Y136" s="491">
        <f>LN(6/10) / (Y134-Y135)</f>
        <v>-0.13600000000000004</v>
      </c>
      <c r="Z136" s="491">
        <f t="shared" ref="Z136:AB136" si="74">LN(6/10) / (Z134-Z135)</f>
        <v>-0.13073360636947376</v>
      </c>
      <c r="AA136" s="491">
        <f t="shared" si="74"/>
        <v>-0.12832022645597091</v>
      </c>
      <c r="AB136" s="491">
        <f t="shared" si="74"/>
        <v>-0.1293663610286683</v>
      </c>
      <c r="AE136" s="703"/>
      <c r="AF136" s="703"/>
      <c r="AG136" s="703"/>
      <c r="AH136" s="703"/>
      <c r="AI136" s="703"/>
      <c r="AJ136" s="703"/>
      <c r="AK136" s="1376">
        <v>5</v>
      </c>
      <c r="AL136" s="1378"/>
      <c r="AM136" s="1377">
        <f t="shared" si="73"/>
        <v>5.8806084511253687E-2</v>
      </c>
      <c r="AN136" s="1377" t="str">
        <f t="shared" si="73"/>
        <v>-</v>
      </c>
      <c r="AO136" s="1377">
        <f t="shared" si="73"/>
        <v>6.5094960228573306E-2</v>
      </c>
      <c r="AP136" s="1377">
        <f t="shared" si="73"/>
        <v>5.9401199880675826E-2</v>
      </c>
      <c r="AQ136" s="1377">
        <f t="shared" si="73"/>
        <v>5.5864647364339014E-2</v>
      </c>
      <c r="AR136" s="1377">
        <f t="shared" si="73"/>
        <v>5.2968728229831008E-2</v>
      </c>
      <c r="AS136" s="1377">
        <f t="shared" si="73"/>
        <v>5.0405179699962055E-2</v>
      </c>
    </row>
    <row r="137" spans="2:59">
      <c r="B137" s="21"/>
      <c r="C137" s="22" t="s">
        <v>425</v>
      </c>
      <c r="D137" s="243"/>
      <c r="E137" s="286" t="str">
        <f>"#N/B"</f>
        <v>#N/B</v>
      </c>
      <c r="F137" s="286" t="str">
        <f>"#N/B"</f>
        <v>#N/B</v>
      </c>
      <c r="G137" s="286" t="str">
        <f>"#N/B"</f>
        <v>#N/B</v>
      </c>
      <c r="H137" s="286" t="str">
        <f>"#N/B"</f>
        <v>#N/B</v>
      </c>
      <c r="I137" s="268">
        <v>5.5749410370927412</v>
      </c>
      <c r="J137" s="286" t="s">
        <v>1378</v>
      </c>
      <c r="K137" s="279"/>
      <c r="L137" s="231"/>
      <c r="M137" s="277"/>
      <c r="N137" s="286" t="str">
        <f t="shared" si="64"/>
        <v>#N/B</v>
      </c>
      <c r="O137" s="286" t="str">
        <f t="shared" si="64"/>
        <v>#N/B</v>
      </c>
      <c r="P137" s="875"/>
      <c r="Q137" s="278">
        <f t="shared" si="65"/>
        <v>-0.53050258620689661</v>
      </c>
      <c r="R137" s="268">
        <f t="shared" si="66"/>
        <v>-0.53050258620689661</v>
      </c>
      <c r="S137" s="875">
        <f t="shared" si="69"/>
        <v>-0.53050258620689661</v>
      </c>
      <c r="T137" s="279"/>
      <c r="U137" s="151"/>
      <c r="V137" s="18"/>
      <c r="AE137" s="703"/>
      <c r="AF137" s="703"/>
      <c r="AG137" s="703"/>
      <c r="AH137" s="703"/>
      <c r="AI137" s="703"/>
      <c r="AJ137" s="703"/>
      <c r="AK137" s="1376">
        <v>6</v>
      </c>
      <c r="AL137" s="1378"/>
      <c r="AM137" s="1377">
        <f t="shared" si="73"/>
        <v>7.3385225180992109E-2</v>
      </c>
      <c r="AN137" s="1377">
        <f t="shared" si="73"/>
        <v>6.9952232182697749E-2</v>
      </c>
      <c r="AO137" s="1377" t="str">
        <f t="shared" si="73"/>
        <v>-</v>
      </c>
      <c r="AP137" s="1377">
        <f t="shared" si="73"/>
        <v>6.3620650694004688E-2</v>
      </c>
      <c r="AQ137" s="1377">
        <f t="shared" si="73"/>
        <v>6.0709018884702814E-2</v>
      </c>
      <c r="AR137" s="1377">
        <f t="shared" si="73"/>
        <v>5.7957433707867288E-2</v>
      </c>
      <c r="AS137" s="1377">
        <f t="shared" si="73"/>
        <v>5.5358568715600409E-2</v>
      </c>
    </row>
    <row r="138" spans="2:59">
      <c r="B138" s="21"/>
      <c r="C138" s="225"/>
      <c r="D138" s="282"/>
      <c r="E138" s="283"/>
      <c r="F138" s="283"/>
      <c r="G138" s="283"/>
      <c r="H138" s="283"/>
      <c r="I138" s="283"/>
      <c r="J138" s="283"/>
      <c r="K138" s="284"/>
      <c r="L138" s="231"/>
      <c r="M138" s="282"/>
      <c r="N138" s="283"/>
      <c r="O138" s="283"/>
      <c r="P138" s="283"/>
      <c r="Q138" s="283"/>
      <c r="R138" s="283"/>
      <c r="S138" s="283"/>
      <c r="T138" s="284"/>
      <c r="U138" s="226"/>
      <c r="V138" s="18"/>
      <c r="AE138" s="703"/>
      <c r="AF138" s="703"/>
      <c r="AG138" s="703"/>
      <c r="AH138" s="703"/>
      <c r="AI138" s="703"/>
      <c r="AJ138" s="703"/>
      <c r="AK138" s="1376">
        <v>7</v>
      </c>
      <c r="AL138" s="1378"/>
      <c r="AM138" s="1377">
        <f t="shared" si="73"/>
        <v>8.1835731419297744E-2</v>
      </c>
      <c r="AN138" s="1377">
        <f t="shared" si="73"/>
        <v>7.8430365172837746E-2</v>
      </c>
      <c r="AO138" s="1377">
        <f t="shared" si="73"/>
        <v>7.613745697724017E-2</v>
      </c>
      <c r="AP138" s="1377" t="str">
        <f t="shared" si="73"/>
        <v>-</v>
      </c>
      <c r="AQ138" s="1377">
        <f t="shared" si="73"/>
        <v>6.3976176982579069E-2</v>
      </c>
      <c r="AR138" s="1377">
        <f t="shared" si="73"/>
        <v>6.2253597596286347E-2</v>
      </c>
      <c r="AS138" s="1377">
        <f t="shared" si="73"/>
        <v>5.9797541088763971E-2</v>
      </c>
    </row>
    <row r="139" spans="2:59">
      <c r="B139" s="21"/>
      <c r="C139" s="57" t="s">
        <v>444</v>
      </c>
      <c r="D139" s="57"/>
      <c r="E139" s="57"/>
      <c r="F139" s="57"/>
      <c r="G139" s="57"/>
      <c r="H139" s="57"/>
      <c r="I139" s="57"/>
      <c r="J139" s="57"/>
      <c r="K139" s="57"/>
      <c r="L139" s="231"/>
      <c r="M139" s="57"/>
      <c r="N139" s="57" t="s">
        <v>445</v>
      </c>
      <c r="O139" s="57"/>
      <c r="P139" s="57"/>
      <c r="Q139" s="57"/>
      <c r="R139" s="57"/>
      <c r="S139" s="57"/>
      <c r="T139" s="57"/>
      <c r="U139" s="151"/>
      <c r="V139" s="18"/>
      <c r="AE139" s="703"/>
      <c r="AF139" s="703"/>
      <c r="AG139" s="703"/>
      <c r="AH139" s="703"/>
      <c r="AI139" s="703"/>
      <c r="AJ139" s="703"/>
      <c r="AK139" s="1376">
        <v>8</v>
      </c>
      <c r="AL139" s="1378"/>
      <c r="AM139" s="1377">
        <f t="shared" si="73"/>
        <v>8.8341086379439382E-2</v>
      </c>
      <c r="AN139" s="1377">
        <f t="shared" si="73"/>
        <v>8.4336444258144169E-2</v>
      </c>
      <c r="AO139" s="1377">
        <f t="shared" si="73"/>
        <v>8.081200832702562E-2</v>
      </c>
      <c r="AP139" s="1377">
        <f t="shared" si="73"/>
        <v>7.8510253246594885E-2</v>
      </c>
      <c r="AQ139" s="1377" t="str">
        <f t="shared" si="73"/>
        <v>-</v>
      </c>
      <c r="AR139" s="1377">
        <f t="shared" si="73"/>
        <v>6.5522061562006684E-2</v>
      </c>
      <c r="AS139" s="1377">
        <f t="shared" si="73"/>
        <v>6.3828416837231394E-2</v>
      </c>
      <c r="AT139" s="18"/>
      <c r="AU139" s="18"/>
      <c r="AV139" s="18"/>
      <c r="AW139" s="18"/>
      <c r="AX139" s="18"/>
      <c r="AY139" s="18"/>
      <c r="AZ139" s="18"/>
      <c r="BA139" s="18"/>
      <c r="BB139" s="18"/>
      <c r="BC139" s="18"/>
      <c r="BD139" s="18"/>
      <c r="BE139" s="18"/>
      <c r="BF139" s="18"/>
      <c r="BG139" s="18"/>
    </row>
    <row r="140" spans="2:59">
      <c r="B140" s="21"/>
      <c r="C140" s="64" t="s">
        <v>414</v>
      </c>
      <c r="D140" s="57"/>
      <c r="E140" s="224" t="s">
        <v>446</v>
      </c>
      <c r="F140" s="224" t="s">
        <v>446</v>
      </c>
      <c r="G140" s="224" t="s">
        <v>446</v>
      </c>
      <c r="H140" s="224" t="s">
        <v>447</v>
      </c>
      <c r="I140" s="224" t="s">
        <v>447</v>
      </c>
      <c r="J140" s="224"/>
      <c r="K140" s="57"/>
      <c r="L140" s="230"/>
      <c r="M140" s="57"/>
      <c r="N140" s="224" t="s">
        <v>446</v>
      </c>
      <c r="O140" s="224" t="s">
        <v>446</v>
      </c>
      <c r="P140" s="224" t="s">
        <v>446</v>
      </c>
      <c r="Q140" s="224" t="s">
        <v>447</v>
      </c>
      <c r="R140" s="224" t="s">
        <v>447</v>
      </c>
      <c r="S140" s="224" t="s">
        <v>447</v>
      </c>
      <c r="T140" s="57"/>
      <c r="U140" s="151"/>
      <c r="V140" s="18"/>
      <c r="AE140" s="703"/>
      <c r="AF140" s="703"/>
      <c r="AG140" s="703"/>
      <c r="AH140" s="703"/>
      <c r="AI140" s="703"/>
      <c r="AJ140" s="703"/>
      <c r="AK140" s="1376">
        <v>9</v>
      </c>
      <c r="AL140" s="1378"/>
      <c r="AM140" s="1377">
        <f t="shared" si="73"/>
        <v>9.3823908033912315E-2</v>
      </c>
      <c r="AN140" s="1377">
        <f t="shared" si="73"/>
        <v>8.928990827541039E-2</v>
      </c>
      <c r="AO140" s="1377">
        <f t="shared" si="73"/>
        <v>8.5068888043860369E-2</v>
      </c>
      <c r="AP140" s="1377">
        <f t="shared" si="73"/>
        <v>8.1240878548078044E-2</v>
      </c>
      <c r="AQ140" s="1377">
        <f t="shared" si="73"/>
        <v>7.8244056208227164E-2</v>
      </c>
      <c r="AR140" s="1377" t="str">
        <f t="shared" si="73"/>
        <v>-</v>
      </c>
      <c r="AS140" s="1377">
        <f t="shared" si="73"/>
        <v>6.7526164393349575E-2</v>
      </c>
    </row>
    <row r="141" spans="2:59">
      <c r="B141" s="21"/>
      <c r="C141" s="64" t="s">
        <v>204</v>
      </c>
      <c r="D141" s="234"/>
      <c r="E141" s="234" t="s">
        <v>440</v>
      </c>
      <c r="F141" s="234" t="s">
        <v>440</v>
      </c>
      <c r="G141" s="234" t="s">
        <v>440</v>
      </c>
      <c r="H141" s="234" t="s">
        <v>440</v>
      </c>
      <c r="I141" s="234" t="s">
        <v>440</v>
      </c>
      <c r="J141" s="234"/>
      <c r="K141" s="269"/>
      <c r="L141" s="230"/>
      <c r="M141" s="269"/>
      <c r="N141" s="234" t="s">
        <v>440</v>
      </c>
      <c r="O141" s="234" t="s">
        <v>440</v>
      </c>
      <c r="P141" s="234" t="s">
        <v>440</v>
      </c>
      <c r="Q141" s="234" t="s">
        <v>440</v>
      </c>
      <c r="R141" s="234" t="s">
        <v>440</v>
      </c>
      <c r="S141" s="234" t="s">
        <v>440</v>
      </c>
      <c r="T141" s="234"/>
      <c r="U141" s="703"/>
      <c r="V141" s="18"/>
      <c r="AE141" s="703"/>
      <c r="AF141" s="703"/>
      <c r="AG141" s="703"/>
      <c r="AH141" s="703"/>
      <c r="AI141" s="703"/>
      <c r="AJ141" s="703"/>
      <c r="AK141" s="1376">
        <v>10</v>
      </c>
      <c r="AL141" s="1378"/>
      <c r="AM141" s="1377">
        <f t="shared" si="73"/>
        <v>9.863875674459581E-2</v>
      </c>
      <c r="AN141" s="1377">
        <f t="shared" si="73"/>
        <v>9.3671810766350561E-2</v>
      </c>
      <c r="AO141" s="1377">
        <f t="shared" si="73"/>
        <v>8.8980396271766349E-2</v>
      </c>
      <c r="AP141" s="1377">
        <f t="shared" si="73"/>
        <v>8.4553720356756415E-2</v>
      </c>
      <c r="AQ141" s="1377">
        <f t="shared" si="73"/>
        <v>8.0380369440780974E-2</v>
      </c>
      <c r="AR141" s="1377">
        <f t="shared" si="73"/>
        <v>7.6448567384169053E-2</v>
      </c>
      <c r="AS141" s="1377" t="str">
        <f t="shared" si="73"/>
        <v>-</v>
      </c>
    </row>
    <row r="142" spans="2:59">
      <c r="B142" s="21"/>
      <c r="C142" s="22" t="s">
        <v>297</v>
      </c>
      <c r="D142" s="270"/>
      <c r="E142" s="271">
        <v>0.53717564615384616</v>
      </c>
      <c r="F142" s="272">
        <f t="shared" ref="F142:G145" si="75">E142</f>
        <v>0.53717564615384616</v>
      </c>
      <c r="G142" s="886">
        <v>0.6</v>
      </c>
      <c r="H142" s="272">
        <f t="shared" ref="H142:I147" si="76">EXP((6-$Q93)/H93)</f>
        <v>0.68178082889248581</v>
      </c>
      <c r="I142" s="271">
        <f t="shared" si="76"/>
        <v>0.68178082889248581</v>
      </c>
      <c r="J142" s="886">
        <v>0.6</v>
      </c>
      <c r="K142" s="273"/>
      <c r="L142" s="231"/>
      <c r="M142" s="270"/>
      <c r="N142" s="271" t="str">
        <f t="shared" ref="N142:O153" si="77">"#N/B"</f>
        <v>#N/B</v>
      </c>
      <c r="O142" s="272" t="str">
        <f t="shared" si="77"/>
        <v>#N/B</v>
      </c>
      <c r="P142" s="272"/>
      <c r="Q142" s="272">
        <f t="shared" ref="Q142:R145" si="78">EXP((10-Q93)/H93)</f>
        <v>0.35872303168018571</v>
      </c>
      <c r="R142" s="272">
        <f t="shared" si="78"/>
        <v>0.35872303168018571</v>
      </c>
      <c r="S142" s="886">
        <v>0.3</v>
      </c>
      <c r="T142" s="273"/>
      <c r="U142" s="149"/>
      <c r="V142" s="18"/>
      <c r="X142" s="18"/>
      <c r="Y142" s="18"/>
      <c r="Z142" s="18"/>
      <c r="AA142" s="18"/>
      <c r="AB142" s="18"/>
      <c r="AC142" s="18"/>
      <c r="AM142" s="1375"/>
      <c r="AN142" s="1375"/>
      <c r="AO142" s="1375"/>
      <c r="AP142" s="1375"/>
      <c r="AQ142" s="1375"/>
      <c r="AR142" s="1375"/>
      <c r="AS142" s="1375"/>
    </row>
    <row r="143" spans="2:59">
      <c r="B143" s="21"/>
      <c r="C143" s="22" t="s">
        <v>298</v>
      </c>
      <c r="D143" s="274"/>
      <c r="E143" s="266">
        <v>0.53717564615384616</v>
      </c>
      <c r="F143" s="275">
        <f t="shared" si="75"/>
        <v>0.53717564615384616</v>
      </c>
      <c r="G143" s="887">
        <v>0.6</v>
      </c>
      <c r="H143" s="275">
        <f t="shared" si="76"/>
        <v>0.68178082889248581</v>
      </c>
      <c r="I143" s="266">
        <f t="shared" si="76"/>
        <v>0.68178082889248581</v>
      </c>
      <c r="J143" s="887">
        <v>0.6</v>
      </c>
      <c r="K143" s="276"/>
      <c r="L143" s="231"/>
      <c r="M143" s="274"/>
      <c r="N143" s="266" t="str">
        <f t="shared" si="77"/>
        <v>#N/B</v>
      </c>
      <c r="O143" s="275" t="str">
        <f t="shared" si="77"/>
        <v>#N/B</v>
      </c>
      <c r="P143" s="275"/>
      <c r="Q143" s="275">
        <f t="shared" si="78"/>
        <v>0.35872303168018571</v>
      </c>
      <c r="R143" s="275">
        <f t="shared" si="78"/>
        <v>0.35872303168018571</v>
      </c>
      <c r="S143" s="887">
        <v>0.3</v>
      </c>
      <c r="T143" s="276"/>
      <c r="U143" s="150"/>
      <c r="V143" s="18"/>
      <c r="X143" s="18"/>
      <c r="Y143" s="18"/>
      <c r="Z143" s="18"/>
      <c r="AA143" s="18"/>
      <c r="AB143" s="18"/>
      <c r="AC143" s="18"/>
      <c r="AK143" s="1376">
        <v>4</v>
      </c>
      <c r="AL143" s="1378"/>
      <c r="AM143" s="1377">
        <f>AM127/AVERAGE($AK127,AM$125)</f>
        <v>1.0040082123433196</v>
      </c>
      <c r="AN143" s="1377">
        <f t="shared" ref="AN143:AS143" si="79">AN127/AVERAGE($AK127,AN$125)</f>
        <v>0.90416434710455584</v>
      </c>
      <c r="AO143" s="1377">
        <f t="shared" si="79"/>
        <v>0.82334707333423685</v>
      </c>
      <c r="AP143" s="1377">
        <f t="shared" si="79"/>
        <v>0.7564339873572653</v>
      </c>
      <c r="AQ143" s="1377">
        <f t="shared" si="79"/>
        <v>0.70000717028511783</v>
      </c>
      <c r="AR143" s="1377">
        <f t="shared" si="79"/>
        <v>0.6516973961883884</v>
      </c>
      <c r="AS143" s="1377">
        <f t="shared" si="79"/>
        <v>0.60980948835110349</v>
      </c>
    </row>
    <row r="144" spans="2:59" s="18" customFormat="1">
      <c r="B144" s="21"/>
      <c r="C144" s="22" t="s">
        <v>303</v>
      </c>
      <c r="D144" s="274"/>
      <c r="E144" s="266">
        <v>0.8600000000000001</v>
      </c>
      <c r="F144" s="275">
        <f t="shared" si="75"/>
        <v>0.8600000000000001</v>
      </c>
      <c r="G144" s="275">
        <f t="shared" si="75"/>
        <v>0.8600000000000001</v>
      </c>
      <c r="H144" s="275">
        <f t="shared" si="76"/>
        <v>0.81058682389513648</v>
      </c>
      <c r="I144" s="266">
        <f t="shared" si="76"/>
        <v>0.81058682389513648</v>
      </c>
      <c r="J144" s="874">
        <f>I144</f>
        <v>0.81058682389513648</v>
      </c>
      <c r="K144" s="276"/>
      <c r="L144" s="231"/>
      <c r="M144" s="274"/>
      <c r="N144" s="266" t="str">
        <f t="shared" si="77"/>
        <v>#N/B</v>
      </c>
      <c r="O144" s="275" t="str">
        <f t="shared" si="77"/>
        <v>#N/B</v>
      </c>
      <c r="P144" s="275"/>
      <c r="Q144" s="275">
        <f t="shared" si="78"/>
        <v>0.53044443242045092</v>
      </c>
      <c r="R144" s="275">
        <f t="shared" si="78"/>
        <v>0.53044443242045092</v>
      </c>
      <c r="S144" s="275">
        <f>EXP((10-S95)/J95)</f>
        <v>0.53044443242045092</v>
      </c>
      <c r="T144" s="276"/>
      <c r="U144" s="151"/>
      <c r="AD144" s="2"/>
      <c r="AE144" s="2"/>
      <c r="AF144" s="2"/>
      <c r="AG144" s="2"/>
      <c r="AH144" s="2"/>
      <c r="AI144" s="2"/>
      <c r="AJ144" s="2"/>
      <c r="AK144" s="1376">
        <v>5</v>
      </c>
      <c r="AL144" s="1378"/>
      <c r="AM144" s="1377">
        <f t="shared" ref="AM144:AS144" si="80">AM128/AVERAGE($AK128,AM$125)</f>
        <v>1.0980430923308324</v>
      </c>
      <c r="AN144" s="1377">
        <f t="shared" si="80"/>
        <v>1.0012085020895376</v>
      </c>
      <c r="AO144" s="1377">
        <f t="shared" si="80"/>
        <v>0.92092635640519516</v>
      </c>
      <c r="AP144" s="1377">
        <f t="shared" si="80"/>
        <v>0.85313373329355857</v>
      </c>
      <c r="AQ144" s="1377">
        <f t="shared" si="80"/>
        <v>0.79501445262969495</v>
      </c>
      <c r="AR144" s="1377">
        <f t="shared" si="80"/>
        <v>0.74455355898847486</v>
      </c>
      <c r="AS144" s="1377">
        <f t="shared" si="80"/>
        <v>0.70027011979997467</v>
      </c>
      <c r="AT144" s="2"/>
      <c r="AU144" s="2"/>
      <c r="AV144" s="2"/>
      <c r="AW144" s="2"/>
      <c r="AX144" s="2"/>
      <c r="AY144" s="2"/>
      <c r="AZ144" s="2"/>
      <c r="BA144" s="2"/>
      <c r="BB144" s="2"/>
      <c r="BC144" s="2"/>
      <c r="BD144" s="2"/>
      <c r="BE144" s="2"/>
      <c r="BF144" s="2"/>
      <c r="BG144" s="2"/>
    </row>
    <row r="145" spans="1:59">
      <c r="B145" s="21"/>
      <c r="C145" s="22" t="s">
        <v>299</v>
      </c>
      <c r="D145" s="274"/>
      <c r="E145" s="266">
        <v>1.001611111111111</v>
      </c>
      <c r="F145" s="275">
        <f t="shared" si="75"/>
        <v>1.001611111111111</v>
      </c>
      <c r="G145" s="275">
        <f t="shared" si="75"/>
        <v>1.001611111111111</v>
      </c>
      <c r="H145" s="275">
        <f t="shared" si="76"/>
        <v>0.92765950610867498</v>
      </c>
      <c r="I145" s="266">
        <f t="shared" si="76"/>
        <v>0.92765950610867498</v>
      </c>
      <c r="J145" s="874">
        <f t="shared" ref="J145:J152" si="81">I145</f>
        <v>0.92765950610867498</v>
      </c>
      <c r="K145" s="276"/>
      <c r="L145" s="231"/>
      <c r="M145" s="274"/>
      <c r="N145" s="266" t="str">
        <f t="shared" si="77"/>
        <v>#N/B</v>
      </c>
      <c r="O145" s="275" t="str">
        <f t="shared" si="77"/>
        <v>#N/B</v>
      </c>
      <c r="P145" s="275"/>
      <c r="Q145" s="275">
        <f t="shared" si="78"/>
        <v>0.50733140670476951</v>
      </c>
      <c r="R145" s="275">
        <f t="shared" si="78"/>
        <v>0.50733140670476951</v>
      </c>
      <c r="S145" s="275">
        <f>EXP((10-S96)/J96)</f>
        <v>0.50733140670476951</v>
      </c>
      <c r="T145" s="276"/>
      <c r="U145" s="151"/>
      <c r="V145" s="18"/>
      <c r="X145" s="18"/>
      <c r="Y145" s="18"/>
      <c r="Z145" s="18"/>
      <c r="AA145" s="18"/>
      <c r="AB145" s="18"/>
      <c r="AC145" s="18"/>
      <c r="AK145" s="1376">
        <v>6</v>
      </c>
      <c r="AL145" s="1378"/>
      <c r="AM145" s="1377">
        <f t="shared" ref="AM145:AS145" si="82">AM129/AVERAGE($AK129,AM$125)</f>
        <v>1.1706459099276032</v>
      </c>
      <c r="AN145" s="1377">
        <f t="shared" si="82"/>
        <v>1.0781905032395096</v>
      </c>
      <c r="AO145" s="1377">
        <f t="shared" si="82"/>
        <v>1</v>
      </c>
      <c r="AP145" s="1377">
        <f t="shared" si="82"/>
        <v>0.93286471549138539</v>
      </c>
      <c r="AQ145" s="1377">
        <f t="shared" si="82"/>
        <v>0.87448829110991511</v>
      </c>
      <c r="AR145" s="1377">
        <f t="shared" si="82"/>
        <v>0.82318297348314695</v>
      </c>
      <c r="AS145" s="1377">
        <f t="shared" si="82"/>
        <v>0.7776792843578002</v>
      </c>
    </row>
    <row r="146" spans="1:59" s="324" customFormat="1">
      <c r="A146" s="18"/>
      <c r="B146" s="21"/>
      <c r="C146" s="22" t="s">
        <v>422</v>
      </c>
      <c r="D146" s="274"/>
      <c r="E146" s="285" t="str">
        <f>"#N/B"</f>
        <v>#N/B</v>
      </c>
      <c r="F146" s="285" t="str">
        <f>"#N/B"</f>
        <v>#N/B</v>
      </c>
      <c r="G146" s="285" t="str">
        <f>"#N/B"</f>
        <v>#N/B</v>
      </c>
      <c r="H146" s="285">
        <f t="shared" si="76"/>
        <v>0.84980457408047894</v>
      </c>
      <c r="I146" s="285">
        <f t="shared" si="76"/>
        <v>0.84980457408047894</v>
      </c>
      <c r="J146" s="874">
        <f t="shared" si="81"/>
        <v>0.84980457408047894</v>
      </c>
      <c r="K146" s="276"/>
      <c r="L146" s="231"/>
      <c r="M146" s="274"/>
      <c r="N146" s="285" t="str">
        <f t="shared" si="77"/>
        <v>#N/B</v>
      </c>
      <c r="O146" s="285" t="str">
        <f t="shared" si="77"/>
        <v>#N/B</v>
      </c>
      <c r="P146" s="285"/>
      <c r="Q146" s="285">
        <f>Q147</f>
        <v>0.54051247777126277</v>
      </c>
      <c r="R146" s="285">
        <f>R147</f>
        <v>0.54051247777126277</v>
      </c>
      <c r="S146" s="285">
        <f>S147</f>
        <v>0.54051247777126277</v>
      </c>
      <c r="T146" s="276"/>
      <c r="U146" s="151"/>
      <c r="V146" s="18"/>
      <c r="W146" s="18"/>
      <c r="X146" s="18"/>
      <c r="Y146" s="18"/>
      <c r="Z146" s="18"/>
      <c r="AA146" s="18"/>
      <c r="AB146" s="18"/>
      <c r="AC146" s="18"/>
      <c r="AD146" s="2"/>
      <c r="AE146" s="2"/>
      <c r="AF146" s="2"/>
      <c r="AG146" s="2"/>
      <c r="AH146" s="2"/>
      <c r="AI146" s="2"/>
      <c r="AJ146" s="2"/>
      <c r="AK146" s="1376">
        <v>7</v>
      </c>
      <c r="AL146" s="1378"/>
      <c r="AM146" s="1377">
        <f t="shared" ref="AM146:AS146" si="83">AM130/AVERAGE($AK130,AM$125)</f>
        <v>1.2280896010440194</v>
      </c>
      <c r="AN146" s="1377">
        <f t="shared" si="83"/>
        <v>1.140523211609054</v>
      </c>
      <c r="AO146" s="1377">
        <f t="shared" si="83"/>
        <v>1.0652096220035014</v>
      </c>
      <c r="AP146" s="1377">
        <f t="shared" si="83"/>
        <v>0.99961133091522669</v>
      </c>
      <c r="AQ146" s="1377">
        <f t="shared" si="83"/>
        <v>0.94186349026434391</v>
      </c>
      <c r="AR146" s="1377">
        <f t="shared" si="83"/>
        <v>0.89056339939907159</v>
      </c>
      <c r="AS146" s="1377">
        <f t="shared" si="83"/>
        <v>0.84463442626662255</v>
      </c>
      <c r="AT146" s="2"/>
      <c r="AU146" s="2"/>
      <c r="AV146" s="2"/>
      <c r="AW146" s="2"/>
      <c r="AX146" s="2"/>
      <c r="AY146" s="2"/>
      <c r="AZ146" s="2"/>
      <c r="BA146" s="2"/>
      <c r="BB146" s="2"/>
      <c r="BC146" s="2"/>
      <c r="BD146" s="2"/>
      <c r="BE146" s="2"/>
      <c r="BF146" s="2"/>
      <c r="BG146" s="2"/>
    </row>
    <row r="147" spans="1:59">
      <c r="B147" s="21"/>
      <c r="C147" s="22" t="s">
        <v>305</v>
      </c>
      <c r="D147" s="274"/>
      <c r="E147" s="266">
        <v>0.91799999999999993</v>
      </c>
      <c r="F147" s="275">
        <f>E147</f>
        <v>0.91799999999999993</v>
      </c>
      <c r="G147" s="275">
        <f>F147</f>
        <v>0.91799999999999993</v>
      </c>
      <c r="H147" s="275">
        <f t="shared" si="76"/>
        <v>0.84980457408047894</v>
      </c>
      <c r="I147" s="266">
        <f t="shared" si="76"/>
        <v>0.84980457408047894</v>
      </c>
      <c r="J147" s="874">
        <f t="shared" si="81"/>
        <v>0.84980457408047894</v>
      </c>
      <c r="K147" s="276"/>
      <c r="L147" s="231"/>
      <c r="M147" s="274"/>
      <c r="N147" s="266" t="str">
        <f t="shared" si="77"/>
        <v>#N/B</v>
      </c>
      <c r="O147" s="275" t="str">
        <f t="shared" si="77"/>
        <v>#N/B</v>
      </c>
      <c r="P147" s="275"/>
      <c r="Q147" s="275">
        <f>EXP((10-Q98)/H98)</f>
        <v>0.54051247777126277</v>
      </c>
      <c r="R147" s="275">
        <f>EXP((10-R98)/I98)</f>
        <v>0.54051247777126277</v>
      </c>
      <c r="S147" s="275">
        <f>EXP((10-S98)/J98)</f>
        <v>0.54051247777126277</v>
      </c>
      <c r="T147" s="276"/>
      <c r="U147" s="151"/>
      <c r="V147" s="18"/>
      <c r="X147" s="18"/>
      <c r="Y147" s="18"/>
      <c r="Z147" s="18"/>
      <c r="AA147" s="18"/>
      <c r="AB147" s="18"/>
      <c r="AC147" s="18"/>
      <c r="AK147" s="1376">
        <v>8</v>
      </c>
      <c r="AL147" s="1378"/>
      <c r="AM147" s="1377">
        <f t="shared" ref="AM147:AS147" si="84">AM131/AVERAGE($AK131,AM$125)</f>
        <v>1.2744392757470404</v>
      </c>
      <c r="AN147" s="1377">
        <f t="shared" si="84"/>
        <v>1.1918447180347027</v>
      </c>
      <c r="AO147" s="1377">
        <f t="shared" si="84"/>
        <v>1.1197679976208499</v>
      </c>
      <c r="AP147" s="1377">
        <f t="shared" si="84"/>
        <v>1.056198632900454</v>
      </c>
      <c r="AQ147" s="1377">
        <f t="shared" si="84"/>
        <v>0.99962450273484171</v>
      </c>
      <c r="AR147" s="1377">
        <f t="shared" si="84"/>
        <v>0.94888494841905957</v>
      </c>
      <c r="AS147" s="1377">
        <f t="shared" si="84"/>
        <v>0.90307298151938475</v>
      </c>
    </row>
    <row r="148" spans="1:59">
      <c r="B148" s="21"/>
      <c r="C148" s="22" t="s">
        <v>302</v>
      </c>
      <c r="D148" s="274"/>
      <c r="E148" s="285" t="str">
        <f t="shared" ref="E148:J149" si="85">"#N/B"</f>
        <v>#N/B</v>
      </c>
      <c r="F148" s="285" t="str">
        <f t="shared" si="85"/>
        <v>#N/B</v>
      </c>
      <c r="G148" s="285" t="str">
        <f t="shared" si="85"/>
        <v>#N/B</v>
      </c>
      <c r="H148" s="285" t="str">
        <f t="shared" si="85"/>
        <v>#N/B</v>
      </c>
      <c r="I148" s="285" t="str">
        <f t="shared" si="85"/>
        <v>#N/B</v>
      </c>
      <c r="J148" s="285" t="str">
        <f t="shared" si="85"/>
        <v>#N/B</v>
      </c>
      <c r="K148" s="276"/>
      <c r="L148" s="231"/>
      <c r="M148" s="274"/>
      <c r="N148" s="285" t="str">
        <f t="shared" si="77"/>
        <v>#N/B</v>
      </c>
      <c r="O148" s="285" t="str">
        <f t="shared" si="77"/>
        <v>#N/B</v>
      </c>
      <c r="P148" s="285"/>
      <c r="Q148" s="285" t="str">
        <f t="shared" ref="Q148:S149" si="86">"#N/B"</f>
        <v>#N/B</v>
      </c>
      <c r="R148" s="285" t="str">
        <f t="shared" si="86"/>
        <v>#N/B</v>
      </c>
      <c r="S148" s="285" t="str">
        <f t="shared" si="86"/>
        <v>#N/B</v>
      </c>
      <c r="T148" s="276"/>
      <c r="U148" s="151"/>
      <c r="V148" s="18"/>
      <c r="X148" s="18"/>
      <c r="Y148" s="18"/>
      <c r="Z148" s="18"/>
      <c r="AA148" s="18"/>
      <c r="AB148" s="18"/>
      <c r="AC148" s="18"/>
      <c r="AK148" s="1376">
        <v>9</v>
      </c>
      <c r="AL148" s="1378"/>
      <c r="AM148" s="1377">
        <f t="shared" ref="AM148:AS148" si="87">AM132/AVERAGE($AK132,AM$125)</f>
        <v>1.3124431476662213</v>
      </c>
      <c r="AN148" s="1377">
        <f t="shared" si="87"/>
        <v>1.2346914809854799</v>
      </c>
      <c r="AO148" s="1377">
        <f t="shared" si="87"/>
        <v>1.1659724447824558</v>
      </c>
      <c r="AP148" s="1377">
        <f t="shared" si="87"/>
        <v>1.1046897803629805</v>
      </c>
      <c r="AQ148" s="1377">
        <f t="shared" si="87"/>
        <v>1.0496183463284439</v>
      </c>
      <c r="AR148" s="1377">
        <f t="shared" si="87"/>
        <v>0.99980069176607977</v>
      </c>
      <c r="AS148" s="1377">
        <f t="shared" si="87"/>
        <v>0.95447643835719465</v>
      </c>
    </row>
    <row r="149" spans="1:59">
      <c r="B149" s="21"/>
      <c r="C149" s="22" t="s">
        <v>423</v>
      </c>
      <c r="D149" s="274"/>
      <c r="E149" s="285" t="str">
        <f t="shared" si="85"/>
        <v>#N/B</v>
      </c>
      <c r="F149" s="285" t="str">
        <f t="shared" si="85"/>
        <v>#N/B</v>
      </c>
      <c r="G149" s="285" t="str">
        <f t="shared" si="85"/>
        <v>#N/B</v>
      </c>
      <c r="H149" s="285" t="str">
        <f t="shared" si="85"/>
        <v>#N/B</v>
      </c>
      <c r="I149" s="285" t="str">
        <f t="shared" si="85"/>
        <v>#N/B</v>
      </c>
      <c r="J149" s="285" t="str">
        <f t="shared" si="85"/>
        <v>#N/B</v>
      </c>
      <c r="K149" s="276"/>
      <c r="L149" s="231"/>
      <c r="M149" s="274"/>
      <c r="N149" s="285" t="str">
        <f t="shared" si="77"/>
        <v>#N/B</v>
      </c>
      <c r="O149" s="285" t="str">
        <f t="shared" si="77"/>
        <v>#N/B</v>
      </c>
      <c r="P149" s="285"/>
      <c r="Q149" s="285" t="str">
        <f t="shared" si="86"/>
        <v>#N/B</v>
      </c>
      <c r="R149" s="285" t="str">
        <f t="shared" si="86"/>
        <v>#N/B</v>
      </c>
      <c r="S149" s="285" t="str">
        <f t="shared" si="86"/>
        <v>#N/B</v>
      </c>
      <c r="T149" s="276"/>
      <c r="U149" s="151"/>
      <c r="V149" s="18"/>
      <c r="X149" s="18"/>
      <c r="Y149" s="18"/>
      <c r="Z149" s="18"/>
      <c r="AA149" s="18"/>
      <c r="AB149" s="18"/>
      <c r="AC149" s="18"/>
      <c r="AD149" s="703"/>
      <c r="AE149" s="703"/>
      <c r="AF149" s="703"/>
      <c r="AG149" s="703"/>
      <c r="AH149" s="703"/>
      <c r="AI149" s="703"/>
      <c r="AJ149" s="703"/>
      <c r="AK149" s="1376">
        <v>10</v>
      </c>
      <c r="AL149" s="1378"/>
      <c r="AM149" s="1377">
        <f t="shared" ref="AM149:AS149" si="88">AM133/AVERAGE($AK133,AM$125)</f>
        <v>1.3440239227903465</v>
      </c>
      <c r="AN149" s="1377">
        <f t="shared" si="88"/>
        <v>1.2708854594890997</v>
      </c>
      <c r="AO149" s="1377">
        <f t="shared" si="88"/>
        <v>1.2055098018641168</v>
      </c>
      <c r="AP149" s="1377">
        <f t="shared" si="88"/>
        <v>1.1466280986976154</v>
      </c>
      <c r="AQ149" s="1377">
        <f t="shared" si="88"/>
        <v>1.0932488067909376</v>
      </c>
      <c r="AR149" s="1377">
        <f t="shared" si="88"/>
        <v>1.0445843613279822</v>
      </c>
      <c r="AS149" s="1377">
        <f t="shared" si="88"/>
        <v>1</v>
      </c>
    </row>
    <row r="150" spans="1:59">
      <c r="B150" s="21"/>
      <c r="C150" s="22" t="s">
        <v>307</v>
      </c>
      <c r="D150" s="274"/>
      <c r="E150" s="266">
        <v>1.4459770114942527</v>
      </c>
      <c r="F150" s="275">
        <f t="shared" ref="F150:G152" si="89">E150</f>
        <v>1.4459770114942527</v>
      </c>
      <c r="G150" s="275">
        <f t="shared" si="89"/>
        <v>1.4459770114942527</v>
      </c>
      <c r="H150" s="275">
        <f t="shared" ref="H150:I152" si="90">EXP((6-$Q101)/H101)</f>
        <v>0.88542874667188842</v>
      </c>
      <c r="I150" s="266">
        <f t="shared" si="90"/>
        <v>0.88542874667188842</v>
      </c>
      <c r="J150" s="874">
        <f t="shared" si="81"/>
        <v>0.88542874667188842</v>
      </c>
      <c r="K150" s="276"/>
      <c r="L150" s="231"/>
      <c r="M150" s="274"/>
      <c r="N150" s="266" t="str">
        <f t="shared" si="77"/>
        <v>#N/B</v>
      </c>
      <c r="O150" s="275" t="str">
        <f t="shared" si="77"/>
        <v>#N/B</v>
      </c>
      <c r="P150" s="275"/>
      <c r="Q150" s="275">
        <f t="shared" ref="Q150:S152" si="91">EXP((10-Q101)/H101)</f>
        <v>0.53770972503174175</v>
      </c>
      <c r="R150" s="275">
        <f t="shared" si="91"/>
        <v>0.53770972503174175</v>
      </c>
      <c r="S150" s="275">
        <f t="shared" si="91"/>
        <v>0.53770972503174175</v>
      </c>
      <c r="T150" s="276"/>
      <c r="U150" s="151"/>
      <c r="V150" s="18"/>
      <c r="X150" s="18"/>
      <c r="Y150" s="18"/>
      <c r="Z150" s="18"/>
      <c r="AA150" s="18"/>
      <c r="AB150" s="18"/>
      <c r="AC150" s="18"/>
      <c r="AD150" s="703"/>
      <c r="AE150" s="703"/>
      <c r="AF150" s="703"/>
      <c r="AG150" s="703"/>
      <c r="AH150" s="703"/>
      <c r="AI150" s="703"/>
      <c r="AJ150" s="703"/>
      <c r="AK150" s="703"/>
      <c r="AL150" s="703"/>
      <c r="AM150" s="703" t="s">
        <v>1706</v>
      </c>
      <c r="AN150" s="703"/>
      <c r="AO150" s="703"/>
    </row>
    <row r="151" spans="1:59">
      <c r="B151" s="21"/>
      <c r="C151" s="22" t="s">
        <v>306</v>
      </c>
      <c r="D151" s="274"/>
      <c r="E151" s="266">
        <v>1.02</v>
      </c>
      <c r="F151" s="275">
        <f t="shared" si="89"/>
        <v>1.02</v>
      </c>
      <c r="G151" s="275">
        <f t="shared" si="89"/>
        <v>1.02</v>
      </c>
      <c r="H151" s="275">
        <f t="shared" si="90"/>
        <v>1.1099038021523646</v>
      </c>
      <c r="I151" s="266">
        <f t="shared" si="90"/>
        <v>1.1099038021523646</v>
      </c>
      <c r="J151" s="874">
        <f t="shared" si="81"/>
        <v>1.1099038021523646</v>
      </c>
      <c r="K151" s="276"/>
      <c r="L151" s="231"/>
      <c r="M151" s="274"/>
      <c r="N151" s="266" t="str">
        <f t="shared" si="77"/>
        <v>#N/B</v>
      </c>
      <c r="O151" s="275" t="str">
        <f t="shared" si="77"/>
        <v>#N/B</v>
      </c>
      <c r="P151" s="275"/>
      <c r="Q151" s="275">
        <f t="shared" si="91"/>
        <v>0.53125635775881819</v>
      </c>
      <c r="R151" s="275">
        <f t="shared" si="91"/>
        <v>0.53125635775881819</v>
      </c>
      <c r="S151" s="275">
        <f t="shared" si="91"/>
        <v>0.53125635775881819</v>
      </c>
      <c r="T151" s="276"/>
      <c r="U151" s="151"/>
      <c r="V151" s="18"/>
      <c r="X151" s="18"/>
      <c r="Y151" s="18"/>
      <c r="Z151" s="18"/>
      <c r="AA151" s="18"/>
      <c r="AB151" s="18"/>
      <c r="AC151" s="18"/>
      <c r="AD151" s="703"/>
      <c r="AE151" s="703"/>
      <c r="AF151" s="703"/>
      <c r="AG151" s="703"/>
      <c r="AH151" s="703"/>
      <c r="AI151" s="703"/>
      <c r="AJ151" s="703"/>
      <c r="AK151" s="703"/>
      <c r="AL151" s="703"/>
      <c r="AM151" s="703" t="s">
        <v>1707</v>
      </c>
      <c r="AN151" s="703"/>
      <c r="AO151" s="703"/>
    </row>
    <row r="152" spans="1:59">
      <c r="B152" s="21"/>
      <c r="C152" s="22" t="s">
        <v>424</v>
      </c>
      <c r="D152" s="274"/>
      <c r="E152" s="266">
        <v>0.80038636363636351</v>
      </c>
      <c r="F152" s="275">
        <f t="shared" si="89"/>
        <v>0.80038636363636351</v>
      </c>
      <c r="G152" s="275">
        <f t="shared" si="89"/>
        <v>0.80038636363636351</v>
      </c>
      <c r="H152" s="275">
        <f t="shared" si="90"/>
        <v>0.78064099940579679</v>
      </c>
      <c r="I152" s="266">
        <f t="shared" si="90"/>
        <v>0.78064099940579679</v>
      </c>
      <c r="J152" s="874">
        <f t="shared" si="81"/>
        <v>0.78064099940579679</v>
      </c>
      <c r="K152" s="276"/>
      <c r="L152" s="231"/>
      <c r="M152" s="274"/>
      <c r="N152" s="266" t="str">
        <f t="shared" si="77"/>
        <v>#N/B</v>
      </c>
      <c r="O152" s="275" t="str">
        <f t="shared" si="77"/>
        <v>#N/B</v>
      </c>
      <c r="P152" s="275"/>
      <c r="Q152" s="275">
        <f t="shared" si="91"/>
        <v>0.47986142842407709</v>
      </c>
      <c r="R152" s="275">
        <f t="shared" si="91"/>
        <v>0.47986142842407709</v>
      </c>
      <c r="S152" s="275">
        <f t="shared" si="91"/>
        <v>0.47986142842407709</v>
      </c>
      <c r="T152" s="276"/>
      <c r="U152" s="151"/>
      <c r="V152" s="18"/>
      <c r="X152" s="18"/>
      <c r="Y152" s="18"/>
      <c r="Z152" s="18"/>
      <c r="AA152" s="18"/>
      <c r="AB152" s="18"/>
      <c r="AC152" s="18"/>
      <c r="AD152" s="703"/>
      <c r="AE152" s="703"/>
      <c r="AF152" s="703"/>
      <c r="AG152" s="703"/>
      <c r="AH152" s="703"/>
      <c r="AI152" s="703"/>
      <c r="AJ152" s="703"/>
      <c r="AK152" s="703"/>
      <c r="AL152" s="703"/>
      <c r="AM152" s="703"/>
      <c r="AN152" s="703"/>
      <c r="AO152" s="703"/>
    </row>
    <row r="153" spans="1:59">
      <c r="B153" s="21"/>
      <c r="C153" s="22" t="s">
        <v>425</v>
      </c>
      <c r="D153" s="277"/>
      <c r="E153" s="286" t="str">
        <f>"#N/B"</f>
        <v>#N/B</v>
      </c>
      <c r="F153" s="286" t="str">
        <f>"#N/B"</f>
        <v>#N/B</v>
      </c>
      <c r="G153" s="286" t="str">
        <f>"#N/B"</f>
        <v>#N/B</v>
      </c>
      <c r="H153" s="286" t="str">
        <f t="shared" ref="H153:J153" si="92">"#N/B"</f>
        <v>#N/B</v>
      </c>
      <c r="I153" s="286" t="str">
        <f t="shared" si="92"/>
        <v>#N/B</v>
      </c>
      <c r="J153" s="286" t="str">
        <f t="shared" si="92"/>
        <v>#N/B</v>
      </c>
      <c r="K153" s="279"/>
      <c r="L153" s="231"/>
      <c r="M153" s="277"/>
      <c r="N153" s="286" t="str">
        <f t="shared" si="77"/>
        <v>#N/B</v>
      </c>
      <c r="O153" s="286" t="str">
        <f t="shared" si="77"/>
        <v>#N/B</v>
      </c>
      <c r="P153" s="286"/>
      <c r="Q153" s="286" t="str">
        <f>"#N/B"</f>
        <v>#N/B</v>
      </c>
      <c r="R153" s="286" t="str">
        <f>"#N/B"</f>
        <v>#N/B</v>
      </c>
      <c r="S153" s="286" t="str">
        <f>"#N/B"</f>
        <v>#N/B</v>
      </c>
      <c r="T153" s="279"/>
      <c r="U153" s="151"/>
      <c r="V153" s="18"/>
      <c r="X153" s="18"/>
      <c r="Y153" s="18"/>
      <c r="Z153" s="18"/>
      <c r="AA153" s="18"/>
      <c r="AB153" s="18"/>
      <c r="AC153" s="18"/>
      <c r="AD153" s="703"/>
      <c r="AE153" s="703"/>
      <c r="AF153" s="703"/>
      <c r="AG153" s="703"/>
      <c r="AH153" s="703"/>
      <c r="AI153" s="703"/>
      <c r="AJ153" s="703"/>
      <c r="AK153" s="703"/>
      <c r="AL153" s="703"/>
      <c r="AM153" s="703"/>
      <c r="AN153" s="703"/>
      <c r="AO153" s="703"/>
    </row>
    <row r="154" spans="1:59">
      <c r="B154" s="21"/>
      <c r="C154" s="225"/>
      <c r="D154" s="282"/>
      <c r="E154" s="283"/>
      <c r="F154" s="283"/>
      <c r="G154" s="283"/>
      <c r="H154" s="283"/>
      <c r="I154" s="283"/>
      <c r="J154" s="283"/>
      <c r="K154" s="284"/>
      <c r="L154" s="231"/>
      <c r="M154" s="282"/>
      <c r="N154" s="283"/>
      <c r="O154" s="283"/>
      <c r="P154" s="283"/>
      <c r="Q154" s="283"/>
      <c r="R154" s="283"/>
      <c r="S154" s="283"/>
      <c r="T154" s="284"/>
      <c r="U154" s="226"/>
      <c r="V154" s="282"/>
      <c r="W154" s="283"/>
      <c r="X154" s="283"/>
      <c r="Y154" s="283"/>
      <c r="Z154" s="283"/>
      <c r="AA154" s="283"/>
      <c r="AB154" s="283"/>
      <c r="AC154" s="284"/>
      <c r="AD154" s="18"/>
      <c r="AE154" s="18"/>
      <c r="AF154" s="18"/>
      <c r="AG154" s="18"/>
      <c r="AH154" s="18"/>
      <c r="AI154" s="18"/>
      <c r="AJ154" s="18"/>
      <c r="AK154" s="18"/>
      <c r="AL154" s="18"/>
      <c r="AM154" s="18"/>
      <c r="AN154" s="18"/>
      <c r="AO154" s="18"/>
    </row>
    <row r="155" spans="1:59">
      <c r="B155" s="21"/>
      <c r="C155" s="57" t="s">
        <v>448</v>
      </c>
      <c r="D155" s="57"/>
      <c r="E155" s="57"/>
      <c r="F155" s="57"/>
      <c r="G155" s="57"/>
      <c r="H155" s="57"/>
      <c r="I155" s="57"/>
      <c r="J155" s="57"/>
      <c r="K155" s="57"/>
      <c r="L155" s="231"/>
      <c r="M155" s="57"/>
      <c r="N155" s="57" t="s">
        <v>449</v>
      </c>
      <c r="O155" s="57"/>
      <c r="P155" s="57"/>
      <c r="Q155" s="57"/>
      <c r="R155" s="57"/>
      <c r="S155" s="57"/>
      <c r="T155" s="57"/>
      <c r="U155" s="151"/>
      <c r="V155" s="57"/>
      <c r="W155" s="57" t="s">
        <v>411</v>
      </c>
      <c r="X155" s="57"/>
      <c r="Y155" s="57"/>
      <c r="Z155" s="57"/>
      <c r="AA155" s="57"/>
      <c r="AB155" s="57"/>
      <c r="AC155" s="57"/>
      <c r="AD155" s="703"/>
      <c r="AE155" s="223" t="s">
        <v>484</v>
      </c>
      <c r="AF155" s="489" t="s">
        <v>1684</v>
      </c>
      <c r="AG155" s="223" t="s">
        <v>1688</v>
      </c>
      <c r="AH155" s="224"/>
      <c r="AI155" s="224"/>
      <c r="AJ155" s="703"/>
      <c r="AK155" s="18"/>
      <c r="AL155" s="18"/>
      <c r="AM155" s="18"/>
      <c r="AN155" s="18"/>
      <c r="AO155" s="18"/>
    </row>
    <row r="156" spans="1:59" ht="32">
      <c r="A156" s="316"/>
      <c r="B156" s="317"/>
      <c r="C156" s="318" t="s">
        <v>414</v>
      </c>
      <c r="D156" s="319"/>
      <c r="E156" s="325" t="s">
        <v>450</v>
      </c>
      <c r="F156" s="325" t="s">
        <v>451</v>
      </c>
      <c r="G156" s="325" t="s">
        <v>1373</v>
      </c>
      <c r="H156" s="325" t="s">
        <v>452</v>
      </c>
      <c r="I156" s="325" t="s">
        <v>453</v>
      </c>
      <c r="J156" s="325" t="s">
        <v>1704</v>
      </c>
      <c r="K156" s="320"/>
      <c r="L156" s="321"/>
      <c r="M156" s="320"/>
      <c r="N156" s="325" t="s">
        <v>450</v>
      </c>
      <c r="O156" s="325" t="s">
        <v>451</v>
      </c>
      <c r="P156" s="325" t="s">
        <v>1373</v>
      </c>
      <c r="Q156" s="325" t="s">
        <v>452</v>
      </c>
      <c r="R156" s="325" t="s">
        <v>453</v>
      </c>
      <c r="S156" s="325" t="s">
        <v>1704</v>
      </c>
      <c r="T156" s="319"/>
      <c r="U156" s="322"/>
      <c r="V156" s="319"/>
      <c r="W156" s="323" t="s">
        <v>450</v>
      </c>
      <c r="X156" s="323" t="s">
        <v>451</v>
      </c>
      <c r="Y156" s="323" t="s">
        <v>1373</v>
      </c>
      <c r="Z156" s="323" t="s">
        <v>452</v>
      </c>
      <c r="AA156" s="323" t="s">
        <v>453</v>
      </c>
      <c r="AB156" s="323" t="s">
        <v>453</v>
      </c>
      <c r="AC156" s="319"/>
      <c r="AD156" s="708"/>
      <c r="AE156" s="326" t="s">
        <v>428</v>
      </c>
      <c r="AF156" s="489" t="s">
        <v>1683</v>
      </c>
      <c r="AG156" s="223" t="s">
        <v>1689</v>
      </c>
      <c r="AH156" s="224" t="s">
        <v>454</v>
      </c>
      <c r="AI156" s="224" t="s">
        <v>455</v>
      </c>
      <c r="AJ156" s="703"/>
      <c r="AK156" s="18"/>
      <c r="AL156" s="18"/>
      <c r="AM156" s="18"/>
      <c r="AN156" s="18"/>
      <c r="AO156" s="18"/>
    </row>
    <row r="157" spans="1:59">
      <c r="B157" s="21"/>
      <c r="C157" s="64" t="s">
        <v>204</v>
      </c>
      <c r="D157" s="269"/>
      <c r="E157" s="234" t="s">
        <v>440</v>
      </c>
      <c r="F157" s="234" t="s">
        <v>440</v>
      </c>
      <c r="G157" s="234" t="s">
        <v>440</v>
      </c>
      <c r="H157" s="234" t="s">
        <v>440</v>
      </c>
      <c r="I157" s="234" t="s">
        <v>440</v>
      </c>
      <c r="J157" s="234" t="s">
        <v>440</v>
      </c>
      <c r="K157" s="269"/>
      <c r="L157" s="230"/>
      <c r="M157" s="269"/>
      <c r="N157" s="234" t="s">
        <v>440</v>
      </c>
      <c r="O157" s="234" t="s">
        <v>440</v>
      </c>
      <c r="P157" s="234" t="s">
        <v>440</v>
      </c>
      <c r="Q157" s="234" t="s">
        <v>440</v>
      </c>
      <c r="R157" s="234" t="s">
        <v>440</v>
      </c>
      <c r="S157" s="234"/>
      <c r="T157" s="234"/>
      <c r="U157" s="703"/>
      <c r="V157" s="269"/>
      <c r="W157" s="234"/>
      <c r="X157" s="234"/>
      <c r="Y157" s="234"/>
      <c r="Z157" s="234"/>
      <c r="AA157" s="234"/>
      <c r="AB157" s="234"/>
      <c r="AC157" s="234"/>
      <c r="AD157" s="703"/>
      <c r="AE157" s="223"/>
      <c r="AF157" s="224" t="s">
        <v>415</v>
      </c>
      <c r="AG157" s="224"/>
      <c r="AH157" s="224">
        <v>6</v>
      </c>
      <c r="AI157" s="224">
        <v>10</v>
      </c>
      <c r="AJ157" s="703"/>
      <c r="AK157" s="705" t="s">
        <v>1685</v>
      </c>
      <c r="AL157" s="18"/>
      <c r="AM157" s="18"/>
      <c r="AN157" s="18"/>
      <c r="AO157" s="18"/>
    </row>
    <row r="158" spans="1:59">
      <c r="B158" s="21"/>
      <c r="C158" s="22" t="s">
        <v>297</v>
      </c>
      <c r="D158" s="270"/>
      <c r="E158" s="271">
        <v>2.9310244865608079</v>
      </c>
      <c r="F158" s="272">
        <f>IFERROR(SUM(F126,F142),"#N/B")</f>
        <v>2.8751981858798734</v>
      </c>
      <c r="G158" s="886">
        <v>0.6</v>
      </c>
      <c r="H158" s="272">
        <f t="shared" ref="F158:I169" si="93">IFERROR(SUM(H126,H142),"#N/B")</f>
        <v>2.2309003972359949</v>
      </c>
      <c r="I158" s="272">
        <f t="shared" si="93"/>
        <v>2.1714821124228192</v>
      </c>
      <c r="J158" s="886">
        <v>0.6</v>
      </c>
      <c r="K158" s="273"/>
      <c r="L158" s="231"/>
      <c r="M158" s="270"/>
      <c r="N158" s="271">
        <v>9.3104354527526384E-2</v>
      </c>
      <c r="O158" s="235">
        <v>0</v>
      </c>
      <c r="P158" s="886">
        <f t="shared" ref="P158:P169" si="94">N158</f>
        <v>9.3104354527526384E-2</v>
      </c>
      <c r="Q158" s="272">
        <f t="shared" ref="Q158:R169" si="95">SUM(Q126,Q142)</f>
        <v>-0.34896741831981437</v>
      </c>
      <c r="R158" s="272">
        <f t="shared" si="95"/>
        <v>-0.34896741831981437</v>
      </c>
      <c r="S158" s="886">
        <v>-0.1</v>
      </c>
      <c r="T158" s="273"/>
      <c r="U158" s="703"/>
      <c r="V158" s="57"/>
      <c r="W158" s="380" t="str">
        <f>_xlfn.CONCAT("=10*exp(",FIXED(LN(6/10)/(E158-N158),6),"*(DPG-index",TEXT(FIXED(N158,2),"-#.##0,0000;+#.##0,0000;-#.0"),")")</f>
        <v>=10*exp(-0,180000*(DPG-index-0,0900)</v>
      </c>
      <c r="X158" s="380" t="str">
        <f>_xlfn.CONCAT("=10*exp(",FIXED(LN(6/10)/(F158-O158),6),"*(DPG-index",TEXT(FIXED(O158,2),"-#.##0,0000;+#.##0,0000;-#.0"),")")</f>
        <v>=10*exp(-0,177666*(DPG-index-0)</v>
      </c>
      <c r="Y158" s="380" t="s">
        <v>1320</v>
      </c>
      <c r="Z158" s="380" t="str">
        <f>_xlfn.CONCAT("=10*exp(",FIXED(LN(6/10)/(H158-Q158),6),"*(DPG-index",TEXT(FIXED(Q158,6),"-#.##0,0000;+#.##0,0000;-#.0"),")")</f>
        <v>=10*exp(-0,198005*(DPG-index+0,3490)</v>
      </c>
      <c r="AA158" s="380" t="str">
        <f t="shared" ref="AA158:AA169" si="96">_xlfn.CONCAT("=10*exp(",FIXED(LN(6/10)/(I158-R158),6),"*(DPG-index",TEXT(FIXED(R158,6),"-#.##0,0000;+#.##0,0000;-#.0"),")")</f>
        <v>=10*exp(-0,202672*(DPG-index+0,3490)</v>
      </c>
      <c r="AB158" s="380" t="s">
        <v>1320</v>
      </c>
      <c r="AC158" s="57"/>
      <c r="AD158" s="703"/>
      <c r="AE158" s="223" t="str">
        <f t="shared" ref="AE158" si="97">C158</f>
        <v>woning</v>
      </c>
      <c r="AF158" s="311">
        <f t="shared" ref="AF158" si="98">LN(6/10) / (AH158-AI158)</f>
        <v>-0.18000000000000002</v>
      </c>
      <c r="AG158" s="311"/>
      <c r="AH158" s="310">
        <f t="shared" ref="AH158:AH169" si="99">INDEX(DPG_D_GPR_score_6,MATCH($AE158,Gebruiksfuncties,0),MATCH($AE$156,GPR_Versie_En_EP_Methode,0))</f>
        <v>2.9310244865608079</v>
      </c>
      <c r="AI158" s="310">
        <f t="shared" ref="AI158:AI169" si="100">INDEX(DPG_D_GPR_score_10,MATCH($AE158,Gebruiksfuncties,0),MATCH($AE$156,GPR_Versie_En_EP_Methode,0))</f>
        <v>9.3104354527526384E-2</v>
      </c>
      <c r="AJ158" s="703"/>
      <c r="AK158" s="705" t="str">
        <f>_xlfn.CONCAT(AE158,"  ",FIXED(AH158,2),"/",FIXED(AI158,2))</f>
        <v>woning  2.93/0.09</v>
      </c>
      <c r="AL158" s="18"/>
      <c r="AM158" s="18"/>
      <c r="AN158" s="18"/>
      <c r="AO158" s="18"/>
    </row>
    <row r="159" spans="1:59">
      <c r="B159" s="21"/>
      <c r="C159" s="22" t="s">
        <v>298</v>
      </c>
      <c r="D159" s="274"/>
      <c r="E159" s="266">
        <v>2.9310244865608079</v>
      </c>
      <c r="F159" s="275">
        <f t="shared" si="93"/>
        <v>2.8751981858798734</v>
      </c>
      <c r="G159" s="887">
        <v>0.6</v>
      </c>
      <c r="H159" s="275">
        <f t="shared" si="93"/>
        <v>2.2309003972359949</v>
      </c>
      <c r="I159" s="275">
        <f t="shared" si="93"/>
        <v>2.1714821124228192</v>
      </c>
      <c r="J159" s="887">
        <v>0.6</v>
      </c>
      <c r="K159" s="276"/>
      <c r="L159" s="231"/>
      <c r="M159" s="274"/>
      <c r="N159" s="266">
        <v>9.3104354527526384E-2</v>
      </c>
      <c r="O159" s="237">
        <v>0</v>
      </c>
      <c r="P159" s="887">
        <f t="shared" si="94"/>
        <v>9.3104354527526384E-2</v>
      </c>
      <c r="Q159" s="275">
        <f t="shared" si="95"/>
        <v>-0.34896741831981437</v>
      </c>
      <c r="R159" s="275">
        <f t="shared" si="95"/>
        <v>-0.34896741831981437</v>
      </c>
      <c r="S159" s="887">
        <v>-0.1</v>
      </c>
      <c r="T159" s="276"/>
      <c r="U159" s="703"/>
      <c r="V159" s="57"/>
      <c r="W159" s="380" t="str">
        <f t="shared" ref="W159:W169" si="101">_xlfn.CONCAT("=10*exp(",FIXED(LN(6/10)/(E159-N159),6),"*(DPG-index",TEXT(FIXED(N159,2),"-#.##0,0000;+#.##0,0000;-#.0"),")")</f>
        <v>=10*exp(-0,180000*(DPG-index-0,0900)</v>
      </c>
      <c r="X159" s="380" t="str">
        <f t="shared" ref="X159:X169" si="102">_xlfn.CONCAT("=10*exp(",FIXED(LN(6/10)/(F159-O159),6),"*(DPG-index",TEXT(FIXED(O159,2),"-#.##0,0000;+#.##0,0000;-#.0"),")")</f>
        <v>=10*exp(-0,177666*(DPG-index-0)</v>
      </c>
      <c r="Y159" s="380" t="s">
        <v>1320</v>
      </c>
      <c r="Z159" s="380" t="str">
        <f t="shared" ref="Z159:Z169" si="103">_xlfn.CONCAT("=10*exp(",FIXED(LN(6/10)/(H159-Q159),6),"*(DPG-index",TEXT(FIXED(Q159,6),"-#.##0,0000;+#.##0,0000;-#.0"),")")</f>
        <v>=10*exp(-0,198005*(DPG-index+0,3490)</v>
      </c>
      <c r="AA159" s="380" t="str">
        <f t="shared" si="96"/>
        <v>=10*exp(-0,202672*(DPG-index+0,3490)</v>
      </c>
      <c r="AB159" s="380" t="s">
        <v>1320</v>
      </c>
      <c r="AC159" s="57"/>
      <c r="AD159" s="703"/>
      <c r="AE159" s="223" t="str">
        <f t="shared" ref="AE159:AE169" si="104">C159</f>
        <v>woongebouw</v>
      </c>
      <c r="AF159" s="311">
        <f t="shared" ref="AF159:AF169" si="105">LN(6/10) / (AH159-AI159)</f>
        <v>-0.18000000000000002</v>
      </c>
      <c r="AG159" s="311"/>
      <c r="AH159" s="310">
        <f t="shared" si="99"/>
        <v>2.9310244865608079</v>
      </c>
      <c r="AI159" s="310">
        <f t="shared" si="100"/>
        <v>9.3104354527526384E-2</v>
      </c>
      <c r="AJ159" s="703"/>
      <c r="AK159" s="705" t="str">
        <f t="shared" ref="AK159:AK169" si="106">_xlfn.CONCAT(AE159,"  ",FIXED(AH159,2),"/",FIXED(AI159,2))</f>
        <v>woongebouw  2.93/0.09</v>
      </c>
      <c r="AL159" s="18"/>
      <c r="AM159" s="18"/>
      <c r="AN159" s="18"/>
      <c r="AO159" s="18"/>
    </row>
    <row r="160" spans="1:59" s="8" customFormat="1">
      <c r="A160" s="229"/>
      <c r="B160" s="21"/>
      <c r="C160" s="22" t="s">
        <v>303</v>
      </c>
      <c r="D160" s="274"/>
      <c r="E160" s="266">
        <v>3.8792971145657744</v>
      </c>
      <c r="F160" s="275">
        <f t="shared" si="93"/>
        <v>3.9073780487804877</v>
      </c>
      <c r="G160" s="874">
        <f t="shared" ref="G160:G169" si="107">E160</f>
        <v>3.8792971145657744</v>
      </c>
      <c r="H160" s="275">
        <f t="shared" si="93"/>
        <v>3.4503052378364627</v>
      </c>
      <c r="I160" s="275">
        <f t="shared" si="93"/>
        <v>3.4181135498615678</v>
      </c>
      <c r="J160" s="275">
        <f t="shared" ref="J160" si="108">IFERROR(SUM(J128,J144),"#N/B")</f>
        <v>3.4865208868082185</v>
      </c>
      <c r="K160" s="276"/>
      <c r="L160" s="231"/>
      <c r="M160" s="274"/>
      <c r="N160" s="266">
        <v>0.12322635158054962</v>
      </c>
      <c r="O160" s="237">
        <v>0</v>
      </c>
      <c r="P160" s="266">
        <f t="shared" si="94"/>
        <v>0.12322635158054962</v>
      </c>
      <c r="Q160" s="275">
        <f t="shared" si="95"/>
        <v>-0.5305607399933423</v>
      </c>
      <c r="R160" s="275">
        <f t="shared" si="95"/>
        <v>-0.5305607399933423</v>
      </c>
      <c r="S160" s="275">
        <f t="shared" ref="S160" si="109">SUM(S128,S144)</f>
        <v>-0.5305607399933423</v>
      </c>
      <c r="T160" s="276"/>
      <c r="U160" s="703"/>
      <c r="V160" s="57"/>
      <c r="W160" s="380" t="str">
        <f t="shared" si="101"/>
        <v>=10*exp(-0,136000*(DPG-index-0,1200)</v>
      </c>
      <c r="X160" s="380" t="str">
        <f t="shared" si="102"/>
        <v>=10*exp(-0,130734*(DPG-index-0)</v>
      </c>
      <c r="Y160" s="380" t="str">
        <f t="shared" ref="Y160:Y169" si="110">_xlfn.CONCAT("=10*exp(",FIXED(LN(6/10)/(G160-P160),6),"*(DPG-index",TEXT(FIXED(P160,2),"-#.##0,0000;+#.##0,0000;-#.0"),")")</f>
        <v>=10*exp(-0,136000*(DPG-index-0,1200)</v>
      </c>
      <c r="Z160" s="380" t="str">
        <f t="shared" si="103"/>
        <v>=10*exp(-0,128320*(DPG-index+0,5306)</v>
      </c>
      <c r="AA160" s="380" t="str">
        <f t="shared" si="96"/>
        <v>=10*exp(-0,129366*(DPG-index+0,5306)</v>
      </c>
      <c r="AB160" s="380" t="str">
        <f t="shared" ref="AB160:AB169" si="111">_xlfn.CONCAT("=10*exp(",FIXED(LN(6/10)/(J160-S160),6),"*(DPG-index",TEXT(FIXED(S160,6),"-#.##0,0000;+#.##0,0000;-#.0"),")")</f>
        <v>=10*exp(-0,127163*(DPG-index+0,5306)</v>
      </c>
      <c r="AC160" s="57"/>
      <c r="AD160" s="703"/>
      <c r="AE160" s="223" t="str">
        <f t="shared" si="104"/>
        <v>kantoor</v>
      </c>
      <c r="AF160" s="311">
        <f t="shared" si="105"/>
        <v>-0.13600000000000004</v>
      </c>
      <c r="AG160" s="311"/>
      <c r="AH160" s="310">
        <f t="shared" si="99"/>
        <v>3.8792971145657744</v>
      </c>
      <c r="AI160" s="310">
        <f t="shared" si="100"/>
        <v>0.12322635158054962</v>
      </c>
      <c r="AJ160" s="703"/>
      <c r="AK160" s="705" t="str">
        <f t="shared" si="106"/>
        <v>kantoor  3.88/0.12</v>
      </c>
      <c r="AL160" s="18"/>
      <c r="AM160" s="18"/>
      <c r="AN160" s="18"/>
      <c r="AO160" s="18"/>
      <c r="AP160" s="2"/>
      <c r="AQ160" s="2"/>
      <c r="AR160" s="2"/>
      <c r="AS160" s="2"/>
      <c r="AT160" s="2"/>
      <c r="AU160" s="2"/>
      <c r="AV160" s="2"/>
      <c r="AW160" s="2"/>
      <c r="AX160" s="2"/>
      <c r="AY160" s="2"/>
      <c r="AZ160" s="2"/>
      <c r="BA160" s="2"/>
      <c r="BB160" s="2"/>
      <c r="BC160" s="2"/>
      <c r="BD160" s="2"/>
      <c r="BE160" s="2"/>
      <c r="BF160" s="2"/>
      <c r="BG160" s="2"/>
    </row>
    <row r="161" spans="1:59" s="893" customFormat="1" ht="21">
      <c r="A161" s="18"/>
      <c r="B161" s="21"/>
      <c r="C161" s="22" t="s">
        <v>299</v>
      </c>
      <c r="D161" s="274"/>
      <c r="E161" s="266">
        <v>3.7698647458243135</v>
      </c>
      <c r="F161" s="275">
        <f t="shared" si="93"/>
        <v>4.0905741623626</v>
      </c>
      <c r="G161" s="874">
        <f t="shared" si="107"/>
        <v>3.7698647458243135</v>
      </c>
      <c r="H161" s="275">
        <f t="shared" si="93"/>
        <v>4.5440564577826432</v>
      </c>
      <c r="I161" s="275">
        <f t="shared" si="93"/>
        <v>4.496642433386441</v>
      </c>
      <c r="J161" s="275">
        <f t="shared" ref="J161" si="112">IFERROR(SUM(J129,J145),"#N/B")</f>
        <v>5.9018217018557069</v>
      </c>
      <c r="K161" s="276"/>
      <c r="L161" s="231"/>
      <c r="M161" s="274"/>
      <c r="N161" s="266">
        <v>0.12111029035295312</v>
      </c>
      <c r="O161" s="237">
        <v>0</v>
      </c>
      <c r="P161" s="266">
        <f t="shared" si="94"/>
        <v>0.12111029035295312</v>
      </c>
      <c r="Q161" s="275">
        <f t="shared" si="95"/>
        <v>0.18902985498063157</v>
      </c>
      <c r="R161" s="275">
        <f t="shared" si="95"/>
        <v>0.18902985498063157</v>
      </c>
      <c r="S161" s="275">
        <f t="shared" ref="S161" si="113">SUM(S129,S145)</f>
        <v>0.18902985498063157</v>
      </c>
      <c r="T161" s="276"/>
      <c r="U161" s="703"/>
      <c r="V161" s="57"/>
      <c r="W161" s="380" t="str">
        <f t="shared" si="101"/>
        <v>=10*exp(-0,140000*(DPG-index-0,1200)</v>
      </c>
      <c r="X161" s="380" t="str">
        <f t="shared" si="102"/>
        <v>=10*exp(-0,124879*(DPG-index-0)</v>
      </c>
      <c r="Y161" s="380" t="str">
        <f t="shared" si="110"/>
        <v>=10*exp(-0,140000*(DPG-index-0,1200)</v>
      </c>
      <c r="Z161" s="380" t="str">
        <f t="shared" si="103"/>
        <v>=10*exp(-0,117296*(DPG-index-0,1890)</v>
      </c>
      <c r="AA161" s="380" t="str">
        <f t="shared" si="96"/>
        <v>=10*exp(-0,118587*(DPG-index-0,1890)</v>
      </c>
      <c r="AB161" s="380" t="str">
        <f t="shared" si="111"/>
        <v>=10*exp(-0,089418*(DPG-index-0,1890)</v>
      </c>
      <c r="AC161" s="57"/>
      <c r="AD161" s="703"/>
      <c r="AE161" s="223" t="str">
        <f t="shared" si="104"/>
        <v>bijeenkomst overig</v>
      </c>
      <c r="AF161" s="311">
        <f t="shared" si="105"/>
        <v>-0.14000000000000007</v>
      </c>
      <c r="AG161" s="311"/>
      <c r="AH161" s="310">
        <f t="shared" si="99"/>
        <v>3.7698647458243135</v>
      </c>
      <c r="AI161" s="310">
        <f t="shared" si="100"/>
        <v>0.12111029035295312</v>
      </c>
      <c r="AJ161" s="703"/>
      <c r="AK161" s="705" t="str">
        <f t="shared" si="106"/>
        <v>bijeenkomst overig  3.77/0.12</v>
      </c>
      <c r="AL161" s="18"/>
      <c r="AM161" s="18"/>
      <c r="AN161" s="18"/>
      <c r="AO161" s="18"/>
      <c r="AP161" s="2"/>
      <c r="AQ161" s="2"/>
      <c r="AR161" s="2"/>
      <c r="AS161" s="2"/>
      <c r="AT161" s="2"/>
      <c r="AU161" s="2"/>
      <c r="AV161" s="2"/>
      <c r="AW161" s="2"/>
      <c r="AX161" s="2"/>
      <c r="AY161" s="2"/>
      <c r="AZ161" s="2"/>
      <c r="BA161" s="2"/>
      <c r="BB161" s="2"/>
      <c r="BC161" s="2"/>
      <c r="BD161" s="2"/>
      <c r="BE161" s="2"/>
      <c r="BF161" s="2"/>
      <c r="BG161" s="2"/>
    </row>
    <row r="162" spans="1:59">
      <c r="B162" s="21"/>
      <c r="C162" s="22" t="s">
        <v>422</v>
      </c>
      <c r="D162" s="274"/>
      <c r="E162" s="275">
        <f>IFERROR(SUM(E130,E146),"#N/B")</f>
        <v>4.5299999999999994</v>
      </c>
      <c r="F162" s="275">
        <f>IFERROR(SUM(F130,F146),"#N/B")</f>
        <v>4.4770794392523365</v>
      </c>
      <c r="G162" s="874">
        <f t="shared" si="107"/>
        <v>4.5299999999999994</v>
      </c>
      <c r="H162" s="275">
        <f t="shared" si="93"/>
        <v>5.0104998522369613</v>
      </c>
      <c r="I162" s="275">
        <f t="shared" si="93"/>
        <v>4.9618935989874702</v>
      </c>
      <c r="J162" s="275">
        <f t="shared" ref="J162" si="114">IFERROR(SUM(J130,J146),"#N/B")</f>
        <v>7.4271911215853379</v>
      </c>
      <c r="K162" s="276"/>
      <c r="L162" s="231"/>
      <c r="M162" s="274"/>
      <c r="N162" s="275">
        <f>N163</f>
        <v>8.6101504344090099E-2</v>
      </c>
      <c r="O162" s="280">
        <v>0</v>
      </c>
      <c r="P162" s="275">
        <f t="shared" si="94"/>
        <v>8.6101504344090099E-2</v>
      </c>
      <c r="Q162" s="275">
        <f t="shared" si="95"/>
        <v>0.22221092604712483</v>
      </c>
      <c r="R162" s="275">
        <f t="shared" si="95"/>
        <v>0.22221092604712483</v>
      </c>
      <c r="S162" s="275">
        <f t="shared" ref="S162" si="115">SUM(S130,S146)</f>
        <v>0.22221092604712483</v>
      </c>
      <c r="T162" s="276"/>
      <c r="U162" s="703"/>
      <c r="V162" s="57"/>
      <c r="W162" s="380" t="str">
        <f t="shared" si="101"/>
        <v>=10*exp(-0,114950*(DPG-index-0,0900)</v>
      </c>
      <c r="X162" s="380" t="str">
        <f t="shared" si="102"/>
        <v>=10*exp(-0,114098*(DPG-index-0)</v>
      </c>
      <c r="Y162" s="380" t="str">
        <f t="shared" si="110"/>
        <v>=10*exp(-0,114950*(DPG-index-0,0900)</v>
      </c>
      <c r="Z162" s="380" t="str">
        <f t="shared" si="103"/>
        <v>=10*exp(-0,106682*(DPG-index-0,2222)</v>
      </c>
      <c r="AA162" s="380" t="str">
        <f t="shared" si="96"/>
        <v>=10*exp(-0,107776*(DPG-index-0,2222)</v>
      </c>
      <c r="AB162" s="380" t="str">
        <f t="shared" si="111"/>
        <v>=10*exp(-0,070899*(DPG-index-0,2222)</v>
      </c>
      <c r="AC162" s="57"/>
      <c r="AD162" s="703"/>
      <c r="AE162" s="223" t="str">
        <f t="shared" si="104"/>
        <v>bijeenkomst kinderdagverblijf</v>
      </c>
      <c r="AF162" s="311">
        <f t="shared" si="105"/>
        <v>-0.11494988561627667</v>
      </c>
      <c r="AG162" s="311"/>
      <c r="AH162" s="310">
        <f t="shared" si="99"/>
        <v>4.5299999999999994</v>
      </c>
      <c r="AI162" s="310">
        <f t="shared" si="100"/>
        <v>8.6101504344090099E-2</v>
      </c>
      <c r="AJ162" s="703"/>
      <c r="AK162" s="705" t="str">
        <f t="shared" si="106"/>
        <v>bijeenkomst kinderdagverblijf  4.53/0.09</v>
      </c>
      <c r="AL162" s="18"/>
      <c r="AM162" s="18"/>
      <c r="AN162" s="18"/>
      <c r="AO162" s="18"/>
    </row>
    <row r="163" spans="1:59" s="6" customFormat="1">
      <c r="A163" s="18"/>
      <c r="B163" s="21"/>
      <c r="C163" s="22" t="s">
        <v>305</v>
      </c>
      <c r="D163" s="274"/>
      <c r="E163" s="266">
        <v>5.4072017519064932</v>
      </c>
      <c r="F163" s="275">
        <f t="shared" si="93"/>
        <v>5.3950794392523367</v>
      </c>
      <c r="G163" s="874">
        <f t="shared" si="107"/>
        <v>5.4072017519064932</v>
      </c>
      <c r="H163" s="275">
        <f t="shared" si="93"/>
        <v>4.5394777452758497</v>
      </c>
      <c r="I163" s="275">
        <f t="shared" si="93"/>
        <v>4.496374086733848</v>
      </c>
      <c r="J163" s="275">
        <f t="shared" ref="J163" si="116">IFERROR(SUM(J131,J147),"#N/B")</f>
        <v>4.4834429891712473</v>
      </c>
      <c r="K163" s="276"/>
      <c r="L163" s="231"/>
      <c r="M163" s="274"/>
      <c r="N163" s="266">
        <v>8.6101504344090099E-2</v>
      </c>
      <c r="O163" s="237">
        <v>0</v>
      </c>
      <c r="P163" s="266">
        <f t="shared" si="94"/>
        <v>8.6101504344090099E-2</v>
      </c>
      <c r="Q163" s="275">
        <f t="shared" si="95"/>
        <v>1.0009891564366158E-2</v>
      </c>
      <c r="R163" s="275">
        <f t="shared" si="95"/>
        <v>1.0009891564366158E-2</v>
      </c>
      <c r="S163" s="275">
        <f t="shared" ref="S163" si="117">SUM(S131,S147)</f>
        <v>1.0009891564366158E-2</v>
      </c>
      <c r="T163" s="276"/>
      <c r="U163" s="703"/>
      <c r="V163" s="57"/>
      <c r="W163" s="380" t="str">
        <f t="shared" si="101"/>
        <v>=10*exp(-0,096000*(DPG-index-0,0900)</v>
      </c>
      <c r="X163" s="380" t="str">
        <f t="shared" si="102"/>
        <v>=10*exp(-0,094684*(DPG-index-0)</v>
      </c>
      <c r="Y163" s="380" t="str">
        <f t="shared" si="110"/>
        <v>=10*exp(-0,096000*(DPG-index-0,0900)</v>
      </c>
      <c r="Z163" s="380" t="str">
        <f t="shared" si="103"/>
        <v>=10*exp(-0,112778*(DPG-index-0,0100)</v>
      </c>
      <c r="AA163" s="380" t="str">
        <f t="shared" si="96"/>
        <v>=10*exp(-0,113862*(DPG-index-0,0100)</v>
      </c>
      <c r="AB163" s="380" t="str">
        <f t="shared" si="111"/>
        <v>=10*exp(-0,114191*(DPG-index-0,0100)</v>
      </c>
      <c r="AC163" s="57"/>
      <c r="AD163" s="703"/>
      <c r="AE163" s="223" t="str">
        <f t="shared" si="104"/>
        <v>onderwijs</v>
      </c>
      <c r="AF163" s="311">
        <f t="shared" si="105"/>
        <v>-9.6000000000000002E-2</v>
      </c>
      <c r="AG163" s="311"/>
      <c r="AH163" s="310">
        <f t="shared" si="99"/>
        <v>5.4072017519064932</v>
      </c>
      <c r="AI163" s="310">
        <f t="shared" si="100"/>
        <v>8.6101504344090099E-2</v>
      </c>
      <c r="AJ163" s="703"/>
      <c r="AK163" s="705" t="str">
        <f t="shared" si="106"/>
        <v>onderwijs  5.41/0.09</v>
      </c>
      <c r="AL163" s="18"/>
      <c r="AM163" s="18"/>
      <c r="AN163" s="18"/>
      <c r="AO163" s="18"/>
      <c r="AP163" s="2"/>
      <c r="AQ163" s="2"/>
      <c r="AR163" s="2"/>
      <c r="AS163" s="2"/>
      <c r="AT163" s="2"/>
      <c r="AU163" s="2"/>
      <c r="AV163" s="2"/>
      <c r="AW163" s="2"/>
      <c r="AX163" s="2"/>
      <c r="AY163" s="2"/>
      <c r="AZ163" s="2"/>
      <c r="BA163" s="2"/>
      <c r="BB163" s="2"/>
      <c r="BC163" s="2"/>
      <c r="BD163" s="2"/>
      <c r="BE163" s="2"/>
      <c r="BF163" s="2"/>
      <c r="BG163" s="2"/>
    </row>
    <row r="164" spans="1:59">
      <c r="B164" s="21"/>
      <c r="C164" s="22" t="s">
        <v>302</v>
      </c>
      <c r="D164" s="274"/>
      <c r="E164" s="275">
        <f>IFERROR(SUM(E132,E148),"#N/B")</f>
        <v>0</v>
      </c>
      <c r="F164" s="275">
        <f>IFERROR(SUM(F132,F148),"#N/B")</f>
        <v>0</v>
      </c>
      <c r="G164" s="874">
        <f t="shared" si="107"/>
        <v>0</v>
      </c>
      <c r="H164" s="275">
        <f t="shared" si="93"/>
        <v>0</v>
      </c>
      <c r="I164" s="275">
        <f t="shared" si="93"/>
        <v>3.0421145136275034</v>
      </c>
      <c r="J164" s="275">
        <f t="shared" ref="J164" si="118">IFERROR(SUM(J132,J148),"#N/B")</f>
        <v>0</v>
      </c>
      <c r="K164" s="276"/>
      <c r="L164" s="231"/>
      <c r="M164" s="274"/>
      <c r="N164" s="275">
        <f t="shared" ref="N164:O165" si="119">IFERROR(SUM(E148,E164),"#N/B")</f>
        <v>0</v>
      </c>
      <c r="O164" s="280">
        <f t="shared" si="119"/>
        <v>0</v>
      </c>
      <c r="P164" s="275">
        <f t="shared" si="94"/>
        <v>0</v>
      </c>
      <c r="Q164" s="275">
        <f t="shared" si="95"/>
        <v>-0.8488041379310346</v>
      </c>
      <c r="R164" s="275">
        <f t="shared" si="95"/>
        <v>-0.8488041379310346</v>
      </c>
      <c r="S164" s="275">
        <f t="shared" ref="S164" si="120">SUM(S132,S148)</f>
        <v>-0.8488041379310346</v>
      </c>
      <c r="T164" s="276"/>
      <c r="U164" s="703"/>
      <c r="V164" s="57"/>
      <c r="W164" s="380" t="e">
        <f t="shared" si="101"/>
        <v>#DIV/0!</v>
      </c>
      <c r="X164" s="380" t="e">
        <f t="shared" si="102"/>
        <v>#DIV/0!</v>
      </c>
      <c r="Y164" s="380" t="e">
        <f t="shared" si="110"/>
        <v>#DIV/0!</v>
      </c>
      <c r="Z164" s="380" t="str">
        <f t="shared" si="103"/>
        <v>=10*exp(-0,601818*(DPG-index+0,8488)</v>
      </c>
      <c r="AA164" s="380" t="str">
        <f t="shared" si="96"/>
        <v>=10*exp(-0,131287*(DPG-index+0,8488)</v>
      </c>
      <c r="AB164" s="380" t="str">
        <f t="shared" si="111"/>
        <v>=10*exp(-0,601818*(DPG-index+0,8488)</v>
      </c>
      <c r="AC164" s="57"/>
      <c r="AD164" s="703"/>
      <c r="AE164" s="223" t="str">
        <f t="shared" si="104"/>
        <v>gezondheid overig</v>
      </c>
      <c r="AF164" s="311" t="e">
        <f t="shared" si="105"/>
        <v>#DIV/0!</v>
      </c>
      <c r="AG164" s="311"/>
      <c r="AH164" s="310">
        <f t="shared" si="99"/>
        <v>0</v>
      </c>
      <c r="AI164" s="310">
        <f t="shared" si="100"/>
        <v>0</v>
      </c>
      <c r="AJ164" s="703"/>
      <c r="AK164" s="705" t="str">
        <f t="shared" si="106"/>
        <v>gezondheid overig  0.00/0.00</v>
      </c>
      <c r="AL164" s="18"/>
      <c r="AM164" s="18"/>
      <c r="AN164" s="18"/>
      <c r="AO164" s="18"/>
    </row>
    <row r="165" spans="1:59">
      <c r="B165" s="21"/>
      <c r="C165" s="22" t="s">
        <v>423</v>
      </c>
      <c r="D165" s="274"/>
      <c r="E165" s="275">
        <f>IFERROR(SUM(E133,E149),"#N/B")</f>
        <v>0</v>
      </c>
      <c r="F165" s="275">
        <f t="shared" si="93"/>
        <v>0</v>
      </c>
      <c r="G165" s="874">
        <f t="shared" si="107"/>
        <v>0</v>
      </c>
      <c r="H165" s="275">
        <f t="shared" si="93"/>
        <v>0</v>
      </c>
      <c r="I165" s="275">
        <f t="shared" si="93"/>
        <v>7.1710028268311063</v>
      </c>
      <c r="J165" s="275">
        <f t="shared" ref="J165" si="121">IFERROR(SUM(J133,J149),"#N/B")</f>
        <v>0</v>
      </c>
      <c r="K165" s="276"/>
      <c r="L165" s="231"/>
      <c r="M165" s="274"/>
      <c r="N165" s="275">
        <f t="shared" si="119"/>
        <v>0</v>
      </c>
      <c r="O165" s="280">
        <f t="shared" si="119"/>
        <v>0</v>
      </c>
      <c r="P165" s="275">
        <f t="shared" si="94"/>
        <v>0</v>
      </c>
      <c r="Q165" s="275">
        <f t="shared" si="95"/>
        <v>-1.0610051724137932</v>
      </c>
      <c r="R165" s="275">
        <f t="shared" si="95"/>
        <v>-1.0610051724137932</v>
      </c>
      <c r="S165" s="275">
        <f t="shared" ref="S165" si="122">SUM(S133,S149)</f>
        <v>-1.0610051724137932</v>
      </c>
      <c r="T165" s="276"/>
      <c r="U165" s="703"/>
      <c r="V165" s="57"/>
      <c r="W165" s="380" t="e">
        <f t="shared" si="101"/>
        <v>#DIV/0!</v>
      </c>
      <c r="X165" s="380" t="e">
        <f t="shared" si="102"/>
        <v>#DIV/0!</v>
      </c>
      <c r="Y165" s="380" t="e">
        <f t="shared" si="110"/>
        <v>#DIV/0!</v>
      </c>
      <c r="Z165" s="380" t="str">
        <f t="shared" si="103"/>
        <v>=10*exp(-0,481454*(DPG-index+1,0610)</v>
      </c>
      <c r="AA165" s="380" t="str">
        <f t="shared" si="96"/>
        <v>=10*exp(-0,062054*(DPG-index+1,0610)</v>
      </c>
      <c r="AB165" s="380" t="str">
        <f t="shared" si="111"/>
        <v>=10*exp(-0,481454*(DPG-index+1,0610)</v>
      </c>
      <c r="AC165" s="57"/>
      <c r="AD165" s="703"/>
      <c r="AE165" s="223" t="str">
        <f t="shared" si="104"/>
        <v>gezondheid bedgebied</v>
      </c>
      <c r="AF165" s="311" t="e">
        <f t="shared" si="105"/>
        <v>#DIV/0!</v>
      </c>
      <c r="AG165" s="311"/>
      <c r="AH165" s="310">
        <f t="shared" si="99"/>
        <v>0</v>
      </c>
      <c r="AI165" s="310">
        <f t="shared" si="100"/>
        <v>0</v>
      </c>
      <c r="AJ165" s="703"/>
      <c r="AK165" s="705" t="str">
        <f t="shared" si="106"/>
        <v>gezondheid bedgebied  0.00/0.00</v>
      </c>
      <c r="AL165" s="18"/>
      <c r="AM165" s="18"/>
      <c r="AN165" s="18"/>
      <c r="AO165" s="18"/>
    </row>
    <row r="166" spans="1:59">
      <c r="B166" s="21"/>
      <c r="C166" s="22" t="s">
        <v>307</v>
      </c>
      <c r="D166" s="274"/>
      <c r="E166" s="266">
        <v>7.6904676994681056</v>
      </c>
      <c r="F166" s="275">
        <f t="shared" si="93"/>
        <v>6.2948110922117406</v>
      </c>
      <c r="G166" s="874">
        <f t="shared" si="107"/>
        <v>7.6904676994681056</v>
      </c>
      <c r="H166" s="275">
        <f t="shared" si="93"/>
        <v>7.8409683597049877</v>
      </c>
      <c r="I166" s="275">
        <f t="shared" si="93"/>
        <v>6.2190488086838158</v>
      </c>
      <c r="J166" s="275">
        <f t="shared" ref="J166" si="123">IFERROR(SUM(J134,J150),"#N/B")</f>
        <v>8.6727219756132818</v>
      </c>
      <c r="K166" s="276"/>
      <c r="L166" s="231"/>
      <c r="M166" s="274"/>
      <c r="N166" s="266">
        <v>0.17832617349765473</v>
      </c>
      <c r="O166" s="237">
        <v>0</v>
      </c>
      <c r="P166" s="266">
        <f t="shared" si="94"/>
        <v>0.17832617349765473</v>
      </c>
      <c r="Q166" s="275">
        <f t="shared" si="95"/>
        <v>-0.31109441289929285</v>
      </c>
      <c r="R166" s="275">
        <f t="shared" si="95"/>
        <v>-0.31109441289929285</v>
      </c>
      <c r="S166" s="275">
        <f t="shared" ref="S166" si="124">SUM(S134,S150)</f>
        <v>-0.31109441289929285</v>
      </c>
      <c r="T166" s="276"/>
      <c r="U166" s="703"/>
      <c r="V166" s="57"/>
      <c r="W166" s="380" t="str">
        <f t="shared" si="101"/>
        <v>=10*exp(-0,068000*(DPG-index-0,1800)</v>
      </c>
      <c r="X166" s="380" t="str">
        <f t="shared" si="102"/>
        <v>=10*exp(-0,081150*(DPG-index-0)</v>
      </c>
      <c r="Y166" s="380" t="str">
        <f t="shared" si="110"/>
        <v>=10*exp(-0,068000*(DPG-index-0,1800)</v>
      </c>
      <c r="Z166" s="380" t="str">
        <f t="shared" si="103"/>
        <v>=10*exp(-0,062662*(DPG-index+0,3111)</v>
      </c>
      <c r="AA166" s="380" t="str">
        <f t="shared" si="96"/>
        <v>=10*exp(-0,078226*(DPG-index+0,3111)</v>
      </c>
      <c r="AB166" s="380" t="str">
        <f t="shared" si="111"/>
        <v>=10*exp(-0,056861*(DPG-index+0,3111)</v>
      </c>
      <c r="AC166" s="57"/>
      <c r="AD166" s="703"/>
      <c r="AE166" s="223" t="str">
        <f t="shared" si="104"/>
        <v>winkel</v>
      </c>
      <c r="AF166" s="311">
        <f t="shared" si="105"/>
        <v>-6.8000000000000005E-2</v>
      </c>
      <c r="AG166" s="311"/>
      <c r="AH166" s="310">
        <f t="shared" si="99"/>
        <v>7.6904676994681056</v>
      </c>
      <c r="AI166" s="310">
        <f t="shared" si="100"/>
        <v>0.17832617349765473</v>
      </c>
      <c r="AJ166" s="703"/>
      <c r="AK166" s="705" t="str">
        <f t="shared" si="106"/>
        <v>winkel  7.69/0.18</v>
      </c>
      <c r="AL166" s="18"/>
      <c r="AM166" s="18"/>
      <c r="AN166" s="18"/>
      <c r="AO166" s="18"/>
    </row>
    <row r="167" spans="1:59">
      <c r="B167" s="21"/>
      <c r="C167" s="22" t="s">
        <v>306</v>
      </c>
      <c r="D167" s="274"/>
      <c r="E167" s="266">
        <v>4.4962734508439031</v>
      </c>
      <c r="F167" s="275">
        <f t="shared" si="93"/>
        <v>4.0846677018633546</v>
      </c>
      <c r="G167" s="874">
        <f t="shared" si="107"/>
        <v>4.4962734508439031</v>
      </c>
      <c r="H167" s="275">
        <f t="shared" si="93"/>
        <v>3.7013346841313495</v>
      </c>
      <c r="I167" s="275">
        <f t="shared" si="93"/>
        <v>3.3552740384012365</v>
      </c>
      <c r="J167" s="275">
        <f t="shared" ref="J167" si="125">IFERROR(SUM(J135,J151),"#N/B")</f>
        <v>4.1479943547830072</v>
      </c>
      <c r="K167" s="276"/>
      <c r="L167" s="231"/>
      <c r="M167" s="274"/>
      <c r="N167" s="266">
        <v>0.1</v>
      </c>
      <c r="O167" s="237">
        <v>0</v>
      </c>
      <c r="P167" s="266">
        <f t="shared" si="94"/>
        <v>0.1</v>
      </c>
      <c r="Q167" s="275">
        <f t="shared" si="95"/>
        <v>0.21295480603468026</v>
      </c>
      <c r="R167" s="275">
        <f t="shared" si="95"/>
        <v>0.21295480603468026</v>
      </c>
      <c r="S167" s="275">
        <f t="shared" ref="S167" si="126">SUM(S135,S151)</f>
        <v>0.21295480603468026</v>
      </c>
      <c r="T167" s="276"/>
      <c r="U167" s="703"/>
      <c r="V167" s="57"/>
      <c r="W167" s="380" t="str">
        <f t="shared" si="101"/>
        <v>=10*exp(-0,116195*(DPG-index-0,1000)</v>
      </c>
      <c r="X167" s="380" t="str">
        <f t="shared" si="102"/>
        <v>=10*exp(-0,125059*(DPG-index-0)</v>
      </c>
      <c r="Y167" s="380" t="str">
        <f t="shared" si="110"/>
        <v>=10*exp(-0,116195*(DPG-index-0,1000)</v>
      </c>
      <c r="Z167" s="380" t="str">
        <f t="shared" si="103"/>
        <v>=10*exp(-0,146436*(DPG-index-0,2130)</v>
      </c>
      <c r="AA167" s="380" t="str">
        <f t="shared" si="96"/>
        <v>=10*exp(-0,162563*(DPG-index-0,2130)</v>
      </c>
      <c r="AB167" s="380" t="str">
        <f t="shared" si="111"/>
        <v>=10*exp(-0,129815*(DPG-index-0,2130)</v>
      </c>
      <c r="AC167" s="57"/>
      <c r="AD167" s="703"/>
      <c r="AE167" s="223" t="str">
        <f t="shared" si="104"/>
        <v>sport</v>
      </c>
      <c r="AF167" s="311">
        <f t="shared" si="105"/>
        <v>-0.116195143336212</v>
      </c>
      <c r="AG167" s="311"/>
      <c r="AH167" s="310">
        <f t="shared" si="99"/>
        <v>4.4962734508439031</v>
      </c>
      <c r="AI167" s="310">
        <f t="shared" si="100"/>
        <v>0.1</v>
      </c>
      <c r="AJ167" s="703"/>
      <c r="AK167" s="705" t="str">
        <f t="shared" si="106"/>
        <v>sport  4.50/0.10</v>
      </c>
      <c r="AL167" s="18"/>
      <c r="AM167" s="18"/>
      <c r="AN167" s="18"/>
      <c r="AO167" s="18"/>
    </row>
    <row r="168" spans="1:59">
      <c r="B168" s="21"/>
      <c r="C168" s="22" t="s">
        <v>424</v>
      </c>
      <c r="D168" s="274"/>
      <c r="E168" s="266">
        <v>4.0297903537267956</v>
      </c>
      <c r="F168" s="275">
        <f t="shared" si="93"/>
        <v>4.5566223186925434</v>
      </c>
      <c r="G168" s="874">
        <f t="shared" si="107"/>
        <v>4.0297903537267956</v>
      </c>
      <c r="H168" s="275">
        <f t="shared" si="93"/>
        <v>3.6457012291713817</v>
      </c>
      <c r="I168" s="275">
        <f t="shared" si="93"/>
        <v>4.1124807048073482</v>
      </c>
      <c r="J168" s="275">
        <f t="shared" ref="J168" si="127">IFERROR(SUM(J136,J152),"#N/B")</f>
        <v>4.341846481628469</v>
      </c>
      <c r="K168" s="276"/>
      <c r="L168" s="231"/>
      <c r="M168" s="274"/>
      <c r="N168" s="266">
        <v>3.8965168054993456E-2</v>
      </c>
      <c r="O168" s="237">
        <v>0</v>
      </c>
      <c r="P168" s="266">
        <f t="shared" si="94"/>
        <v>3.8965168054993456E-2</v>
      </c>
      <c r="Q168" s="275">
        <f t="shared" si="95"/>
        <v>-5.0641157782819524E-2</v>
      </c>
      <c r="R168" s="275">
        <f t="shared" si="95"/>
        <v>-5.0641157782819524E-2</v>
      </c>
      <c r="S168" s="275">
        <f t="shared" ref="S168" si="128">SUM(S136,S152)</f>
        <v>-5.0641157782819524E-2</v>
      </c>
      <c r="T168" s="276"/>
      <c r="U168" s="703"/>
      <c r="V168" s="57"/>
      <c r="W168" s="380" t="str">
        <f t="shared" si="101"/>
        <v>=10*exp(-0,128000*(DPG-index-0,0400)</v>
      </c>
      <c r="X168" s="380" t="str">
        <f t="shared" si="102"/>
        <v>=10*exp(-0,112106*(DPG-index-0)</v>
      </c>
      <c r="Y168" s="380" t="str">
        <f t="shared" si="110"/>
        <v>=10*exp(-0,128000*(DPG-index-0,0400)</v>
      </c>
      <c r="Z168" s="380" t="str">
        <f t="shared" si="103"/>
        <v>=10*exp(-0,138198*(DPG-index+0,0506)</v>
      </c>
      <c r="AA168" s="380" t="str">
        <f t="shared" si="96"/>
        <v>=10*exp(-0,122703*(DPG-index+0,0506)</v>
      </c>
      <c r="AB168" s="380" t="str">
        <f t="shared" si="111"/>
        <v>=10*exp(-0,116295*(DPG-index+0,0506)</v>
      </c>
      <c r="AC168" s="57"/>
      <c r="AD168" s="703"/>
      <c r="AE168" s="223" t="str">
        <f t="shared" si="104"/>
        <v>logies in logiesgebouw</v>
      </c>
      <c r="AF168" s="311">
        <f t="shared" si="105"/>
        <v>-0.128</v>
      </c>
      <c r="AG168" s="311"/>
      <c r="AH168" s="310">
        <f t="shared" si="99"/>
        <v>4.0297903537267956</v>
      </c>
      <c r="AI168" s="310">
        <f t="shared" si="100"/>
        <v>3.8965168054993456E-2</v>
      </c>
      <c r="AJ168" s="703"/>
      <c r="AK168" s="705" t="str">
        <f t="shared" si="106"/>
        <v>logies in logiesgebouw  4.03/0.04</v>
      </c>
      <c r="AL168" s="18"/>
      <c r="AM168" s="18"/>
      <c r="AN168" s="18"/>
      <c r="AO168" s="18"/>
    </row>
    <row r="169" spans="1:59">
      <c r="B169" s="21"/>
      <c r="C169" s="22" t="s">
        <v>425</v>
      </c>
      <c r="D169" s="277"/>
      <c r="E169" s="278">
        <f>IFERROR(SUM(E137,E153),"#N/B")</f>
        <v>0</v>
      </c>
      <c r="F169" s="278">
        <f t="shared" si="93"/>
        <v>0</v>
      </c>
      <c r="G169" s="875">
        <f t="shared" si="107"/>
        <v>0</v>
      </c>
      <c r="H169" s="278">
        <f t="shared" si="93"/>
        <v>0</v>
      </c>
      <c r="I169" s="278">
        <f t="shared" si="93"/>
        <v>5.5749410370927412</v>
      </c>
      <c r="J169" s="278">
        <f t="shared" ref="J169" si="129">IFERROR(SUM(J137,J153),"#N/B")</f>
        <v>0</v>
      </c>
      <c r="K169" s="279"/>
      <c r="L169" s="231"/>
      <c r="M169" s="277"/>
      <c r="N169" s="278">
        <f>IFERROR(SUM(E153,E169),"#N/B")</f>
        <v>0</v>
      </c>
      <c r="O169" s="281">
        <f>IFERROR(SUM(F153,F169),"#N/B")</f>
        <v>0</v>
      </c>
      <c r="P169" s="278">
        <f t="shared" si="94"/>
        <v>0</v>
      </c>
      <c r="Q169" s="278">
        <f t="shared" si="95"/>
        <v>-0.53050258620689661</v>
      </c>
      <c r="R169" s="278">
        <f t="shared" si="95"/>
        <v>-0.53050258620689661</v>
      </c>
      <c r="S169" s="278">
        <f t="shared" ref="S169" si="130">SUM(S137,S153)</f>
        <v>-0.53050258620689661</v>
      </c>
      <c r="T169" s="279"/>
      <c r="U169" s="703"/>
      <c r="V169" s="57"/>
      <c r="W169" s="380" t="e">
        <f t="shared" si="101"/>
        <v>#DIV/0!</v>
      </c>
      <c r="X169" s="380" t="e">
        <f t="shared" si="102"/>
        <v>#DIV/0!</v>
      </c>
      <c r="Y169" s="380" t="e">
        <f t="shared" si="110"/>
        <v>#DIV/0!</v>
      </c>
      <c r="Z169" s="380" t="str">
        <f t="shared" si="103"/>
        <v>=10*exp(-0,962909*(DPG-index+0,5305)</v>
      </c>
      <c r="AA169" s="380" t="str">
        <f t="shared" si="96"/>
        <v>=10*exp(-0,083667*(DPG-index+0,5305)</v>
      </c>
      <c r="AB169" s="380" t="str">
        <f t="shared" si="111"/>
        <v>=10*exp(-0,962909*(DPG-index+0,5305)</v>
      </c>
      <c r="AC169" s="57"/>
      <c r="AD169" s="703"/>
      <c r="AE169" s="223" t="str">
        <f t="shared" si="104"/>
        <v>cel</v>
      </c>
      <c r="AF169" s="311" t="e">
        <f t="shared" si="105"/>
        <v>#DIV/0!</v>
      </c>
      <c r="AG169" s="311"/>
      <c r="AH169" s="310">
        <f t="shared" si="99"/>
        <v>0</v>
      </c>
      <c r="AI169" s="310">
        <f t="shared" si="100"/>
        <v>0</v>
      </c>
      <c r="AJ169" s="703"/>
      <c r="AK169" s="705" t="str">
        <f t="shared" si="106"/>
        <v>cel  0.00/0.00</v>
      </c>
      <c r="AL169" s="18"/>
      <c r="AM169" s="18"/>
      <c r="AN169" s="18"/>
      <c r="AO169" s="18"/>
    </row>
    <row r="170" spans="1:59">
      <c r="B170" s="21"/>
      <c r="C170" s="18"/>
      <c r="D170" s="18"/>
      <c r="E170" s="215"/>
      <c r="F170" s="215"/>
      <c r="G170" s="215"/>
      <c r="H170" s="215"/>
      <c r="I170" s="215"/>
      <c r="J170" s="215"/>
      <c r="K170" s="1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18"/>
      <c r="AL170" s="18"/>
      <c r="AM170" s="18"/>
      <c r="AN170" s="18"/>
      <c r="AO170" s="18"/>
    </row>
    <row r="171" spans="1:59" ht="21">
      <c r="A171" s="893"/>
      <c r="B171" s="895" t="s">
        <v>1013</v>
      </c>
      <c r="C171" s="893" t="s">
        <v>1547</v>
      </c>
      <c r="D171" s="893"/>
      <c r="E171" s="893"/>
      <c r="F171" s="893"/>
      <c r="G171" s="893"/>
      <c r="H171" s="893"/>
      <c r="I171" s="893"/>
      <c r="J171" s="893"/>
      <c r="K171" s="893"/>
      <c r="L171" s="893"/>
      <c r="M171" s="893"/>
      <c r="N171" s="893"/>
      <c r="O171" s="893"/>
      <c r="P171" s="893"/>
      <c r="Q171" s="893"/>
      <c r="R171" s="893"/>
      <c r="S171" s="893"/>
      <c r="T171" s="893"/>
      <c r="U171" s="893"/>
      <c r="V171" s="893"/>
      <c r="W171" s="893"/>
      <c r="X171" s="893"/>
      <c r="Y171" s="893"/>
      <c r="Z171" s="893"/>
      <c r="AA171" s="893"/>
      <c r="AB171" s="893"/>
      <c r="AC171" s="893"/>
      <c r="AD171" s="893"/>
      <c r="AE171" s="893"/>
      <c r="AF171" s="893"/>
      <c r="AG171" s="893"/>
      <c r="AH171" s="893"/>
      <c r="AI171" s="893"/>
      <c r="AJ171" s="893"/>
      <c r="AK171" s="18"/>
      <c r="AL171" s="18"/>
      <c r="AM171" s="18"/>
      <c r="AN171" s="18"/>
      <c r="AO171" s="18"/>
    </row>
    <row r="172" spans="1:59" s="6" customFormat="1">
      <c r="A172" s="18"/>
      <c r="B172" s="21"/>
      <c r="C172" s="703"/>
      <c r="D172" s="703"/>
      <c r="E172" s="703"/>
      <c r="F172" s="703"/>
      <c r="G172" s="703"/>
      <c r="H172" s="703"/>
      <c r="I172" s="703"/>
      <c r="J172" s="703"/>
      <c r="K172" s="703"/>
      <c r="L172" s="229"/>
      <c r="M172" s="703"/>
      <c r="N172" s="18"/>
      <c r="O172" s="703"/>
      <c r="P172" s="703"/>
      <c r="Q172" s="703"/>
      <c r="R172" s="703"/>
      <c r="S172" s="703"/>
      <c r="T172" s="703"/>
      <c r="U172" s="703"/>
      <c r="V172" s="703"/>
      <c r="W172" s="18"/>
      <c r="X172" s="703"/>
      <c r="Y172" s="703"/>
      <c r="Z172" s="703"/>
      <c r="AA172" s="703"/>
      <c r="AB172" s="703"/>
      <c r="AC172" s="703"/>
      <c r="AD172" s="703"/>
      <c r="AE172" s="703"/>
      <c r="AF172" s="703"/>
      <c r="AG172" s="703"/>
      <c r="AH172" s="703"/>
      <c r="AI172" s="703"/>
      <c r="AJ172" s="703"/>
      <c r="AK172" s="18"/>
      <c r="AL172" s="18"/>
      <c r="AM172" s="18"/>
      <c r="AN172" s="18"/>
      <c r="AO172" s="18"/>
      <c r="AP172" s="2"/>
      <c r="AQ172" s="2"/>
      <c r="AR172" s="2"/>
      <c r="AS172" s="2"/>
      <c r="AT172" s="2"/>
      <c r="AU172" s="2"/>
      <c r="AV172" s="2"/>
      <c r="AW172" s="2"/>
      <c r="AX172" s="2"/>
      <c r="AY172" s="2"/>
      <c r="AZ172" s="2"/>
      <c r="BA172" s="2"/>
      <c r="BB172" s="2"/>
      <c r="BC172" s="2"/>
      <c r="BD172" s="2"/>
      <c r="BE172" s="2"/>
      <c r="BF172" s="2"/>
      <c r="BG172" s="2"/>
    </row>
    <row r="173" spans="1:59">
      <c r="B173" s="88">
        <f ca="1">MAX($B$1:OFFSET(B173,-1,0))+1</f>
        <v>16</v>
      </c>
      <c r="C173" s="122" t="s">
        <v>1402</v>
      </c>
      <c r="D173" s="122"/>
      <c r="E173" s="155"/>
      <c r="F173" s="14"/>
      <c r="G173" s="14"/>
      <c r="H173" s="14"/>
      <c r="I173" s="14"/>
      <c r="J173" s="14"/>
      <c r="K173" s="14"/>
      <c r="L173" s="14"/>
      <c r="M173" s="703"/>
      <c r="N173" s="703"/>
      <c r="O173" s="703"/>
      <c r="P173" s="703"/>
      <c r="Q173" s="703"/>
      <c r="R173" s="703"/>
      <c r="S173" s="703"/>
      <c r="T173" s="703"/>
      <c r="U173" s="703"/>
      <c r="V173" s="703"/>
      <c r="W173" s="703"/>
      <c r="X173" s="703"/>
      <c r="Y173" s="703"/>
      <c r="Z173" s="703"/>
      <c r="AJ173" s="703"/>
      <c r="AK173" s="18"/>
      <c r="AL173" s="18"/>
      <c r="AM173" s="18"/>
      <c r="AN173" s="18"/>
      <c r="AO173" s="18"/>
    </row>
    <row r="174" spans="1:59" s="324" customFormat="1">
      <c r="A174" s="316"/>
      <c r="B174" s="966"/>
      <c r="C174" s="967" t="s">
        <v>1516</v>
      </c>
      <c r="D174" s="531"/>
      <c r="E174" s="968" t="s">
        <v>1489</v>
      </c>
      <c r="F174" s="967" t="s">
        <v>1548</v>
      </c>
      <c r="G174" s="967" t="s">
        <v>1397</v>
      </c>
      <c r="H174" s="1133" t="s">
        <v>1497</v>
      </c>
      <c r="I174" s="1133"/>
      <c r="J174" s="968"/>
      <c r="K174" s="14"/>
      <c r="L174" s="14"/>
      <c r="M174" s="708"/>
      <c r="N174" s="708"/>
      <c r="O174" s="708"/>
      <c r="P174" s="708"/>
      <c r="Q174" s="708"/>
      <c r="R174" s="708"/>
      <c r="S174" s="708"/>
      <c r="T174" s="708"/>
      <c r="U174" s="708"/>
      <c r="V174" s="708"/>
      <c r="W174" s="708"/>
      <c r="X174" s="708"/>
      <c r="Y174" s="708"/>
      <c r="Z174" s="708"/>
      <c r="AA174" s="708"/>
      <c r="AB174" s="708"/>
      <c r="AC174" s="708"/>
      <c r="AD174" s="708"/>
      <c r="AE174" s="708"/>
      <c r="AF174" s="708"/>
      <c r="AG174" s="708"/>
      <c r="AH174" s="708"/>
      <c r="AI174" s="708"/>
      <c r="AJ174" s="703"/>
      <c r="AK174" s="18"/>
      <c r="AL174" s="18"/>
      <c r="AM174" s="18"/>
      <c r="AN174" s="18"/>
      <c r="AO174" s="18"/>
      <c r="AP174" s="2"/>
      <c r="AQ174" s="2"/>
      <c r="AR174" s="2"/>
      <c r="AS174" s="2"/>
      <c r="AT174" s="2"/>
      <c r="AU174" s="2"/>
      <c r="AV174" s="2"/>
      <c r="AW174" s="2"/>
      <c r="AX174" s="2"/>
      <c r="AY174" s="2"/>
      <c r="AZ174" s="2"/>
      <c r="BA174" s="2"/>
      <c r="BB174" s="2"/>
      <c r="BC174" s="2"/>
      <c r="BD174" s="2"/>
      <c r="BE174" s="2"/>
      <c r="BF174" s="2"/>
      <c r="BG174" s="2"/>
    </row>
    <row r="175" spans="1:59">
      <c r="B175" s="9">
        <v>1</v>
      </c>
      <c r="C175" s="438" t="s">
        <v>497</v>
      </c>
      <c r="D175" s="442"/>
      <c r="E175" s="443" t="s">
        <v>400</v>
      </c>
      <c r="F175" s="971" t="str">
        <f t="shared" ref="F175:F182" si="131">_xlfn.CONCAT(E175," [",HLOOKUP(E175,$D$16:$H$17,ROWS($C$16:$C$17),FALSE),"]")</f>
        <v>NEN 7120 [MJ]</v>
      </c>
      <c r="G175" s="971" t="s">
        <v>497</v>
      </c>
      <c r="H175" s="1134" t="s">
        <v>1498</v>
      </c>
      <c r="I175" s="1134"/>
      <c r="J175" s="880"/>
      <c r="K175" s="1144"/>
      <c r="L175" s="14"/>
      <c r="M175" s="703"/>
      <c r="N175" s="703"/>
      <c r="O175" s="703"/>
      <c r="P175" s="703"/>
      <c r="Q175" s="703"/>
      <c r="R175" s="703"/>
      <c r="S175" s="703"/>
      <c r="T175" s="703"/>
      <c r="U175" s="703"/>
      <c r="V175" s="703"/>
      <c r="W175" s="703"/>
      <c r="X175" s="703"/>
      <c r="Y175" s="703"/>
      <c r="Z175" s="703"/>
      <c r="AA175" s="703"/>
      <c r="AB175" s="703"/>
      <c r="AC175" s="703"/>
      <c r="AD175" s="703"/>
      <c r="AE175" s="703"/>
      <c r="AF175" s="703"/>
      <c r="AG175" s="703"/>
      <c r="AH175" s="703"/>
      <c r="AI175" s="703"/>
      <c r="AJ175" s="703"/>
      <c r="AK175" s="18"/>
      <c r="AL175" s="18"/>
      <c r="AM175" s="18"/>
      <c r="AN175" s="18"/>
      <c r="AO175" s="18"/>
    </row>
    <row r="176" spans="1:59">
      <c r="B176" s="9">
        <v>2</v>
      </c>
      <c r="C176" s="439" t="s">
        <v>1509</v>
      </c>
      <c r="D176" s="444"/>
      <c r="E176" s="287" t="s">
        <v>400</v>
      </c>
      <c r="F176" s="972" t="str">
        <f t="shared" si="131"/>
        <v>NEN 7120 [MJ]</v>
      </c>
      <c r="G176" s="972" t="s">
        <v>491</v>
      </c>
      <c r="H176" s="1135" t="s">
        <v>1499</v>
      </c>
      <c r="I176" s="1135"/>
      <c r="J176" s="288"/>
      <c r="K176" s="1145"/>
      <c r="L176" s="14"/>
      <c r="M176" s="703"/>
      <c r="N176" s="703"/>
      <c r="O176" s="703"/>
      <c r="P176" s="703"/>
      <c r="Q176" s="703"/>
      <c r="R176" s="703"/>
      <c r="S176" s="703"/>
      <c r="T176" s="703"/>
      <c r="U176" s="703"/>
      <c r="V176" s="703"/>
      <c r="W176" s="703"/>
      <c r="X176" s="703"/>
      <c r="Y176" s="703"/>
      <c r="Z176" s="703"/>
      <c r="AA176" s="703"/>
      <c r="AB176" s="703"/>
      <c r="AC176" s="703"/>
      <c r="AD176" s="703"/>
      <c r="AE176" s="703"/>
      <c r="AF176" s="703"/>
      <c r="AG176" s="703"/>
      <c r="AH176" s="703"/>
      <c r="AI176" s="703"/>
      <c r="AJ176" s="703"/>
      <c r="AK176" s="18"/>
      <c r="AL176" s="18"/>
      <c r="AM176" s="18"/>
      <c r="AN176" s="18"/>
      <c r="AO176" s="18"/>
    </row>
    <row r="177" spans="1:59">
      <c r="B177" s="9">
        <v>3</v>
      </c>
      <c r="C177" s="439" t="s">
        <v>1510</v>
      </c>
      <c r="D177" s="444"/>
      <c r="E177" s="287" t="s">
        <v>400</v>
      </c>
      <c r="F177" s="972" t="str">
        <f t="shared" si="131"/>
        <v>NEN 7120 [MJ]</v>
      </c>
      <c r="G177" s="972" t="s">
        <v>491</v>
      </c>
      <c r="H177" s="1135" t="s">
        <v>1499</v>
      </c>
      <c r="I177" s="1135"/>
      <c r="J177" s="288"/>
      <c r="K177" s="1145"/>
      <c r="L177" s="14"/>
      <c r="M177" s="703"/>
      <c r="N177" s="703"/>
      <c r="O177" s="703"/>
      <c r="P177" s="703"/>
      <c r="Q177" s="703"/>
      <c r="R177" s="703"/>
      <c r="S177" s="703"/>
      <c r="T177" s="703"/>
      <c r="U177" s="703"/>
      <c r="V177" s="703"/>
      <c r="W177" s="703"/>
      <c r="X177" s="703"/>
      <c r="Y177" s="703"/>
      <c r="Z177" s="703"/>
      <c r="AA177" s="703"/>
      <c r="AB177" s="703"/>
      <c r="AC177" s="703"/>
      <c r="AD177" s="703"/>
      <c r="AE177" s="703"/>
      <c r="AF177" s="703"/>
      <c r="AG177" s="703"/>
      <c r="AH177" s="703"/>
      <c r="AI177" s="703"/>
      <c r="AJ177" s="703"/>
      <c r="AK177" s="18"/>
      <c r="AL177" s="18"/>
      <c r="AM177" s="18"/>
      <c r="AN177" s="18"/>
      <c r="AO177" s="18"/>
    </row>
    <row r="178" spans="1:59">
      <c r="B178" s="9">
        <v>4</v>
      </c>
      <c r="C178" s="439" t="s">
        <v>556</v>
      </c>
      <c r="D178" s="444"/>
      <c r="E178" s="287" t="s">
        <v>401</v>
      </c>
      <c r="F178" s="973" t="str">
        <f t="shared" si="131"/>
        <v>NTA 8800 [kWh]</v>
      </c>
      <c r="G178" s="972" t="s">
        <v>556</v>
      </c>
      <c r="H178" s="1135" t="s">
        <v>1604</v>
      </c>
      <c r="I178" s="1135"/>
      <c r="J178" s="288"/>
      <c r="K178" s="1145"/>
      <c r="L178" s="14"/>
      <c r="M178" s="703"/>
      <c r="N178" s="703"/>
      <c r="O178" s="703"/>
      <c r="P178" s="703"/>
      <c r="Q178" s="703"/>
      <c r="R178" s="703"/>
      <c r="S178" s="703"/>
      <c r="T178" s="703"/>
      <c r="U178" s="703"/>
      <c r="V178" s="703"/>
      <c r="W178" s="703"/>
      <c r="X178" s="703"/>
      <c r="Y178" s="703"/>
      <c r="Z178" s="703"/>
      <c r="AA178" s="703"/>
      <c r="AB178" s="703"/>
      <c r="AC178" s="703"/>
      <c r="AD178" s="703"/>
      <c r="AE178" s="703"/>
      <c r="AF178" s="703"/>
      <c r="AG178" s="703"/>
      <c r="AH178" s="703"/>
      <c r="AI178" s="703"/>
      <c r="AJ178" s="703"/>
      <c r="AK178" s="703"/>
      <c r="AL178" s="703"/>
      <c r="AM178" s="703"/>
      <c r="AN178" s="703"/>
      <c r="AO178" s="703"/>
    </row>
    <row r="179" spans="1:59">
      <c r="B179" s="9">
        <v>5</v>
      </c>
      <c r="C179" s="439" t="s">
        <v>1511</v>
      </c>
      <c r="D179" s="444"/>
      <c r="E179" s="287" t="s">
        <v>401</v>
      </c>
      <c r="F179" s="973" t="str">
        <f t="shared" si="131"/>
        <v>NTA 8800 [kWh]</v>
      </c>
      <c r="G179" s="972" t="s">
        <v>555</v>
      </c>
      <c r="H179" s="1135" t="s">
        <v>1630</v>
      </c>
      <c r="I179" s="1135"/>
      <c r="J179" s="288"/>
      <c r="K179" s="1145"/>
      <c r="L179" s="14"/>
      <c r="M179" s="703"/>
      <c r="N179" s="703"/>
      <c r="O179" s="703"/>
      <c r="P179" s="703"/>
      <c r="Q179" s="703"/>
      <c r="R179" s="703"/>
      <c r="S179" s="703"/>
      <c r="T179" s="703"/>
      <c r="U179" s="703"/>
      <c r="V179" s="703"/>
      <c r="W179" s="703"/>
      <c r="X179" s="703"/>
      <c r="Y179" s="703"/>
      <c r="Z179" s="703"/>
      <c r="AA179" s="703"/>
      <c r="AB179" s="703"/>
      <c r="AC179" s="703"/>
      <c r="AD179" s="703"/>
      <c r="AE179" s="703"/>
      <c r="AF179" s="703"/>
      <c r="AG179" s="703"/>
      <c r="AH179" s="703"/>
      <c r="AI179" s="703"/>
      <c r="AJ179" s="703"/>
      <c r="AK179" s="703"/>
      <c r="AL179" s="703"/>
      <c r="AM179" s="703"/>
      <c r="AN179" s="703"/>
      <c r="AO179" s="703"/>
    </row>
    <row r="180" spans="1:59">
      <c r="B180" s="9">
        <v>6</v>
      </c>
      <c r="C180" s="440" t="s">
        <v>1512</v>
      </c>
      <c r="D180" s="444"/>
      <c r="E180" s="328" t="s">
        <v>401</v>
      </c>
      <c r="F180" s="974" t="str">
        <f t="shared" si="131"/>
        <v>NTA 8800 [kWh]</v>
      </c>
      <c r="G180" s="974" t="s">
        <v>555</v>
      </c>
      <c r="H180" s="1136" t="s">
        <v>1630</v>
      </c>
      <c r="I180" s="1136"/>
      <c r="J180" s="878"/>
      <c r="K180" s="1145"/>
      <c r="L180" s="14"/>
      <c r="M180" s="703"/>
      <c r="N180" s="703"/>
      <c r="O180" s="703"/>
      <c r="P180" s="703"/>
      <c r="Q180" s="703"/>
      <c r="R180" s="703"/>
      <c r="S180" s="703"/>
      <c r="T180" s="703"/>
      <c r="U180" s="703"/>
      <c r="V180" s="703"/>
      <c r="W180" s="703"/>
      <c r="X180" s="703"/>
      <c r="Y180" s="703"/>
      <c r="Z180" s="703"/>
      <c r="AA180" s="703"/>
      <c r="AB180" s="703"/>
      <c r="AC180" s="703"/>
      <c r="AD180" s="703"/>
      <c r="AE180" s="703"/>
      <c r="AF180" s="703"/>
      <c r="AG180" s="703"/>
      <c r="AH180" s="703"/>
      <c r="AI180" s="703"/>
      <c r="AJ180" s="703"/>
      <c r="AK180" s="703"/>
      <c r="AL180" s="703"/>
      <c r="AM180" s="703"/>
      <c r="AN180" s="703"/>
      <c r="AO180" s="703"/>
    </row>
    <row r="181" spans="1:59">
      <c r="B181" s="9">
        <v>7</v>
      </c>
      <c r="C181" s="440" t="s">
        <v>1463</v>
      </c>
      <c r="D181" s="444"/>
      <c r="E181" s="328" t="s">
        <v>1372</v>
      </c>
      <c r="F181" s="974" t="str">
        <f t="shared" si="131"/>
        <v>ISSO 75.3 [MJ]</v>
      </c>
      <c r="G181" s="974" t="s">
        <v>1463</v>
      </c>
      <c r="H181" s="1136" t="s">
        <v>1501</v>
      </c>
      <c r="I181" s="1136"/>
      <c r="J181" s="878"/>
      <c r="K181" s="1145"/>
      <c r="L181" s="14"/>
      <c r="M181" s="703"/>
      <c r="N181" s="703"/>
      <c r="O181" s="703"/>
      <c r="P181" s="703"/>
      <c r="Q181" s="703"/>
      <c r="R181" s="703"/>
      <c r="S181" s="703"/>
      <c r="T181" s="703"/>
      <c r="U181" s="703"/>
      <c r="V181" s="703"/>
      <c r="W181" s="703"/>
      <c r="X181" s="703"/>
      <c r="Y181" s="703"/>
      <c r="Z181" s="703"/>
      <c r="AA181" s="703"/>
      <c r="AB181" s="703"/>
      <c r="AC181" s="703"/>
      <c r="AD181" s="703"/>
      <c r="AE181" s="703"/>
      <c r="AF181" s="703"/>
      <c r="AG181" s="703"/>
      <c r="AH181" s="703"/>
      <c r="AI181" s="703"/>
      <c r="AJ181" s="703"/>
      <c r="AK181" s="703"/>
      <c r="AL181" s="703"/>
      <c r="AM181" s="703"/>
      <c r="AN181" s="703"/>
      <c r="AO181" s="703"/>
    </row>
    <row r="182" spans="1:59">
      <c r="B182" s="9">
        <v>8</v>
      </c>
      <c r="C182" s="440" t="s">
        <v>1478</v>
      </c>
      <c r="D182" s="446"/>
      <c r="E182" s="289" t="s">
        <v>1372</v>
      </c>
      <c r="F182" s="976" t="str">
        <f t="shared" si="131"/>
        <v>ISSO 75.3 [MJ]</v>
      </c>
      <c r="G182" s="975" t="s">
        <v>1478</v>
      </c>
      <c r="H182" s="1137" t="s">
        <v>1542</v>
      </c>
      <c r="I182" s="1137"/>
      <c r="J182" s="879"/>
      <c r="K182" s="1146"/>
      <c r="L182" s="14"/>
      <c r="M182" s="703"/>
      <c r="N182" s="703"/>
      <c r="O182" s="703"/>
      <c r="P182" s="703"/>
      <c r="Q182" s="703"/>
      <c r="R182" s="703"/>
      <c r="S182" s="703"/>
      <c r="T182" s="703"/>
      <c r="U182" s="703"/>
      <c r="V182" s="703"/>
      <c r="W182" s="703"/>
      <c r="X182" s="703"/>
      <c r="Y182" s="703"/>
      <c r="Z182" s="703"/>
      <c r="AA182" s="703"/>
      <c r="AB182" s="703"/>
      <c r="AC182" s="703"/>
      <c r="AD182" s="703"/>
      <c r="AE182" s="703"/>
      <c r="AF182" s="703"/>
      <c r="AG182" s="703"/>
      <c r="AH182" s="703"/>
      <c r="AI182" s="703"/>
      <c r="AJ182" s="703"/>
      <c r="AK182" s="703"/>
      <c r="AL182" s="703"/>
      <c r="AM182" s="703"/>
      <c r="AN182" s="703"/>
      <c r="AO182" s="703"/>
    </row>
    <row r="183" spans="1:59">
      <c r="C183" s="703"/>
      <c r="D183" s="703"/>
      <c r="E183" s="703"/>
      <c r="F183" s="703"/>
      <c r="G183" s="703"/>
      <c r="H183" s="703"/>
      <c r="I183" s="703"/>
      <c r="J183" s="703"/>
      <c r="K183" s="703"/>
      <c r="M183" s="703"/>
      <c r="N183" s="703"/>
      <c r="O183" s="703"/>
      <c r="P183" s="703"/>
      <c r="Q183" s="703"/>
      <c r="R183" s="703"/>
      <c r="S183" s="703"/>
      <c r="T183" s="703"/>
      <c r="U183" s="703"/>
      <c r="V183" s="703"/>
      <c r="W183" s="703"/>
      <c r="X183" s="703"/>
      <c r="Y183" s="703"/>
      <c r="Z183" s="703"/>
      <c r="AA183" s="703"/>
      <c r="AB183" s="703"/>
      <c r="AC183" s="703"/>
      <c r="AD183" s="703"/>
      <c r="AE183" s="705"/>
      <c r="AF183" s="705"/>
      <c r="AG183" s="705"/>
      <c r="AH183" s="705"/>
      <c r="AI183" s="705"/>
      <c r="AJ183" s="703"/>
      <c r="AK183" s="705"/>
      <c r="AL183" s="705"/>
      <c r="AM183" s="705"/>
      <c r="AN183" s="705"/>
      <c r="AO183" s="705"/>
    </row>
    <row r="184" spans="1:59" s="6" customFormat="1">
      <c r="A184" s="19"/>
      <c r="B184" s="88">
        <f ca="1">MAX($B$1:OFFSET(B184,-1,0))+1</f>
        <v>17</v>
      </c>
      <c r="C184" s="122" t="s">
        <v>1602</v>
      </c>
      <c r="D184" s="122"/>
      <c r="E184" s="155"/>
      <c r="F184" s="14"/>
      <c r="G184" s="14"/>
      <c r="H184" s="14"/>
      <c r="I184" s="14"/>
      <c r="J184" s="14"/>
      <c r="K184" s="14"/>
      <c r="L184" s="14"/>
      <c r="M184" s="14"/>
      <c r="N184" s="14" t="s">
        <v>1629</v>
      </c>
      <c r="O184" s="14"/>
      <c r="P184" s="14"/>
      <c r="Q184" s="14"/>
      <c r="R184" s="14"/>
      <c r="S184" s="14"/>
      <c r="T184" s="14"/>
      <c r="U184" s="14"/>
      <c r="V184" s="14"/>
      <c r="W184" s="14"/>
      <c r="X184" s="14"/>
      <c r="Y184" s="14"/>
      <c r="Z184" s="14"/>
      <c r="AA184" s="703"/>
      <c r="AB184" s="703"/>
      <c r="AC184" s="705"/>
      <c r="AD184" s="705"/>
      <c r="AE184" s="703"/>
      <c r="AF184" s="703"/>
      <c r="AG184" s="703"/>
      <c r="AH184" s="703"/>
      <c r="AI184" s="703"/>
      <c r="AJ184" s="8"/>
      <c r="AK184" s="8"/>
      <c r="AL184" s="8"/>
      <c r="AM184" s="8"/>
      <c r="AN184" s="8"/>
      <c r="AO184" s="8"/>
      <c r="AP184" s="2"/>
      <c r="AQ184" s="2"/>
      <c r="AR184" s="2"/>
      <c r="AS184" s="2"/>
      <c r="AT184" s="2"/>
      <c r="AU184" s="2"/>
      <c r="AV184" s="2"/>
      <c r="AW184" s="2"/>
      <c r="AX184" s="2"/>
      <c r="AY184" s="2"/>
      <c r="AZ184" s="2"/>
      <c r="BA184" s="2"/>
      <c r="BB184" s="2"/>
      <c r="BC184" s="2"/>
      <c r="BD184" s="2"/>
      <c r="BE184" s="2"/>
      <c r="BF184" s="2"/>
      <c r="BG184" s="2"/>
    </row>
    <row r="185" spans="1:59">
      <c r="B185" s="21"/>
      <c r="C185" s="296" t="s">
        <v>458</v>
      </c>
      <c r="D185" s="297"/>
      <c r="E185" s="1010" t="str">
        <f>_xlfn.CONCAT(E$16," | PEF")</f>
        <v>NEN 7120 | PEF</v>
      </c>
      <c r="F185" s="1010" t="str">
        <f>_xlfn.CONCAT(F$16," | PEF")</f>
        <v>NTA 8800 | PEF</v>
      </c>
      <c r="G185" s="1010" t="str">
        <f>_xlfn.CONCAT(G$16," | PEF")</f>
        <v>ISSO 75.3 | PEF</v>
      </c>
      <c r="H185" s="1010" t="str">
        <f>_xlfn.CONCAT(E$16," | eenh. prim")</f>
        <v>NEN 7120 | eenh. prim</v>
      </c>
      <c r="I185" s="1010" t="str">
        <f>_xlfn.CONCAT(F$16," | eenh. prim")</f>
        <v>NTA 8800 | eenh. prim</v>
      </c>
      <c r="J185" s="1010" t="str">
        <f>_xlfn.CONCAT(G$16," | eenh. prim")</f>
        <v>ISSO 75.3 | eenh. prim</v>
      </c>
      <c r="K185" s="1147"/>
      <c r="L185" s="411"/>
      <c r="M185" s="411"/>
      <c r="N185" s="1010" t="s">
        <v>1628</v>
      </c>
      <c r="O185" s="1010"/>
      <c r="P185" s="1010"/>
      <c r="Q185" s="1010"/>
      <c r="R185" s="1010"/>
      <c r="S185" s="1010"/>
      <c r="T185" s="710"/>
      <c r="U185" s="710"/>
      <c r="V185" s="710"/>
      <c r="W185" s="298"/>
      <c r="X185" s="298"/>
      <c r="Y185" s="298"/>
      <c r="Z185" s="299"/>
      <c r="AA185" s="703"/>
      <c r="AB185" s="703"/>
      <c r="AC185" s="703"/>
      <c r="AD185" s="229"/>
      <c r="AE185" s="705"/>
      <c r="AF185" s="705"/>
      <c r="AG185" s="705"/>
      <c r="AH185" s="705"/>
      <c r="AI185" s="705"/>
      <c r="AJ185" s="703"/>
      <c r="AK185" s="703"/>
      <c r="AL185" s="703"/>
      <c r="AM185" s="703"/>
      <c r="AN185" s="703"/>
      <c r="AO185" s="703"/>
    </row>
    <row r="186" spans="1:59">
      <c r="B186" s="21"/>
      <c r="C186" s="790" t="s">
        <v>463</v>
      </c>
      <c r="D186" s="67"/>
      <c r="E186" s="1011">
        <v>1</v>
      </c>
      <c r="F186" s="1011">
        <v>1</v>
      </c>
      <c r="G186" s="1011">
        <v>1</v>
      </c>
      <c r="H186" s="1011" t="s">
        <v>405</v>
      </c>
      <c r="I186" s="1011" t="s">
        <v>406</v>
      </c>
      <c r="J186" s="1011" t="s">
        <v>405</v>
      </c>
      <c r="K186" s="768"/>
      <c r="M186" s="229"/>
      <c r="N186" s="1019">
        <v>0</v>
      </c>
      <c r="O186" s="1019"/>
      <c r="P186" s="1019"/>
      <c r="Q186" s="1019"/>
      <c r="R186" s="1019"/>
      <c r="S186" s="1019"/>
      <c r="T186" s="711"/>
      <c r="U186" s="711"/>
      <c r="V186" s="711"/>
      <c r="W186" s="294"/>
      <c r="X186" s="294"/>
      <c r="Y186" s="294"/>
      <c r="Z186" s="295"/>
      <c r="AA186" s="703"/>
      <c r="AB186" s="703"/>
      <c r="AC186" s="703"/>
      <c r="AD186" s="229"/>
      <c r="AE186" s="703"/>
      <c r="AF186" s="703"/>
      <c r="AG186" s="703"/>
      <c r="AH186" s="703"/>
      <c r="AI186" s="703"/>
      <c r="AJ186" s="703"/>
      <c r="AK186" s="703"/>
      <c r="AL186" s="703"/>
      <c r="AM186" s="703"/>
      <c r="AN186" s="703"/>
      <c r="AO186" s="703"/>
    </row>
    <row r="187" spans="1:59">
      <c r="B187" s="21"/>
      <c r="C187" s="292" t="s">
        <v>465</v>
      </c>
      <c r="D187" s="67"/>
      <c r="E187" s="1012">
        <v>2.56</v>
      </c>
      <c r="F187" s="1012">
        <v>1.45</v>
      </c>
      <c r="G187" s="1012">
        <f>1/0.39</f>
        <v>2.5641025641025639</v>
      </c>
      <c r="H187" s="1012" t="s">
        <v>405</v>
      </c>
      <c r="I187" s="1012" t="s">
        <v>406</v>
      </c>
      <c r="J187" s="1012" t="s">
        <v>405</v>
      </c>
      <c r="K187" s="768"/>
      <c r="M187" s="229"/>
      <c r="N187" s="94">
        <v>0</v>
      </c>
      <c r="O187" s="94"/>
      <c r="P187" s="94"/>
      <c r="Q187" s="94"/>
      <c r="R187" s="94"/>
      <c r="S187" s="94"/>
      <c r="T187" s="711"/>
      <c r="U187" s="711"/>
      <c r="V187" s="711"/>
      <c r="W187" s="288"/>
      <c r="X187" s="288"/>
      <c r="Y187" s="288"/>
      <c r="Z187" s="291"/>
      <c r="AA187" s="703"/>
      <c r="AB187" s="703"/>
      <c r="AC187" s="703"/>
      <c r="AD187" s="229"/>
      <c r="AE187" s="705"/>
      <c r="AF187" s="705"/>
      <c r="AG187" s="705"/>
      <c r="AH187" s="705"/>
      <c r="AI187" s="705"/>
      <c r="AJ187" s="703"/>
      <c r="AK187" s="703"/>
      <c r="AL187" s="703"/>
      <c r="AM187" s="703"/>
      <c r="AN187" s="703"/>
      <c r="AO187" s="703"/>
      <c r="AP187" s="703"/>
      <c r="AQ187" s="703"/>
      <c r="AR187" s="703"/>
      <c r="AS187" s="703"/>
      <c r="AT187" s="703"/>
      <c r="AU187" s="703"/>
      <c r="AV187" s="703"/>
      <c r="AW187" s="703"/>
      <c r="AX187" s="703"/>
      <c r="AY187" s="703"/>
      <c r="AZ187" s="703"/>
      <c r="BA187" s="703"/>
    </row>
    <row r="188" spans="1:59">
      <c r="B188" s="21"/>
      <c r="C188" s="292" t="s">
        <v>466</v>
      </c>
      <c r="D188" s="67"/>
      <c r="E188" s="1012">
        <v>2.56</v>
      </c>
      <c r="F188" s="1012">
        <v>1.45</v>
      </c>
      <c r="G188" s="1012">
        <f>1/0.39</f>
        <v>2.5641025641025639</v>
      </c>
      <c r="H188" s="1012" t="s">
        <v>405</v>
      </c>
      <c r="I188" s="1012" t="s">
        <v>406</v>
      </c>
      <c r="J188" s="1012" t="s">
        <v>405</v>
      </c>
      <c r="K188" s="768"/>
      <c r="M188" s="229"/>
      <c r="N188" s="94">
        <v>0</v>
      </c>
      <c r="O188" s="94"/>
      <c r="P188" s="94"/>
      <c r="Q188" s="94"/>
      <c r="R188" s="94"/>
      <c r="S188" s="94"/>
      <c r="T188" s="711"/>
      <c r="U188" s="711"/>
      <c r="V188" s="711"/>
      <c r="W188" s="288"/>
      <c r="X188" s="288"/>
      <c r="Y188" s="288"/>
      <c r="Z188" s="291"/>
      <c r="AA188" s="703"/>
      <c r="AB188" s="703"/>
      <c r="AC188" s="703"/>
      <c r="AD188" s="229"/>
      <c r="AE188" s="703"/>
      <c r="AF188" s="703"/>
      <c r="AG188" s="703"/>
      <c r="AH188" s="703"/>
      <c r="AI188" s="703"/>
      <c r="AJ188" s="703"/>
      <c r="AK188" s="703"/>
      <c r="AL188" s="703"/>
      <c r="AM188" s="703"/>
      <c r="AN188" s="703"/>
      <c r="AO188" s="703"/>
      <c r="AP188" s="703"/>
      <c r="AQ188" s="703"/>
      <c r="AR188" s="703"/>
      <c r="AS188" s="703"/>
      <c r="AT188" s="703"/>
      <c r="AU188" s="703"/>
      <c r="AV188" s="703"/>
      <c r="AW188" s="703"/>
      <c r="AX188" s="703"/>
      <c r="AY188" s="703"/>
      <c r="AZ188" s="703"/>
      <c r="BA188" s="703"/>
    </row>
    <row r="189" spans="1:59">
      <c r="B189" s="21"/>
      <c r="C189" s="292" t="s">
        <v>1538</v>
      </c>
      <c r="D189" s="67"/>
      <c r="E189" s="1012">
        <v>2</v>
      </c>
      <c r="F189" s="1012">
        <v>1.45</v>
      </c>
      <c r="G189" s="1012">
        <f>1/0.5</f>
        <v>2</v>
      </c>
      <c r="H189" s="1012" t="s">
        <v>405</v>
      </c>
      <c r="I189" s="1012" t="s">
        <v>406</v>
      </c>
      <c r="J189" s="1012" t="s">
        <v>405</v>
      </c>
      <c r="K189" s="768"/>
      <c r="M189" s="229"/>
      <c r="N189" s="94">
        <v>0</v>
      </c>
      <c r="O189" s="94"/>
      <c r="P189" s="94"/>
      <c r="Q189" s="94"/>
      <c r="R189" s="94"/>
      <c r="S189" s="94"/>
      <c r="T189" s="711"/>
      <c r="U189" s="711"/>
      <c r="V189" s="711"/>
      <c r="W189" s="288"/>
      <c r="X189" s="288"/>
      <c r="Y189" s="288"/>
      <c r="Z189" s="291"/>
      <c r="AA189" s="703"/>
      <c r="AB189" s="703"/>
      <c r="AC189" s="703"/>
      <c r="AD189" s="229"/>
      <c r="AE189" s="705"/>
      <c r="AF189" s="705"/>
      <c r="AG189" s="705"/>
      <c r="AH189" s="705"/>
      <c r="AI189" s="705"/>
      <c r="AJ189" s="703"/>
      <c r="AK189" s="703"/>
      <c r="AL189" s="703"/>
      <c r="AM189" s="703"/>
      <c r="AN189" s="703"/>
      <c r="AO189" s="703"/>
      <c r="AP189" s="703"/>
      <c r="AQ189" s="703"/>
      <c r="AR189" s="703"/>
      <c r="AS189" s="703"/>
      <c r="AT189" s="703"/>
      <c r="AU189" s="703"/>
      <c r="AV189" s="703"/>
      <c r="AW189" s="703"/>
      <c r="AX189" s="703"/>
      <c r="AY189" s="703"/>
      <c r="AZ189" s="703"/>
      <c r="BA189" s="703"/>
    </row>
    <row r="190" spans="1:59">
      <c r="B190" s="21"/>
      <c r="C190" s="327" t="s">
        <v>1539</v>
      </c>
      <c r="D190" s="67"/>
      <c r="E190" s="1013">
        <f t="shared" ref="E190" si="132">1/1.1</f>
        <v>0.90909090909090906</v>
      </c>
      <c r="F190" s="1013">
        <f>1/1.1</f>
        <v>0.90909090909090906</v>
      </c>
      <c r="G190" s="1013">
        <f t="shared" ref="G190:G191" si="133">1/1.1</f>
        <v>0.90909090909090906</v>
      </c>
      <c r="H190" s="1013" t="s">
        <v>405</v>
      </c>
      <c r="I190" s="1013" t="s">
        <v>406</v>
      </c>
      <c r="J190" s="1013" t="s">
        <v>405</v>
      </c>
      <c r="K190" s="768"/>
      <c r="M190" s="229"/>
      <c r="N190" s="1017">
        <v>1</v>
      </c>
      <c r="O190" s="1017"/>
      <c r="P190" s="1017"/>
      <c r="Q190" s="1017"/>
      <c r="R190" s="1017"/>
      <c r="S190" s="1017"/>
      <c r="T190" s="711"/>
      <c r="U190" s="711"/>
      <c r="V190" s="711"/>
      <c r="W190" s="329"/>
      <c r="X190" s="329"/>
      <c r="Y190" s="413"/>
      <c r="Z190" s="414"/>
      <c r="AA190" s="703"/>
      <c r="AB190" s="703"/>
      <c r="AC190" s="703"/>
      <c r="AD190" s="229"/>
      <c r="AE190" s="703"/>
      <c r="AF190" s="703"/>
      <c r="AG190" s="703"/>
      <c r="AH190" s="703"/>
      <c r="AI190" s="703"/>
      <c r="AJ190" s="703"/>
      <c r="AK190" s="703"/>
      <c r="AL190" s="703"/>
      <c r="AM190" s="703"/>
      <c r="AN190" s="703"/>
      <c r="AO190" s="703"/>
      <c r="AP190" s="703"/>
      <c r="AQ190" s="703"/>
      <c r="AR190" s="703"/>
      <c r="AS190" s="703"/>
      <c r="AT190" s="703"/>
      <c r="AU190" s="703"/>
      <c r="AV190" s="703"/>
      <c r="AW190" s="703"/>
      <c r="AX190" s="703"/>
      <c r="AY190" s="703"/>
      <c r="AZ190" s="703"/>
      <c r="BA190" s="703"/>
    </row>
    <row r="191" spans="1:59">
      <c r="B191" s="21"/>
      <c r="C191" s="327" t="s">
        <v>1599</v>
      </c>
      <c r="D191" s="67"/>
      <c r="E191" s="1013">
        <v>0.83299999999999996</v>
      </c>
      <c r="F191" s="1013">
        <f>1/30</f>
        <v>3.3333333333333333E-2</v>
      </c>
      <c r="G191" s="1013">
        <f t="shared" si="133"/>
        <v>0.90909090909090906</v>
      </c>
      <c r="H191" s="1013" t="s">
        <v>405</v>
      </c>
      <c r="I191" s="1013" t="s">
        <v>406</v>
      </c>
      <c r="J191" s="1013" t="s">
        <v>405</v>
      </c>
      <c r="K191" s="768"/>
      <c r="M191" s="229"/>
      <c r="N191" s="1017">
        <v>1</v>
      </c>
      <c r="O191" s="1017"/>
      <c r="P191" s="1017"/>
      <c r="Q191" s="1017"/>
      <c r="R191" s="1017"/>
      <c r="S191" s="1017"/>
      <c r="T191" s="711"/>
      <c r="U191" s="711"/>
      <c r="V191" s="711"/>
      <c r="W191" s="329"/>
      <c r="X191" s="329"/>
      <c r="Y191" s="413"/>
      <c r="Z191" s="414"/>
      <c r="AA191" s="703"/>
      <c r="AB191" s="703"/>
      <c r="AC191" s="703"/>
      <c r="AD191" s="229"/>
      <c r="AE191" s="705"/>
      <c r="AF191" s="705"/>
      <c r="AG191" s="705"/>
      <c r="AH191" s="705"/>
      <c r="AI191" s="705"/>
      <c r="AJ191" s="703"/>
      <c r="AK191" s="703"/>
      <c r="AL191" s="703"/>
      <c r="AM191" s="703"/>
      <c r="AN191" s="703"/>
      <c r="AO191" s="703"/>
      <c r="AP191" s="703"/>
      <c r="AQ191" s="703"/>
      <c r="AR191" s="703"/>
      <c r="AS191" s="703"/>
      <c r="AT191" s="703"/>
      <c r="AU191" s="703"/>
      <c r="AV191" s="703"/>
      <c r="AW191" s="703"/>
      <c r="AX191" s="703"/>
      <c r="AY191" s="703"/>
      <c r="AZ191" s="703"/>
      <c r="BA191" s="703"/>
    </row>
    <row r="192" spans="1:59">
      <c r="B192" s="21"/>
      <c r="C192" s="292" t="s">
        <v>467</v>
      </c>
      <c r="D192" s="67"/>
      <c r="E192" s="1012">
        <v>1</v>
      </c>
      <c r="F192" s="1012">
        <v>1</v>
      </c>
      <c r="G192" s="1012">
        <v>1</v>
      </c>
      <c r="H192" s="1012" t="s">
        <v>405</v>
      </c>
      <c r="I192" s="1012" t="s">
        <v>406</v>
      </c>
      <c r="J192" s="1012" t="s">
        <v>405</v>
      </c>
      <c r="K192" s="768"/>
      <c r="M192" s="229"/>
      <c r="N192" s="94">
        <v>1</v>
      </c>
      <c r="O192" s="94"/>
      <c r="P192" s="94"/>
      <c r="Q192" s="94"/>
      <c r="R192" s="94"/>
      <c r="S192" s="94"/>
      <c r="T192" s="711"/>
      <c r="U192" s="711"/>
      <c r="V192" s="711"/>
      <c r="W192" s="417"/>
      <c r="X192" s="417"/>
      <c r="Y192" s="288"/>
      <c r="Z192" s="291"/>
      <c r="AA192" s="703"/>
      <c r="AB192" s="703"/>
      <c r="AC192" s="703"/>
      <c r="AD192" s="229"/>
      <c r="AE192" s="703"/>
      <c r="AF192" s="703"/>
      <c r="AG192" s="703"/>
      <c r="AH192" s="703"/>
      <c r="AI192" s="703"/>
      <c r="AJ192" s="703"/>
      <c r="AK192" s="703"/>
      <c r="AL192" s="703"/>
      <c r="AM192" s="703"/>
      <c r="AN192" s="703"/>
      <c r="AO192" s="703"/>
      <c r="AP192" s="703"/>
      <c r="AQ192" s="703"/>
      <c r="AR192" s="703"/>
      <c r="AS192" s="703"/>
      <c r="AT192" s="703"/>
      <c r="AU192" s="703"/>
      <c r="AV192" s="703"/>
      <c r="AW192" s="703"/>
      <c r="AX192" s="703"/>
      <c r="AY192" s="703"/>
      <c r="AZ192" s="703"/>
      <c r="BA192" s="703"/>
    </row>
    <row r="193" spans="1:59">
      <c r="B193" s="21"/>
      <c r="C193" s="293" t="s">
        <v>1391</v>
      </c>
      <c r="D193" s="446"/>
      <c r="E193" s="1014" t="s">
        <v>132</v>
      </c>
      <c r="F193" s="1014" t="s">
        <v>132</v>
      </c>
      <c r="G193" s="1014" t="s">
        <v>132</v>
      </c>
      <c r="H193" s="1014" t="s">
        <v>405</v>
      </c>
      <c r="I193" s="1014" t="s">
        <v>406</v>
      </c>
      <c r="J193" s="1014" t="s">
        <v>405</v>
      </c>
      <c r="K193" s="1148"/>
      <c r="L193" s="412"/>
      <c r="M193" s="412"/>
      <c r="N193" s="1018" t="s">
        <v>132</v>
      </c>
      <c r="O193" s="1018"/>
      <c r="P193" s="1018"/>
      <c r="Q193" s="1018"/>
      <c r="R193" s="1018"/>
      <c r="S193" s="1018"/>
      <c r="T193" s="712"/>
      <c r="U193" s="712"/>
      <c r="V193" s="712"/>
      <c r="W193" s="290"/>
      <c r="X193" s="290"/>
      <c r="Y193" s="415"/>
      <c r="Z193" s="416"/>
      <c r="AA193" s="703"/>
      <c r="AB193" s="703"/>
      <c r="AC193" s="703"/>
      <c r="AD193" s="229"/>
      <c r="AE193" s="705"/>
      <c r="AF193" s="705"/>
      <c r="AG193" s="705"/>
      <c r="AH193" s="705"/>
      <c r="AI193" s="705"/>
      <c r="AJ193" s="703"/>
      <c r="AK193" s="703"/>
      <c r="AL193" s="703"/>
      <c r="AM193" s="703"/>
      <c r="AN193" s="703"/>
      <c r="AO193" s="703"/>
      <c r="AP193" s="703"/>
      <c r="AQ193" s="703"/>
      <c r="AR193" s="703"/>
      <c r="AS193" s="703"/>
      <c r="AT193" s="703"/>
      <c r="AU193" s="703"/>
      <c r="AV193" s="703"/>
      <c r="AW193" s="703"/>
      <c r="AX193" s="703"/>
      <c r="AY193" s="703"/>
      <c r="AZ193" s="703"/>
      <c r="BA193" s="703"/>
    </row>
    <row r="194" spans="1:59" s="6" customFormat="1">
      <c r="A194" s="18"/>
      <c r="B194" s="21"/>
      <c r="C194" s="18"/>
      <c r="D194" s="18"/>
      <c r="E194" s="18"/>
      <c r="F194" s="18"/>
      <c r="G194" s="18"/>
      <c r="H194" s="18"/>
      <c r="I194" s="18"/>
      <c r="J194" s="18"/>
      <c r="K194" s="18"/>
      <c r="L194" s="229"/>
      <c r="M194" s="703"/>
      <c r="N194" s="703"/>
      <c r="O194" s="703"/>
      <c r="P194" s="703"/>
      <c r="Q194" s="703"/>
      <c r="R194" s="703"/>
      <c r="S194" s="703"/>
      <c r="T194" s="703"/>
      <c r="U194" s="703"/>
      <c r="V194" s="703"/>
      <c r="W194" s="703"/>
      <c r="X194" s="703"/>
      <c r="Y194" s="703"/>
      <c r="Z194" s="703"/>
      <c r="AA194" s="703"/>
      <c r="AB194" s="703"/>
      <c r="AC194" s="703"/>
      <c r="AD194" s="703"/>
      <c r="AE194" s="703"/>
      <c r="AF194" s="703"/>
      <c r="AG194" s="703"/>
      <c r="AH194" s="703"/>
      <c r="AI194" s="703"/>
      <c r="AJ194" s="703"/>
      <c r="AK194" s="705"/>
      <c r="AL194" s="705"/>
      <c r="AM194" s="705"/>
      <c r="AN194" s="705"/>
      <c r="AO194" s="705"/>
      <c r="AP194" s="18"/>
      <c r="AQ194" s="703"/>
      <c r="AR194" s="703"/>
      <c r="AS194" s="703"/>
      <c r="AT194" s="703"/>
      <c r="AU194" s="703"/>
      <c r="AV194" s="703"/>
      <c r="AW194" s="703"/>
      <c r="AX194" s="703"/>
      <c r="AY194" s="703"/>
      <c r="AZ194" s="703"/>
      <c r="BA194" s="703"/>
      <c r="BB194" s="2"/>
      <c r="BC194" s="2"/>
      <c r="BD194" s="2"/>
      <c r="BE194" s="2"/>
      <c r="BF194" s="2"/>
      <c r="BG194" s="2"/>
    </row>
    <row r="195" spans="1:59" s="6" customFormat="1">
      <c r="A195" s="19"/>
      <c r="B195" s="88">
        <f ca="1">MAX($B$1:OFFSET(B195,-1,0))+1</f>
        <v>18</v>
      </c>
      <c r="C195" s="122" t="s">
        <v>1601</v>
      </c>
      <c r="D195" s="122"/>
      <c r="E195" s="155"/>
      <c r="F195" s="14"/>
      <c r="G195" s="14"/>
      <c r="H195" s="14"/>
      <c r="I195" s="14"/>
      <c r="J195" s="14"/>
      <c r="K195" s="14"/>
      <c r="L195" s="14"/>
      <c r="M195" s="14"/>
      <c r="N195" s="155"/>
      <c r="O195" s="14"/>
      <c r="P195" s="14"/>
      <c r="Q195" s="14"/>
      <c r="R195" s="14"/>
      <c r="S195" s="14"/>
      <c r="T195" s="14"/>
      <c r="U195" s="14"/>
      <c r="V195" s="14"/>
      <c r="W195" s="14"/>
      <c r="X195" s="14"/>
      <c r="Y195" s="14"/>
      <c r="Z195" s="14"/>
      <c r="AA195" s="703"/>
      <c r="AB195" s="703"/>
      <c r="AC195" s="705"/>
      <c r="AD195" s="705"/>
      <c r="AE195" s="705"/>
      <c r="AF195" s="705"/>
      <c r="AG195" s="705"/>
      <c r="AH195" s="705"/>
      <c r="AI195" s="705"/>
      <c r="AJ195" s="8"/>
      <c r="AK195" s="8"/>
      <c r="AL195" s="8"/>
      <c r="AM195" s="8"/>
      <c r="AN195" s="8"/>
      <c r="AO195" s="8"/>
      <c r="AP195" s="705"/>
      <c r="AQ195" s="19"/>
      <c r="AR195" s="705"/>
      <c r="AS195" s="705"/>
      <c r="AT195" s="705"/>
      <c r="AU195" s="705"/>
      <c r="AV195" s="705"/>
      <c r="AW195" s="705"/>
      <c r="AX195" s="703"/>
      <c r="AY195" s="703"/>
      <c r="AZ195" s="703"/>
      <c r="BA195" s="703"/>
      <c r="BB195" s="2"/>
      <c r="BC195" s="2"/>
      <c r="BD195" s="2"/>
      <c r="BE195" s="2"/>
      <c r="BF195" s="2"/>
      <c r="BG195" s="2"/>
    </row>
    <row r="196" spans="1:59">
      <c r="B196" s="21"/>
      <c r="C196" s="296" t="s">
        <v>458</v>
      </c>
      <c r="D196" s="297"/>
      <c r="E196" s="1010" t="s">
        <v>497</v>
      </c>
      <c r="F196" s="1010" t="s">
        <v>1509</v>
      </c>
      <c r="G196" s="1010" t="s">
        <v>1510</v>
      </c>
      <c r="H196" s="1010" t="s">
        <v>556</v>
      </c>
      <c r="I196" s="1010" t="s">
        <v>1511</v>
      </c>
      <c r="J196" s="1010" t="s">
        <v>1512</v>
      </c>
      <c r="K196" s="411"/>
      <c r="L196" s="411"/>
      <c r="M196" s="411"/>
      <c r="N196" s="298" t="s">
        <v>1463</v>
      </c>
      <c r="O196" s="298" t="s">
        <v>1478</v>
      </c>
      <c r="P196" s="298"/>
      <c r="Q196" s="298"/>
      <c r="R196" s="298"/>
      <c r="S196" s="298"/>
      <c r="T196" s="710"/>
      <c r="U196" s="710"/>
      <c r="V196" s="710"/>
      <c r="W196" s="298"/>
      <c r="X196" s="298"/>
      <c r="Y196" s="298"/>
      <c r="Z196" s="299"/>
      <c r="AA196" s="703"/>
      <c r="AB196" s="703"/>
      <c r="AC196" s="703"/>
      <c r="AD196" s="229"/>
      <c r="AE196" s="703"/>
      <c r="AF196" s="703"/>
      <c r="AG196" s="703"/>
      <c r="AH196" s="703"/>
      <c r="AI196" s="703"/>
      <c r="AJ196" s="703"/>
      <c r="AK196" s="703"/>
      <c r="AL196" s="703"/>
      <c r="AM196" s="703"/>
      <c r="AN196" s="703"/>
      <c r="AO196" s="703"/>
      <c r="AP196" s="703"/>
      <c r="AQ196" s="705"/>
      <c r="AR196" s="705"/>
      <c r="AS196" s="705"/>
      <c r="AT196" s="705"/>
      <c r="AU196" s="705"/>
      <c r="AV196" s="705"/>
      <c r="AW196" s="705"/>
      <c r="AX196" s="705"/>
      <c r="AY196" s="705"/>
      <c r="AZ196" s="705"/>
      <c r="BA196" s="705"/>
      <c r="BB196" s="6"/>
      <c r="BC196" s="6"/>
      <c r="BD196" s="6"/>
      <c r="BE196" s="6"/>
      <c r="BF196" s="6"/>
      <c r="BG196" s="6"/>
    </row>
    <row r="197" spans="1:59" s="703" customFormat="1">
      <c r="A197" s="18"/>
      <c r="B197" s="21"/>
      <c r="C197" s="990" t="str">
        <f t="shared" ref="C197:C204" si="134">C186</f>
        <v>aardgas</v>
      </c>
      <c r="D197" s="67"/>
      <c r="E197" s="1011" t="s">
        <v>464</v>
      </c>
      <c r="F197" s="1011" t="s">
        <v>499</v>
      </c>
      <c r="G197" s="1011" t="s">
        <v>499</v>
      </c>
      <c r="H197" s="1011" t="s">
        <v>406</v>
      </c>
      <c r="I197" s="1011" t="s">
        <v>499</v>
      </c>
      <c r="J197" s="1011" t="s">
        <v>499</v>
      </c>
      <c r="K197" s="229"/>
      <c r="L197" s="229"/>
      <c r="M197" s="229"/>
      <c r="N197" s="924" t="s">
        <v>464</v>
      </c>
      <c r="O197" s="924" t="s">
        <v>464</v>
      </c>
      <c r="P197" s="924"/>
      <c r="Q197" s="924"/>
      <c r="R197" s="924"/>
      <c r="S197" s="924"/>
      <c r="T197" s="711"/>
      <c r="U197" s="711"/>
      <c r="V197" s="711"/>
      <c r="W197" s="924"/>
      <c r="X197" s="924"/>
      <c r="Y197" s="924"/>
      <c r="Z197" s="295"/>
      <c r="AD197" s="229"/>
      <c r="AE197" s="705"/>
      <c r="AF197" s="705"/>
      <c r="AG197" s="705"/>
      <c r="AH197" s="705"/>
      <c r="AI197" s="705"/>
      <c r="BB197" s="2"/>
      <c r="BC197" s="2"/>
      <c r="BD197" s="2"/>
      <c r="BE197" s="2"/>
      <c r="BF197" s="2"/>
      <c r="BG197" s="2"/>
    </row>
    <row r="198" spans="1:59">
      <c r="B198" s="21"/>
      <c r="C198" s="991" t="str">
        <f t="shared" si="134"/>
        <v>elektriciteit</v>
      </c>
      <c r="D198" s="67"/>
      <c r="E198" s="1012" t="s">
        <v>406</v>
      </c>
      <c r="F198" s="1012" t="s">
        <v>406</v>
      </c>
      <c r="G198" s="1012" t="s">
        <v>406</v>
      </c>
      <c r="H198" s="1012" t="s">
        <v>406</v>
      </c>
      <c r="I198" s="1012" t="s">
        <v>406</v>
      </c>
      <c r="J198" s="1012" t="s">
        <v>406</v>
      </c>
      <c r="K198" s="229"/>
      <c r="M198" s="229"/>
      <c r="N198" s="925" t="s">
        <v>406</v>
      </c>
      <c r="O198" s="925" t="s">
        <v>406</v>
      </c>
      <c r="P198" s="925"/>
      <c r="Q198" s="925"/>
      <c r="R198" s="925"/>
      <c r="S198" s="925"/>
      <c r="T198" s="711"/>
      <c r="U198" s="711"/>
      <c r="V198" s="711"/>
      <c r="W198" s="925"/>
      <c r="X198" s="925"/>
      <c r="Y198" s="925"/>
      <c r="Z198" s="291"/>
      <c r="AA198" s="703"/>
      <c r="AB198" s="703"/>
      <c r="AC198" s="703"/>
      <c r="AD198" s="229"/>
      <c r="AE198" s="703"/>
      <c r="AF198" s="703"/>
      <c r="AG198" s="703"/>
      <c r="AH198" s="703"/>
      <c r="AI198" s="703"/>
      <c r="AJ198" s="703"/>
      <c r="AK198" s="703"/>
      <c r="AL198" s="703"/>
      <c r="AM198" s="703"/>
      <c r="AN198" s="703"/>
      <c r="AO198" s="703"/>
      <c r="AP198" s="703"/>
      <c r="AQ198" s="703"/>
      <c r="AR198" s="703"/>
      <c r="AS198" s="703"/>
      <c r="AT198" s="703"/>
      <c r="AU198" s="703"/>
      <c r="AV198" s="703"/>
      <c r="AW198" s="703"/>
      <c r="AX198" s="703"/>
      <c r="AY198" s="703"/>
      <c r="AZ198" s="703"/>
      <c r="BA198" s="703"/>
    </row>
    <row r="199" spans="1:59">
      <c r="B199" s="21"/>
      <c r="C199" s="991" t="str">
        <f t="shared" si="134"/>
        <v>elektriciteit opgewekt</v>
      </c>
      <c r="D199" s="67"/>
      <c r="E199" s="1012" t="s">
        <v>406</v>
      </c>
      <c r="F199" s="1012" t="s">
        <v>406</v>
      </c>
      <c r="G199" s="1012" t="s">
        <v>406</v>
      </c>
      <c r="H199" s="1012" t="s">
        <v>406</v>
      </c>
      <c r="I199" s="1012" t="s">
        <v>406</v>
      </c>
      <c r="J199" s="1012" t="s">
        <v>406</v>
      </c>
      <c r="K199" s="229"/>
      <c r="M199" s="229"/>
      <c r="N199" s="925" t="s">
        <v>406</v>
      </c>
      <c r="O199" s="925" t="s">
        <v>406</v>
      </c>
      <c r="P199" s="925"/>
      <c r="Q199" s="925"/>
      <c r="R199" s="925"/>
      <c r="S199" s="925"/>
      <c r="T199" s="711"/>
      <c r="U199" s="711"/>
      <c r="V199" s="711"/>
      <c r="W199" s="925"/>
      <c r="X199" s="925"/>
      <c r="Y199" s="925"/>
      <c r="Z199" s="291"/>
      <c r="AA199" s="703"/>
      <c r="AB199" s="703"/>
      <c r="AC199" s="703"/>
      <c r="AD199" s="229"/>
      <c r="AE199" s="705"/>
      <c r="AF199" s="705"/>
      <c r="AG199" s="705"/>
      <c r="AH199" s="705"/>
      <c r="AI199" s="705"/>
      <c r="AJ199" s="703"/>
      <c r="AK199" s="703"/>
      <c r="AL199" s="703"/>
      <c r="AM199" s="703"/>
      <c r="AN199" s="703"/>
      <c r="AO199" s="703"/>
      <c r="AP199" s="703"/>
      <c r="AQ199" s="703"/>
      <c r="AR199" s="703"/>
      <c r="AS199" s="703"/>
      <c r="AT199" s="703"/>
      <c r="AU199" s="703"/>
      <c r="AV199" s="703"/>
      <c r="AW199" s="703"/>
      <c r="AX199" s="703"/>
      <c r="AY199" s="703"/>
      <c r="AZ199" s="703"/>
      <c r="BA199" s="703"/>
    </row>
    <row r="200" spans="1:59">
      <c r="B200" s="21"/>
      <c r="C200" s="991" t="str">
        <f t="shared" si="134"/>
        <v>elektriciteit geëxporteerd</v>
      </c>
      <c r="D200" s="67"/>
      <c r="E200" s="1012" t="s">
        <v>406</v>
      </c>
      <c r="F200" s="1012" t="s">
        <v>406</v>
      </c>
      <c r="G200" s="1012" t="s">
        <v>406</v>
      </c>
      <c r="H200" s="1012" t="s">
        <v>406</v>
      </c>
      <c r="I200" s="1012" t="s">
        <v>406</v>
      </c>
      <c r="J200" s="1012" t="s">
        <v>406</v>
      </c>
      <c r="K200" s="229"/>
      <c r="M200" s="229"/>
      <c r="N200" s="925" t="s">
        <v>406</v>
      </c>
      <c r="O200" s="925" t="s">
        <v>406</v>
      </c>
      <c r="P200" s="925"/>
      <c r="Q200" s="925"/>
      <c r="R200" s="925"/>
      <c r="S200" s="925"/>
      <c r="T200" s="711"/>
      <c r="U200" s="711"/>
      <c r="V200" s="711"/>
      <c r="W200" s="925"/>
      <c r="X200" s="925"/>
      <c r="Y200" s="925"/>
      <c r="Z200" s="291"/>
      <c r="AA200" s="703"/>
      <c r="AB200" s="703"/>
      <c r="AC200" s="703"/>
      <c r="AD200" s="229"/>
      <c r="AE200" s="703"/>
      <c r="AF200" s="703"/>
      <c r="AG200" s="703"/>
      <c r="AH200" s="703"/>
      <c r="AI200" s="703"/>
      <c r="AJ200" s="703"/>
      <c r="AK200" s="703"/>
      <c r="AL200" s="703"/>
      <c r="AM200" s="703"/>
      <c r="AN200" s="703"/>
      <c r="AO200" s="703"/>
      <c r="AP200" s="703"/>
      <c r="AQ200" s="703"/>
      <c r="AR200" s="703"/>
      <c r="AS200" s="703"/>
      <c r="AT200" s="703"/>
      <c r="AU200" s="703"/>
      <c r="AV200" s="703"/>
      <c r="AW200" s="703"/>
      <c r="AX200" s="703"/>
      <c r="AY200" s="703"/>
      <c r="AZ200" s="703"/>
      <c r="BA200" s="703"/>
    </row>
    <row r="201" spans="1:59">
      <c r="B201" s="21"/>
      <c r="C201" s="992" t="str">
        <f t="shared" si="134"/>
        <v>externe warmte</v>
      </c>
      <c r="D201" s="67"/>
      <c r="E201" s="1013" t="s">
        <v>469</v>
      </c>
      <c r="F201" s="1013" t="s">
        <v>469</v>
      </c>
      <c r="G201" s="1013" t="s">
        <v>469</v>
      </c>
      <c r="H201" s="1013" t="s">
        <v>406</v>
      </c>
      <c r="I201" s="1013" t="s">
        <v>469</v>
      </c>
      <c r="J201" s="1013" t="s">
        <v>469</v>
      </c>
      <c r="K201" s="229"/>
      <c r="M201" s="229"/>
      <c r="N201" s="926" t="s">
        <v>469</v>
      </c>
      <c r="O201" s="926" t="s">
        <v>469</v>
      </c>
      <c r="P201" s="926"/>
      <c r="Q201" s="926"/>
      <c r="R201" s="926"/>
      <c r="S201" s="926"/>
      <c r="T201" s="711"/>
      <c r="U201" s="711"/>
      <c r="V201" s="711"/>
      <c r="W201" s="926"/>
      <c r="X201" s="926"/>
      <c r="Y201" s="926"/>
      <c r="Z201" s="414"/>
      <c r="AA201" s="703"/>
      <c r="AB201" s="703"/>
      <c r="AC201" s="1100"/>
      <c r="AD201" s="1096"/>
      <c r="AE201" s="705"/>
      <c r="AF201" s="705"/>
      <c r="AG201" s="705"/>
      <c r="AH201" s="705"/>
      <c r="AI201" s="705"/>
      <c r="AJ201" s="1100"/>
      <c r="AK201" s="1100"/>
      <c r="AL201" s="1100"/>
      <c r="AM201" s="1100"/>
      <c r="AN201" s="1100"/>
      <c r="AO201" s="1100"/>
      <c r="AP201" s="1100"/>
      <c r="AQ201" s="703"/>
      <c r="AR201" s="703"/>
      <c r="AS201" s="703"/>
      <c r="AT201" s="703"/>
      <c r="AU201" s="703"/>
      <c r="AV201" s="703"/>
      <c r="AW201" s="703"/>
      <c r="AX201" s="703"/>
      <c r="AY201" s="703"/>
      <c r="AZ201" s="703"/>
      <c r="BA201" s="703"/>
    </row>
    <row r="202" spans="1:59" s="1100" customFormat="1">
      <c r="A202" s="179" t="s">
        <v>1600</v>
      </c>
      <c r="B202" s="507"/>
      <c r="C202" s="1093" t="str">
        <f t="shared" si="134"/>
        <v>externe koude</v>
      </c>
      <c r="D202" s="1094"/>
      <c r="E202" s="1095" t="s">
        <v>469</v>
      </c>
      <c r="F202" s="1095" t="s">
        <v>469</v>
      </c>
      <c r="G202" s="1095" t="s">
        <v>469</v>
      </c>
      <c r="H202" s="1095" t="s">
        <v>406</v>
      </c>
      <c r="I202" s="1095" t="s">
        <v>469</v>
      </c>
      <c r="J202" s="1095" t="s">
        <v>469</v>
      </c>
      <c r="K202" s="1096"/>
      <c r="L202" s="1096"/>
      <c r="M202" s="1096"/>
      <c r="N202" s="1097" t="s">
        <v>469</v>
      </c>
      <c r="O202" s="1097" t="s">
        <v>469</v>
      </c>
      <c r="P202" s="1097"/>
      <c r="Q202" s="1097"/>
      <c r="R202" s="1097"/>
      <c r="S202" s="1097"/>
      <c r="T202" s="1098"/>
      <c r="U202" s="1098"/>
      <c r="V202" s="1098"/>
      <c r="W202" s="1097"/>
      <c r="X202" s="1097"/>
      <c r="Y202" s="1097"/>
      <c r="Z202" s="1099"/>
      <c r="AA202" s="703"/>
      <c r="AB202" s="703"/>
      <c r="AC202" s="703"/>
      <c r="AD202" s="229"/>
      <c r="AE202" s="703"/>
      <c r="AF202" s="703"/>
      <c r="AG202" s="703"/>
      <c r="AH202" s="703"/>
      <c r="AI202" s="703"/>
      <c r="AJ202" s="703"/>
      <c r="AK202" s="703"/>
      <c r="AL202" s="703"/>
      <c r="AM202" s="703"/>
      <c r="AN202" s="703"/>
      <c r="AO202" s="703"/>
      <c r="AP202" s="703"/>
    </row>
    <row r="203" spans="1:59">
      <c r="B203" s="21"/>
      <c r="C203" s="991" t="str">
        <f t="shared" si="134"/>
        <v>hout / biomassa</v>
      </c>
      <c r="D203" s="67"/>
      <c r="E203" s="1012" t="s">
        <v>405</v>
      </c>
      <c r="F203" s="1012" t="s">
        <v>405</v>
      </c>
      <c r="G203" s="1012" t="s">
        <v>405</v>
      </c>
      <c r="H203" s="1012" t="s">
        <v>406</v>
      </c>
      <c r="I203" s="1012" t="s">
        <v>406</v>
      </c>
      <c r="J203" s="1012" t="s">
        <v>406</v>
      </c>
      <c r="K203" s="229"/>
      <c r="M203" s="229"/>
      <c r="N203" s="925" t="s">
        <v>405</v>
      </c>
      <c r="O203" s="925" t="s">
        <v>405</v>
      </c>
      <c r="P203" s="925"/>
      <c r="Q203" s="925"/>
      <c r="R203" s="925"/>
      <c r="S203" s="925"/>
      <c r="T203" s="711"/>
      <c r="U203" s="711"/>
      <c r="V203" s="711"/>
      <c r="W203" s="925"/>
      <c r="X203" s="925"/>
      <c r="Y203" s="925"/>
      <c r="Z203" s="291"/>
      <c r="AA203" s="703"/>
      <c r="AB203" s="703"/>
      <c r="AC203" s="703"/>
      <c r="AD203" s="229"/>
      <c r="AE203" s="705"/>
      <c r="AF203" s="705"/>
      <c r="AG203" s="705"/>
      <c r="AH203" s="705"/>
      <c r="AI203" s="705"/>
      <c r="AJ203" s="703"/>
      <c r="AK203" s="703"/>
      <c r="AL203" s="703"/>
      <c r="AM203" s="703"/>
      <c r="AN203" s="703"/>
      <c r="AO203" s="703"/>
      <c r="AP203" s="703"/>
      <c r="AQ203" s="703"/>
      <c r="AR203" s="703"/>
      <c r="AS203" s="703"/>
      <c r="AT203" s="703"/>
      <c r="AU203" s="703"/>
      <c r="AV203" s="703"/>
      <c r="AW203" s="703"/>
      <c r="AX203" s="703"/>
      <c r="AY203" s="703"/>
      <c r="AZ203" s="703"/>
      <c r="BA203" s="703"/>
    </row>
    <row r="204" spans="1:59">
      <c r="B204" s="21"/>
      <c r="C204" s="993" t="str">
        <f t="shared" si="134"/>
        <v>totaal</v>
      </c>
      <c r="D204" s="446"/>
      <c r="E204" s="1014" t="s">
        <v>132</v>
      </c>
      <c r="F204" s="1014" t="s">
        <v>132</v>
      </c>
      <c r="G204" s="1014" t="s">
        <v>132</v>
      </c>
      <c r="H204" s="1014" t="s">
        <v>132</v>
      </c>
      <c r="I204" s="1014" t="s">
        <v>132</v>
      </c>
      <c r="J204" s="1014" t="s">
        <v>132</v>
      </c>
      <c r="K204" s="412"/>
      <c r="L204" s="412"/>
      <c r="M204" s="412"/>
      <c r="N204" s="927" t="s">
        <v>132</v>
      </c>
      <c r="O204" s="927" t="s">
        <v>132</v>
      </c>
      <c r="P204" s="927"/>
      <c r="Q204" s="927"/>
      <c r="R204" s="927"/>
      <c r="S204" s="927"/>
      <c r="T204" s="712"/>
      <c r="U204" s="712"/>
      <c r="V204" s="712"/>
      <c r="W204" s="927"/>
      <c r="X204" s="927"/>
      <c r="Y204" s="927"/>
      <c r="Z204" s="416"/>
      <c r="AA204" s="703"/>
      <c r="AB204" s="703"/>
      <c r="AC204" s="703"/>
      <c r="AD204" s="703"/>
      <c r="AE204" s="703"/>
      <c r="AF204" s="703"/>
      <c r="AG204" s="703"/>
      <c r="AH204" s="703"/>
      <c r="AI204" s="703"/>
      <c r="AJ204" s="703"/>
      <c r="AK204" s="705"/>
      <c r="AL204" s="705"/>
      <c r="AM204" s="705"/>
      <c r="AN204" s="705"/>
      <c r="AO204" s="705"/>
      <c r="AP204" s="18"/>
      <c r="AQ204" s="703"/>
      <c r="AR204" s="703"/>
      <c r="AS204" s="703"/>
      <c r="AT204" s="703"/>
      <c r="AU204" s="703"/>
      <c r="AV204" s="703"/>
      <c r="AW204" s="703"/>
      <c r="AX204" s="703"/>
      <c r="AY204" s="703"/>
      <c r="AZ204" s="703"/>
      <c r="BA204" s="703"/>
    </row>
    <row r="205" spans="1:59" s="6" customFormat="1">
      <c r="A205" s="19"/>
      <c r="B205" s="21"/>
      <c r="C205" s="18"/>
      <c r="D205" s="18"/>
      <c r="E205" s="20"/>
      <c r="F205" s="20"/>
      <c r="G205" s="20"/>
      <c r="H205" s="20"/>
      <c r="I205" s="20"/>
      <c r="J205" s="20"/>
      <c r="K205" s="18"/>
      <c r="L205" s="229"/>
      <c r="M205" s="703"/>
      <c r="N205" s="703"/>
      <c r="O205" s="703"/>
      <c r="P205" s="703"/>
      <c r="Q205" s="703"/>
      <c r="R205" s="703"/>
      <c r="S205" s="703"/>
      <c r="T205" s="703"/>
      <c r="U205" s="703"/>
      <c r="V205" s="703"/>
      <c r="W205" s="703"/>
      <c r="X205" s="703"/>
      <c r="Y205" s="703"/>
      <c r="Z205" s="703"/>
      <c r="AA205" s="703"/>
      <c r="AB205" s="703"/>
      <c r="AC205" s="705"/>
      <c r="AD205" s="705"/>
      <c r="AE205" s="705"/>
      <c r="AF205" s="705"/>
      <c r="AG205" s="705"/>
      <c r="AH205" s="705"/>
      <c r="AI205" s="705"/>
      <c r="AJ205" s="705"/>
      <c r="AK205" s="703"/>
      <c r="AL205" s="703"/>
      <c r="AM205" s="703"/>
      <c r="AN205" s="703"/>
      <c r="AO205" s="703"/>
      <c r="AP205" s="18"/>
      <c r="AQ205" s="19"/>
      <c r="AR205" s="705"/>
      <c r="AS205" s="705"/>
      <c r="AT205" s="705"/>
      <c r="AU205" s="705"/>
      <c r="AV205" s="705"/>
      <c r="AW205" s="705"/>
      <c r="AX205" s="703"/>
      <c r="AY205" s="703"/>
      <c r="AZ205" s="703"/>
      <c r="BA205" s="703"/>
      <c r="BB205" s="2"/>
      <c r="BC205" s="2"/>
      <c r="BD205" s="2"/>
      <c r="BE205" s="2"/>
      <c r="BF205" s="2"/>
      <c r="BG205" s="2"/>
    </row>
    <row r="206" spans="1:59">
      <c r="A206" s="19"/>
      <c r="B206" s="88">
        <f ca="1">MAX($B$1:OFFSET(B206,-1,0))+1</f>
        <v>19</v>
      </c>
      <c r="C206" s="122" t="s">
        <v>1603</v>
      </c>
      <c r="D206" s="122"/>
      <c r="E206" s="1015" t="str">
        <f t="shared" ref="E206:G206" si="135">_xlfn.CONCAT("naar ",VLOOKUP(E$207,$C$175:$J$182,COLUMNS($C$174:$F$174),0))</f>
        <v>naar NEN 7120 [MJ]</v>
      </c>
      <c r="F206" s="1015" t="str">
        <f t="shared" si="135"/>
        <v>naar NEN 7120 [MJ]</v>
      </c>
      <c r="G206" s="1015" t="str">
        <f t="shared" si="135"/>
        <v>naar NEN 7120 [MJ]</v>
      </c>
      <c r="H206" s="1015" t="str">
        <f>_xlfn.CONCAT("naar ",VLOOKUP(H$207,$C$175:$J$182,COLUMNS($C$174:$F$174),0))</f>
        <v>naar NTA 8800 [kWh]</v>
      </c>
      <c r="I206" s="1015" t="str">
        <f t="shared" ref="I206:J206" si="136">_xlfn.CONCAT("naar ",VLOOKUP(I$207,$C$175:$J$182,COLUMNS($C$174:$F$174),0))</f>
        <v>naar NTA 8800 [kWh]</v>
      </c>
      <c r="J206" s="1015" t="str">
        <f t="shared" si="136"/>
        <v>naar NTA 8800 [kWh]</v>
      </c>
      <c r="K206" s="949"/>
      <c r="L206" s="949"/>
      <c r="M206" s="949"/>
      <c r="N206" s="949" t="str">
        <f>_xlfn.CONCAT("naar ",VLOOKUP(N$207,$C$175:$J$182,COLUMNS($C$174:$F$174),0))</f>
        <v>naar ISSO 75.3 [MJ]</v>
      </c>
      <c r="O206" s="949" t="str">
        <f>_xlfn.CONCAT("naar ",VLOOKUP(O$207,$C$175:$J$182,COLUMNS($C$174:$F$174),0))</f>
        <v>naar ISSO 75.3 [MJ]</v>
      </c>
      <c r="P206" s="14"/>
      <c r="Q206" s="14"/>
      <c r="R206" s="14"/>
      <c r="S206" s="14"/>
      <c r="T206" s="14"/>
      <c r="U206" s="14"/>
      <c r="V206" s="14"/>
      <c r="W206" s="14"/>
      <c r="X206" s="14"/>
      <c r="Y206" s="14"/>
      <c r="Z206" s="14"/>
      <c r="AA206" s="703"/>
      <c r="AB206" s="703"/>
      <c r="AC206" s="705"/>
      <c r="AD206" s="705"/>
      <c r="AE206" s="703"/>
      <c r="AF206" s="703"/>
      <c r="AG206" s="703"/>
      <c r="AH206" s="703"/>
      <c r="AI206" s="703"/>
      <c r="AJ206" s="8"/>
      <c r="AK206" s="8"/>
      <c r="AL206" s="8"/>
      <c r="AM206" s="8"/>
      <c r="AN206" s="8"/>
      <c r="AO206" s="8"/>
      <c r="AP206" s="705"/>
      <c r="AQ206" s="18"/>
      <c r="AR206" s="703"/>
      <c r="AS206" s="703"/>
      <c r="AT206" s="703"/>
      <c r="AU206" s="703"/>
      <c r="AV206" s="703"/>
      <c r="AW206" s="703"/>
      <c r="AX206" s="6"/>
      <c r="AY206" s="6"/>
      <c r="AZ206" s="6"/>
      <c r="BA206" s="6"/>
      <c r="BB206" s="6"/>
      <c r="BC206" s="6"/>
      <c r="BD206" s="6"/>
      <c r="BE206" s="6"/>
      <c r="BF206" s="6"/>
      <c r="BG206" s="6"/>
    </row>
    <row r="207" spans="1:59">
      <c r="B207" s="21"/>
      <c r="C207" s="296" t="s">
        <v>458</v>
      </c>
      <c r="D207" s="297"/>
      <c r="E207" s="1010" t="s">
        <v>497</v>
      </c>
      <c r="F207" s="1010" t="s">
        <v>1509</v>
      </c>
      <c r="G207" s="1010" t="s">
        <v>1510</v>
      </c>
      <c r="H207" s="1010" t="s">
        <v>556</v>
      </c>
      <c r="I207" s="1010" t="s">
        <v>1511</v>
      </c>
      <c r="J207" s="1010" t="s">
        <v>1512</v>
      </c>
      <c r="K207" s="411"/>
      <c r="L207" s="411"/>
      <c r="M207" s="411"/>
      <c r="N207" s="298" t="s">
        <v>1463</v>
      </c>
      <c r="O207" s="298" t="s">
        <v>1478</v>
      </c>
      <c r="P207" s="298"/>
      <c r="Q207" s="298"/>
      <c r="R207" s="298"/>
      <c r="S207" s="298"/>
      <c r="T207" s="710"/>
      <c r="U207" s="710"/>
      <c r="V207" s="710"/>
      <c r="W207" s="298"/>
      <c r="X207" s="298"/>
      <c r="Y207" s="298"/>
      <c r="Z207" s="299"/>
      <c r="AA207" s="703"/>
      <c r="AB207" s="703"/>
      <c r="AC207" s="703"/>
      <c r="AD207" s="229"/>
      <c r="AE207" s="705"/>
      <c r="AF207" s="705"/>
      <c r="AG207" s="705"/>
      <c r="AH207" s="705"/>
      <c r="AI207" s="705"/>
      <c r="AJ207" s="703"/>
      <c r="AK207" s="703"/>
      <c r="AL207" s="703"/>
      <c r="AM207" s="703"/>
      <c r="AN207" s="703"/>
      <c r="AO207" s="703"/>
      <c r="AP207" s="703"/>
      <c r="AQ207" s="705"/>
      <c r="AR207" s="705"/>
      <c r="AS207" s="705"/>
      <c r="AT207" s="705"/>
      <c r="AU207" s="705"/>
      <c r="AV207" s="705"/>
      <c r="AW207" s="705"/>
      <c r="AX207" s="705"/>
      <c r="AY207" s="705"/>
      <c r="AZ207" s="705"/>
      <c r="BA207" s="705"/>
      <c r="BB207" s="6"/>
      <c r="BC207" s="6"/>
      <c r="BD207" s="6"/>
      <c r="BE207" s="6"/>
      <c r="BF207" s="6"/>
      <c r="BG207" s="6"/>
    </row>
    <row r="208" spans="1:59">
      <c r="B208" s="21"/>
      <c r="C208" s="990" t="str">
        <f t="shared" ref="C208:C215" si="137">C197</f>
        <v>aardgas</v>
      </c>
      <c r="D208" s="948"/>
      <c r="E208" s="1011">
        <v>35.17</v>
      </c>
      <c r="F208" s="1011">
        <v>35.17</v>
      </c>
      <c r="G208" s="1011">
        <v>35.17</v>
      </c>
      <c r="H208" s="1019">
        <v>1</v>
      </c>
      <c r="I208" s="1011">
        <f t="shared" ref="I208:J208" si="138">35.17/3.6</f>
        <v>9.7694444444444439</v>
      </c>
      <c r="J208" s="1011">
        <f t="shared" si="138"/>
        <v>9.7694444444444439</v>
      </c>
      <c r="K208" s="229"/>
      <c r="M208" s="229"/>
      <c r="N208" s="924">
        <v>35.17</v>
      </c>
      <c r="O208" s="924">
        <v>35.17</v>
      </c>
      <c r="P208" s="924"/>
      <c r="Q208" s="924"/>
      <c r="R208" s="924"/>
      <c r="S208" s="924"/>
      <c r="T208" s="711"/>
      <c r="U208" s="711"/>
      <c r="V208" s="711"/>
      <c r="W208" s="924"/>
      <c r="X208" s="924"/>
      <c r="Y208" s="924"/>
      <c r="Z208" s="295"/>
      <c r="AA208" s="703"/>
      <c r="AB208" s="703"/>
      <c r="AC208" s="703"/>
      <c r="AD208" s="229"/>
      <c r="AE208" s="703"/>
      <c r="AF208" s="703"/>
      <c r="AG208" s="703"/>
      <c r="AH208" s="703"/>
      <c r="AI208" s="703"/>
      <c r="AJ208" s="703"/>
      <c r="AK208" s="703"/>
      <c r="AL208" s="703"/>
      <c r="AM208" s="703"/>
      <c r="AN208" s="703"/>
      <c r="AO208" s="703"/>
      <c r="AP208" s="703"/>
      <c r="AQ208" s="703"/>
      <c r="AR208" s="703"/>
      <c r="AS208" s="703"/>
      <c r="AT208" s="703"/>
      <c r="AU208" s="703"/>
      <c r="AV208" s="703"/>
      <c r="AW208" s="703"/>
      <c r="AX208" s="703"/>
      <c r="AY208" s="703"/>
      <c r="AZ208" s="703"/>
      <c r="BA208" s="703"/>
    </row>
    <row r="209" spans="1:59">
      <c r="B209" s="21"/>
      <c r="C209" s="991" t="str">
        <f t="shared" si="137"/>
        <v>elektriciteit</v>
      </c>
      <c r="D209" s="67"/>
      <c r="E209" s="1016">
        <v>3.6</v>
      </c>
      <c r="F209" s="1016">
        <v>3.6</v>
      </c>
      <c r="G209" s="1016">
        <v>3.6</v>
      </c>
      <c r="H209" s="94">
        <v>1</v>
      </c>
      <c r="I209" s="94">
        <v>1</v>
      </c>
      <c r="J209" s="94">
        <v>1</v>
      </c>
      <c r="K209" s="229"/>
      <c r="M209" s="229"/>
      <c r="N209" s="923">
        <v>3.6</v>
      </c>
      <c r="O209" s="923">
        <v>3.6</v>
      </c>
      <c r="P209" s="925"/>
      <c r="Q209" s="925"/>
      <c r="R209" s="925"/>
      <c r="S209" s="925"/>
      <c r="T209" s="711"/>
      <c r="U209" s="711"/>
      <c r="V209" s="711"/>
      <c r="W209" s="925"/>
      <c r="X209" s="925"/>
      <c r="Y209" s="925"/>
      <c r="Z209" s="291"/>
      <c r="AA209" s="703"/>
      <c r="AB209" s="703"/>
      <c r="AC209" s="703"/>
      <c r="AD209" s="229"/>
      <c r="AE209" s="705"/>
      <c r="AF209" s="705"/>
      <c r="AG209" s="705"/>
      <c r="AH209" s="705"/>
      <c r="AI209" s="705"/>
      <c r="AJ209" s="703"/>
      <c r="AK209" s="703"/>
      <c r="AL209" s="703"/>
      <c r="AM209" s="703"/>
      <c r="AN209" s="703"/>
      <c r="AO209" s="703"/>
      <c r="AP209" s="703"/>
      <c r="AQ209" s="703"/>
      <c r="AR209" s="703"/>
      <c r="AS209" s="703"/>
      <c r="AT209" s="703"/>
      <c r="AU209" s="703"/>
      <c r="AV209" s="703"/>
      <c r="AW209" s="703"/>
      <c r="AX209" s="703"/>
      <c r="AY209" s="703"/>
      <c r="AZ209" s="703"/>
      <c r="BA209" s="703"/>
      <c r="BB209" s="703"/>
      <c r="BC209" s="703"/>
      <c r="BD209" s="703"/>
      <c r="BE209" s="703"/>
      <c r="BF209" s="703"/>
      <c r="BG209" s="703"/>
    </row>
    <row r="210" spans="1:59">
      <c r="B210" s="21"/>
      <c r="C210" s="991" t="str">
        <f t="shared" si="137"/>
        <v>elektriciteit opgewekt</v>
      </c>
      <c r="D210" s="67"/>
      <c r="E210" s="1016">
        <v>3.6</v>
      </c>
      <c r="F210" s="1016">
        <v>3.6</v>
      </c>
      <c r="G210" s="1016">
        <v>3.6</v>
      </c>
      <c r="H210" s="94">
        <v>1</v>
      </c>
      <c r="I210" s="94">
        <v>1</v>
      </c>
      <c r="J210" s="94">
        <v>1</v>
      </c>
      <c r="K210" s="229"/>
      <c r="M210" s="229"/>
      <c r="N210" s="923">
        <v>3.6</v>
      </c>
      <c r="O210" s="923">
        <v>3.6</v>
      </c>
      <c r="P210" s="925"/>
      <c r="Q210" s="925"/>
      <c r="R210" s="925"/>
      <c r="S210" s="925"/>
      <c r="T210" s="711"/>
      <c r="U210" s="711"/>
      <c r="V210" s="711"/>
      <c r="W210" s="925"/>
      <c r="X210" s="925"/>
      <c r="Y210" s="925"/>
      <c r="Z210" s="291"/>
      <c r="AA210" s="703"/>
      <c r="AB210" s="703"/>
      <c r="AC210" s="703"/>
      <c r="AD210" s="229"/>
      <c r="AE210" s="703"/>
      <c r="AF210" s="703"/>
      <c r="AG210" s="703"/>
      <c r="AH210" s="703"/>
      <c r="AI210" s="703"/>
      <c r="AJ210" s="703"/>
      <c r="AK210" s="703"/>
      <c r="AL210" s="703"/>
      <c r="AM210" s="703"/>
      <c r="AN210" s="703"/>
      <c r="AO210" s="703"/>
      <c r="AP210" s="703"/>
      <c r="AQ210" s="703"/>
      <c r="AR210" s="703"/>
      <c r="AS210" s="703"/>
      <c r="AT210" s="703"/>
      <c r="AU210" s="703"/>
      <c r="AV210" s="703"/>
      <c r="AW210" s="703"/>
      <c r="AX210" s="703"/>
      <c r="AY210" s="703"/>
      <c r="AZ210" s="703"/>
      <c r="BA210" s="703"/>
    </row>
    <row r="211" spans="1:59">
      <c r="B211" s="21"/>
      <c r="C211" s="991" t="str">
        <f t="shared" si="137"/>
        <v>elektriciteit geëxporteerd</v>
      </c>
      <c r="D211" s="67"/>
      <c r="E211" s="1016">
        <v>3.6</v>
      </c>
      <c r="F211" s="1016">
        <v>3.6</v>
      </c>
      <c r="G211" s="1016">
        <v>3.6</v>
      </c>
      <c r="H211" s="94">
        <v>1</v>
      </c>
      <c r="I211" s="94">
        <v>1</v>
      </c>
      <c r="J211" s="94">
        <v>1</v>
      </c>
      <c r="K211" s="229"/>
      <c r="M211" s="229"/>
      <c r="N211" s="923">
        <v>3.6</v>
      </c>
      <c r="O211" s="923">
        <v>3.6</v>
      </c>
      <c r="P211" s="925"/>
      <c r="Q211" s="925"/>
      <c r="R211" s="925"/>
      <c r="S211" s="925"/>
      <c r="T211" s="711"/>
      <c r="U211" s="711"/>
      <c r="V211" s="711"/>
      <c r="W211" s="925"/>
      <c r="X211" s="925"/>
      <c r="Y211" s="925"/>
      <c r="Z211" s="291"/>
      <c r="AA211" s="703"/>
      <c r="AB211" s="703"/>
      <c r="AC211" s="703"/>
      <c r="AD211" s="229"/>
      <c r="AE211" s="705"/>
      <c r="AF211" s="705"/>
      <c r="AG211" s="705"/>
      <c r="AH211" s="705"/>
      <c r="AI211" s="705"/>
      <c r="AJ211" s="703"/>
      <c r="AK211" s="703"/>
      <c r="AL211" s="703"/>
      <c r="AM211" s="703"/>
      <c r="AN211" s="703"/>
      <c r="AO211" s="703"/>
      <c r="AP211" s="703"/>
      <c r="AQ211" s="703"/>
      <c r="AR211" s="703"/>
      <c r="AS211" s="703"/>
      <c r="AT211" s="703"/>
      <c r="AU211" s="703"/>
      <c r="AV211" s="703"/>
      <c r="AW211" s="703"/>
      <c r="AX211" s="703"/>
      <c r="AY211" s="703"/>
      <c r="AZ211" s="703"/>
      <c r="BA211" s="703"/>
    </row>
    <row r="212" spans="1:59">
      <c r="B212" s="21"/>
      <c r="C212" s="992" t="str">
        <f t="shared" si="137"/>
        <v>externe warmte</v>
      </c>
      <c r="D212" s="67"/>
      <c r="E212" s="1017">
        <v>1000</v>
      </c>
      <c r="F212" s="1017">
        <v>1000</v>
      </c>
      <c r="G212" s="1017">
        <v>1000</v>
      </c>
      <c r="H212" s="1017">
        <v>1</v>
      </c>
      <c r="I212" s="1017">
        <f t="shared" ref="I212:J213" si="139">1000/3.6</f>
        <v>277.77777777777777</v>
      </c>
      <c r="J212" s="1017">
        <f t="shared" si="139"/>
        <v>277.77777777777777</v>
      </c>
      <c r="K212" s="229"/>
      <c r="M212" s="229"/>
      <c r="N212" s="328">
        <v>1000</v>
      </c>
      <c r="O212" s="328">
        <v>1000</v>
      </c>
      <c r="P212" s="926"/>
      <c r="Q212" s="926"/>
      <c r="R212" s="926"/>
      <c r="S212" s="926"/>
      <c r="T212" s="711"/>
      <c r="U212" s="711"/>
      <c r="V212" s="711"/>
      <c r="W212" s="926"/>
      <c r="X212" s="926"/>
      <c r="Y212" s="926"/>
      <c r="Z212" s="414"/>
      <c r="AA212" s="703"/>
      <c r="AB212" s="703"/>
      <c r="AC212" s="703"/>
      <c r="AD212" s="229"/>
      <c r="AE212" s="703"/>
      <c r="AF212" s="703"/>
      <c r="AG212" s="703"/>
      <c r="AH212" s="703"/>
      <c r="AI212" s="703"/>
      <c r="AJ212" s="703"/>
      <c r="AK212" s="703"/>
      <c r="AL212" s="703"/>
      <c r="AM212" s="703"/>
      <c r="AN212" s="703"/>
      <c r="AO212" s="703"/>
      <c r="AP212" s="703"/>
      <c r="AQ212" s="703"/>
      <c r="AR212" s="703"/>
      <c r="AS212" s="703"/>
      <c r="AT212" s="703"/>
      <c r="AU212" s="703"/>
      <c r="AV212" s="703"/>
      <c r="AW212" s="703"/>
      <c r="AX212" s="703"/>
      <c r="AY212" s="703"/>
      <c r="AZ212" s="703"/>
      <c r="BA212" s="703"/>
    </row>
    <row r="213" spans="1:59">
      <c r="B213" s="21"/>
      <c r="C213" s="992" t="str">
        <f t="shared" si="137"/>
        <v>externe koude</v>
      </c>
      <c r="D213" s="67"/>
      <c r="E213" s="1017">
        <v>1000</v>
      </c>
      <c r="F213" s="1017">
        <v>1000</v>
      </c>
      <c r="G213" s="1017">
        <v>1000</v>
      </c>
      <c r="H213" s="1017">
        <v>1</v>
      </c>
      <c r="I213" s="1017">
        <f t="shared" si="139"/>
        <v>277.77777777777777</v>
      </c>
      <c r="J213" s="1017">
        <f t="shared" si="139"/>
        <v>277.77777777777777</v>
      </c>
      <c r="K213" s="229"/>
      <c r="M213" s="229"/>
      <c r="N213" s="328">
        <v>1000</v>
      </c>
      <c r="O213" s="328">
        <v>1000</v>
      </c>
      <c r="P213" s="926"/>
      <c r="Q213" s="926"/>
      <c r="R213" s="926"/>
      <c r="S213" s="926"/>
      <c r="T213" s="711"/>
      <c r="U213" s="711"/>
      <c r="V213" s="711"/>
      <c r="W213" s="926"/>
      <c r="X213" s="926"/>
      <c r="Y213" s="926"/>
      <c r="Z213" s="414"/>
      <c r="AA213" s="703"/>
      <c r="AB213" s="703"/>
      <c r="AC213" s="703"/>
      <c r="AD213" s="229"/>
      <c r="AE213" s="705"/>
      <c r="AF213" s="705"/>
      <c r="AG213" s="705"/>
      <c r="AH213" s="705"/>
      <c r="AI213" s="705"/>
      <c r="AJ213" s="703"/>
      <c r="AK213" s="703"/>
      <c r="AL213" s="703"/>
      <c r="AM213" s="703"/>
      <c r="AN213" s="703"/>
      <c r="AO213" s="703"/>
      <c r="AP213" s="703"/>
      <c r="AQ213" s="703"/>
      <c r="AR213" s="703"/>
      <c r="AS213" s="703"/>
      <c r="AT213" s="703"/>
      <c r="AU213" s="703"/>
      <c r="AV213" s="703"/>
      <c r="AW213" s="703"/>
      <c r="AX213" s="703"/>
      <c r="AY213" s="703"/>
      <c r="AZ213" s="703"/>
      <c r="BA213" s="703"/>
    </row>
    <row r="214" spans="1:59">
      <c r="B214" s="21"/>
      <c r="C214" s="991" t="str">
        <f t="shared" si="137"/>
        <v>hout / biomassa</v>
      </c>
      <c r="D214" s="67"/>
      <c r="E214" s="94">
        <v>1</v>
      </c>
      <c r="F214" s="94">
        <v>1</v>
      </c>
      <c r="G214" s="94">
        <v>1</v>
      </c>
      <c r="H214" s="94">
        <v>1</v>
      </c>
      <c r="I214" s="94">
        <v>1</v>
      </c>
      <c r="J214" s="94">
        <v>1</v>
      </c>
      <c r="K214" s="229"/>
      <c r="M214" s="229"/>
      <c r="N214" s="287">
        <v>1</v>
      </c>
      <c r="O214" s="287">
        <v>1</v>
      </c>
      <c r="P214" s="925"/>
      <c r="Q214" s="925"/>
      <c r="R214" s="925"/>
      <c r="S214" s="925"/>
      <c r="T214" s="711"/>
      <c r="U214" s="711"/>
      <c r="V214" s="711"/>
      <c r="W214" s="925"/>
      <c r="X214" s="925"/>
      <c r="Y214" s="925"/>
      <c r="Z214" s="291"/>
      <c r="AA214" s="703"/>
      <c r="AB214" s="703"/>
      <c r="AC214" s="703"/>
      <c r="AD214" s="229"/>
      <c r="AE214" s="703"/>
      <c r="AF214" s="703"/>
      <c r="AG214" s="703"/>
      <c r="AH214" s="703"/>
      <c r="AI214" s="703"/>
      <c r="AJ214" s="703"/>
      <c r="AK214" s="703"/>
      <c r="AL214" s="703"/>
      <c r="AM214" s="703"/>
      <c r="AN214" s="703"/>
      <c r="AO214" s="703"/>
      <c r="AP214" s="703"/>
      <c r="AQ214" s="703"/>
      <c r="AR214" s="703"/>
      <c r="AS214" s="703"/>
      <c r="AT214" s="703"/>
      <c r="AU214" s="703"/>
      <c r="AV214" s="703"/>
      <c r="AW214" s="703"/>
      <c r="AX214" s="703"/>
      <c r="AY214" s="703"/>
      <c r="AZ214" s="703"/>
      <c r="BA214" s="703"/>
    </row>
    <row r="215" spans="1:59">
      <c r="B215" s="21"/>
      <c r="C215" s="993" t="str">
        <f t="shared" si="137"/>
        <v>totaal</v>
      </c>
      <c r="D215" s="446"/>
      <c r="E215" s="1018" t="s">
        <v>132</v>
      </c>
      <c r="F215" s="1018" t="s">
        <v>132</v>
      </c>
      <c r="G215" s="1018" t="s">
        <v>132</v>
      </c>
      <c r="H215" s="1018" t="s">
        <v>132</v>
      </c>
      <c r="I215" s="1018" t="s">
        <v>132</v>
      </c>
      <c r="J215" s="1018" t="s">
        <v>132</v>
      </c>
      <c r="K215" s="412"/>
      <c r="L215" s="412"/>
      <c r="M215" s="412"/>
      <c r="N215" s="289" t="s">
        <v>132</v>
      </c>
      <c r="O215" s="289" t="s">
        <v>132</v>
      </c>
      <c r="P215" s="927"/>
      <c r="Q215" s="927"/>
      <c r="R215" s="927"/>
      <c r="S215" s="927"/>
      <c r="T215" s="712"/>
      <c r="U215" s="712"/>
      <c r="V215" s="712"/>
      <c r="W215" s="927"/>
      <c r="X215" s="927"/>
      <c r="Y215" s="927"/>
      <c r="Z215" s="416"/>
      <c r="AA215" s="703"/>
      <c r="AB215" s="703"/>
      <c r="AC215" s="703"/>
      <c r="AD215" s="703"/>
      <c r="AE215" s="705"/>
      <c r="AF215" s="705"/>
      <c r="AG215" s="705"/>
      <c r="AH215" s="705"/>
      <c r="AI215" s="705"/>
      <c r="AJ215" s="703"/>
      <c r="AK215" s="705"/>
      <c r="AL215" s="705"/>
      <c r="AM215" s="705"/>
      <c r="AN215" s="705"/>
      <c r="AO215" s="705"/>
      <c r="AP215" s="18"/>
      <c r="AQ215" s="703"/>
      <c r="AR215" s="703"/>
      <c r="AS215" s="703"/>
      <c r="AT215" s="703"/>
      <c r="AU215" s="703"/>
      <c r="AV215" s="703"/>
      <c r="AW215" s="703"/>
      <c r="AX215" s="703"/>
      <c r="AY215" s="703"/>
      <c r="AZ215" s="703"/>
      <c r="BA215" s="703"/>
    </row>
    <row r="216" spans="1:59">
      <c r="B216" s="21"/>
      <c r="C216" s="18"/>
      <c r="D216" s="18"/>
      <c r="E216" s="18"/>
      <c r="F216" s="18"/>
      <c r="G216" s="18"/>
      <c r="H216" s="18"/>
      <c r="I216" s="18"/>
      <c r="J216" s="18"/>
      <c r="K216" s="18"/>
      <c r="M216" s="703"/>
      <c r="N216" s="703"/>
      <c r="O216" s="703"/>
      <c r="P216" s="703"/>
      <c r="Q216" s="703"/>
      <c r="R216" s="703"/>
      <c r="S216" s="703"/>
      <c r="T216" s="703"/>
      <c r="U216" s="703"/>
      <c r="V216" s="703"/>
      <c r="W216" s="703"/>
      <c r="X216" s="703"/>
      <c r="Y216" s="703"/>
      <c r="Z216" s="703"/>
      <c r="AB216" s="705"/>
      <c r="AC216" s="705"/>
      <c r="AD216" s="705"/>
      <c r="AE216" s="703"/>
      <c r="AF216" s="703"/>
      <c r="AG216" s="703"/>
      <c r="AH216" s="703"/>
      <c r="AI216" s="703"/>
      <c r="AJ216" s="705"/>
      <c r="AK216" s="703"/>
      <c r="AL216" s="703"/>
      <c r="AM216" s="703"/>
      <c r="AN216" s="703"/>
      <c r="AO216" s="703"/>
      <c r="AP216" s="18"/>
      <c r="AQ216" s="19"/>
      <c r="AR216" s="705"/>
      <c r="AS216" s="705"/>
      <c r="AT216" s="705"/>
      <c r="AU216" s="705"/>
      <c r="AV216" s="705"/>
      <c r="AW216" s="705"/>
      <c r="AX216" s="703"/>
      <c r="AY216" s="703"/>
      <c r="AZ216" s="703"/>
      <c r="BA216" s="703"/>
    </row>
    <row r="217" spans="1:59">
      <c r="B217" s="88">
        <f ca="1">MAX($B$1:OFFSET(B217,-1,0))+1</f>
        <v>20</v>
      </c>
      <c r="C217" s="122" t="s">
        <v>1672</v>
      </c>
      <c r="D217" s="122"/>
      <c r="E217" s="987"/>
      <c r="F217" s="14"/>
      <c r="G217" s="14"/>
      <c r="H217" s="14"/>
      <c r="I217" s="14"/>
      <c r="J217" s="14"/>
      <c r="K217" s="14"/>
      <c r="L217" s="14"/>
      <c r="M217" s="703"/>
      <c r="N217" s="703"/>
      <c r="O217" s="703"/>
      <c r="P217" s="703"/>
      <c r="Q217" s="703"/>
      <c r="R217" s="703"/>
      <c r="S217" s="703"/>
      <c r="T217" s="703"/>
      <c r="U217" s="703"/>
      <c r="V217" s="703"/>
      <c r="W217" s="703"/>
      <c r="X217" s="703"/>
      <c r="Y217" s="703"/>
      <c r="Z217" s="703"/>
      <c r="AB217" s="703"/>
      <c r="AC217" s="703"/>
      <c r="AD217" s="703"/>
      <c r="AE217" s="703"/>
      <c r="AF217" s="703"/>
      <c r="AG217" s="703"/>
      <c r="AH217" s="703"/>
      <c r="AI217" s="703"/>
      <c r="AJ217" s="703"/>
      <c r="AK217" s="703"/>
      <c r="AL217" s="703"/>
      <c r="AM217" s="703"/>
      <c r="AN217" s="703"/>
      <c r="AO217" s="703"/>
      <c r="AP217" s="18"/>
      <c r="AQ217" s="18"/>
      <c r="AR217" s="703"/>
      <c r="AS217" s="703"/>
      <c r="AT217" s="703"/>
      <c r="AU217" s="703"/>
      <c r="AV217" s="703"/>
      <c r="AW217" s="703"/>
      <c r="AX217" s="6"/>
      <c r="AY217" s="6"/>
      <c r="AZ217" s="6"/>
      <c r="BA217" s="6"/>
      <c r="BB217" s="6"/>
      <c r="BC217" s="6"/>
      <c r="BD217" s="6"/>
      <c r="BE217" s="6"/>
      <c r="BF217" s="6"/>
      <c r="BG217" s="6"/>
    </row>
    <row r="218" spans="1:59">
      <c r="B218" s="21"/>
      <c r="C218" s="296" t="s">
        <v>458</v>
      </c>
      <c r="D218" s="297"/>
      <c r="E218" s="1010" t="str">
        <f>NEN_7120</f>
        <v>NEN 7120</v>
      </c>
      <c r="F218" s="1030" t="str">
        <f>E218&amp;" | eenh. prim"</f>
        <v>NEN 7120 | eenh. prim</v>
      </c>
      <c r="G218" s="1010" t="str">
        <f>ISSO_75.3</f>
        <v>ISSO 75.3</v>
      </c>
      <c r="H218" s="1030" t="str">
        <f>G218&amp;" | eenh. prim"</f>
        <v>ISSO 75.3 | eenh. prim</v>
      </c>
      <c r="I218" s="1010" t="str">
        <f>NTA_8800</f>
        <v>NTA 8800</v>
      </c>
      <c r="J218" s="1030" t="str">
        <f>I218&amp;" | eenh. prim"</f>
        <v>NTA 8800 | eenh. prim</v>
      </c>
      <c r="K218" s="1006"/>
      <c r="M218" s="703"/>
      <c r="N218" s="703"/>
      <c r="O218" s="703"/>
      <c r="P218" s="703"/>
      <c r="Q218" s="703"/>
      <c r="R218" s="703"/>
      <c r="S218" s="703"/>
      <c r="T218" s="703"/>
      <c r="U218" s="703"/>
      <c r="V218" s="703"/>
      <c r="W218" s="703"/>
      <c r="X218" s="703"/>
      <c r="Y218" s="703"/>
      <c r="Z218" s="703"/>
      <c r="AB218" s="705"/>
      <c r="AC218" s="705"/>
      <c r="AD218" s="705"/>
      <c r="AE218" s="705"/>
      <c r="AF218" s="705"/>
      <c r="AG218" s="705"/>
      <c r="AH218" s="705"/>
      <c r="AI218" s="705"/>
      <c r="AJ218" s="705"/>
      <c r="AK218" s="705"/>
      <c r="AL218" s="1108"/>
      <c r="AM218" s="705"/>
      <c r="AN218" s="705"/>
      <c r="AO218" s="705"/>
      <c r="AP218" s="19"/>
      <c r="AQ218" s="18"/>
      <c r="AR218" s="703"/>
      <c r="AS218" s="703"/>
      <c r="AT218" s="703"/>
      <c r="AU218" s="703"/>
      <c r="AV218" s="703"/>
      <c r="AW218" s="703"/>
    </row>
    <row r="219" spans="1:59" s="5" customFormat="1">
      <c r="A219" s="19"/>
      <c r="B219" s="37"/>
      <c r="C219" s="1103" t="str">
        <f t="shared" ref="C219:C224" si="140">C208</f>
        <v>aardgas</v>
      </c>
      <c r="D219" s="444"/>
      <c r="E219" s="1104">
        <f>0.0506</f>
        <v>5.0599999999999999E-2</v>
      </c>
      <c r="F219" s="1105" t="str">
        <f>_xlfn.CONCAT("kg/",INDEX($C$185:$J$193,MATCH($C219,$C$185:$C$193,0),MATCH(F$218,$C$185:$J$185,0)))</f>
        <v>kg/MJ</v>
      </c>
      <c r="G219" s="1104">
        <f>1.78/35.17</f>
        <v>5.0611316462894511E-2</v>
      </c>
      <c r="H219" s="1105" t="str">
        <f>_xlfn.CONCAT("kg/",INDEX($C$185:$J$193,MATCH($C219,$C$185:$C$193,0),MATCH(H$218,$C$185:$J$185,0)))</f>
        <v>kg/MJ</v>
      </c>
      <c r="I219" s="1104">
        <v>0.183</v>
      </c>
      <c r="J219" s="1105" t="str">
        <f>_xlfn.CONCAT("kg/",INDEX($C$185:$J$193,MATCH($C219,$C$185:$C$193,0),MATCH(J$218,$C$185:$J$185,0)))</f>
        <v>kg/kWh</v>
      </c>
      <c r="K219" s="1106"/>
      <c r="L219" s="227"/>
      <c r="M219" s="705"/>
      <c r="N219" s="703"/>
      <c r="O219" s="703"/>
      <c r="P219" s="705"/>
      <c r="Q219" s="705"/>
      <c r="R219" s="705"/>
      <c r="S219" s="705"/>
      <c r="T219" s="705"/>
      <c r="U219" s="705"/>
      <c r="V219" s="705"/>
      <c r="W219" s="705"/>
      <c r="X219" s="705"/>
      <c r="Y219" s="705"/>
      <c r="Z219" s="705"/>
      <c r="AB219" s="705"/>
      <c r="AC219" s="705"/>
      <c r="AD219" s="705"/>
      <c r="AE219" s="705"/>
      <c r="AF219" s="1113"/>
      <c r="AG219" s="1113"/>
      <c r="AH219" s="1113"/>
      <c r="AI219" s="1113"/>
      <c r="AJ219" s="705"/>
      <c r="AK219" s="705"/>
      <c r="AL219" s="1108"/>
      <c r="AM219" s="705"/>
      <c r="AN219" s="705"/>
      <c r="AO219" s="705"/>
      <c r="AP219" s="19"/>
      <c r="AQ219" s="19"/>
      <c r="AR219" s="705"/>
      <c r="AS219" s="705"/>
      <c r="AT219" s="705"/>
      <c r="AU219" s="705"/>
      <c r="AV219" s="705"/>
      <c r="AW219" s="705"/>
    </row>
    <row r="220" spans="1:59" s="5" customFormat="1">
      <c r="A220" s="19"/>
      <c r="B220" s="37"/>
      <c r="C220" s="1109" t="str">
        <f t="shared" si="140"/>
        <v>elektriciteit</v>
      </c>
      <c r="D220" s="444"/>
      <c r="E220" s="1110">
        <f>0.0613*2.56</f>
        <v>0.15692800000000001</v>
      </c>
      <c r="F220" s="1111" t="str">
        <f t="shared" ref="F220:J226" si="141">_xlfn.CONCAT("kg/",INDEX($C$185:$J$193,MATCH($C220,$C$185:$C$193,0),MATCH(F$218,$C$185:$J$185,0)))</f>
        <v>kg/MJ</v>
      </c>
      <c r="G220" s="1110">
        <f>0.566/3.6</f>
        <v>0.15722222222222221</v>
      </c>
      <c r="H220" s="1111" t="str">
        <f t="shared" si="141"/>
        <v>kg/MJ</v>
      </c>
      <c r="I220" s="1110">
        <v>0.34</v>
      </c>
      <c r="J220" s="1111" t="str">
        <f t="shared" si="141"/>
        <v>kg/kWh</v>
      </c>
      <c r="K220" s="1106"/>
      <c r="L220" s="227"/>
      <c r="M220" s="705"/>
      <c r="N220" s="703"/>
      <c r="O220" s="703"/>
      <c r="P220" s="705"/>
      <c r="Q220" s="705"/>
      <c r="R220" s="705"/>
      <c r="S220" s="705"/>
      <c r="T220" s="705"/>
      <c r="U220" s="705"/>
      <c r="V220" s="705"/>
      <c r="W220" s="705"/>
      <c r="X220" s="705"/>
      <c r="Y220" s="705"/>
      <c r="Z220" s="705"/>
      <c r="AB220" s="1114"/>
      <c r="AC220" s="705"/>
      <c r="AD220" s="705"/>
      <c r="AE220" s="705"/>
      <c r="AF220" s="705"/>
      <c r="AG220" s="705"/>
      <c r="AH220" s="705"/>
      <c r="AI220" s="705"/>
      <c r="AJ220" s="705"/>
      <c r="AK220" s="705"/>
      <c r="AL220" s="1115"/>
      <c r="AM220" s="1116"/>
      <c r="AN220" s="1116"/>
      <c r="AO220" s="1116"/>
      <c r="AP220" s="1116"/>
      <c r="AQ220" s="19"/>
      <c r="AR220" s="705"/>
      <c r="AS220" s="705"/>
      <c r="AT220" s="705"/>
      <c r="AU220" s="705"/>
      <c r="AV220" s="705"/>
      <c r="AW220" s="705"/>
    </row>
    <row r="221" spans="1:59" s="5" customFormat="1">
      <c r="A221" s="19"/>
      <c r="B221" s="37"/>
      <c r="C221" s="1109" t="str">
        <f t="shared" si="140"/>
        <v>elektriciteit opgewekt</v>
      </c>
      <c r="D221" s="444"/>
      <c r="E221" s="1110">
        <f>E220</f>
        <v>0.15692800000000001</v>
      </c>
      <c r="F221" s="1111" t="str">
        <f t="shared" si="141"/>
        <v>kg/MJ</v>
      </c>
      <c r="G221" s="1110">
        <f t="shared" ref="G221:G222" si="142">G220</f>
        <v>0.15722222222222221</v>
      </c>
      <c r="H221" s="1111" t="str">
        <f t="shared" si="141"/>
        <v>kg/MJ</v>
      </c>
      <c r="I221" s="1110">
        <f>I220</f>
        <v>0.34</v>
      </c>
      <c r="J221" s="1111" t="str">
        <f t="shared" si="141"/>
        <v>kg/kWh</v>
      </c>
      <c r="K221" s="1106"/>
      <c r="L221" s="227"/>
      <c r="M221" s="705"/>
      <c r="N221" s="703"/>
      <c r="O221" s="703"/>
      <c r="P221" s="705"/>
      <c r="Q221" s="705"/>
      <c r="R221" s="705"/>
      <c r="S221" s="705"/>
      <c r="T221" s="705"/>
      <c r="U221" s="705"/>
      <c r="V221" s="705"/>
      <c r="W221" s="705"/>
      <c r="X221" s="705"/>
      <c r="Y221" s="705"/>
      <c r="Z221" s="705"/>
      <c r="AB221" s="1114"/>
      <c r="AC221" s="705"/>
      <c r="AD221" s="705"/>
      <c r="AE221" s="224"/>
      <c r="AF221" s="489"/>
      <c r="AG221" s="489"/>
      <c r="AH221" s="489"/>
      <c r="AI221" s="489"/>
      <c r="AJ221" s="705"/>
      <c r="AK221" s="705"/>
      <c r="AL221" s="1117"/>
      <c r="AM221" s="1118"/>
      <c r="AN221" s="1118"/>
      <c r="AO221" s="1118"/>
      <c r="AP221" s="1118"/>
      <c r="AQ221" s="1116"/>
      <c r="AR221" s="1116"/>
      <c r="AS221" s="1116"/>
      <c r="AT221" s="705"/>
      <c r="AU221" s="705"/>
      <c r="AV221" s="705"/>
      <c r="AW221" s="705"/>
    </row>
    <row r="222" spans="1:59" s="5" customFormat="1">
      <c r="A222" s="19"/>
      <c r="B222" s="37"/>
      <c r="C222" s="1109" t="str">
        <f t="shared" si="140"/>
        <v>elektriciteit geëxporteerd</v>
      </c>
      <c r="D222" s="444"/>
      <c r="E222" s="1110">
        <f>E221</f>
        <v>0.15692800000000001</v>
      </c>
      <c r="F222" s="1111" t="str">
        <f t="shared" si="141"/>
        <v>kg/MJ</v>
      </c>
      <c r="G222" s="1110">
        <f t="shared" si="142"/>
        <v>0.15722222222222221</v>
      </c>
      <c r="H222" s="1111" t="str">
        <f t="shared" si="141"/>
        <v>kg/MJ</v>
      </c>
      <c r="I222" s="1110">
        <f>I221</f>
        <v>0.34</v>
      </c>
      <c r="J222" s="1111" t="str">
        <f t="shared" si="141"/>
        <v>kg/kWh</v>
      </c>
      <c r="K222" s="1106"/>
      <c r="L222" s="227"/>
      <c r="M222" s="705"/>
      <c r="N222" s="703"/>
      <c r="O222" s="703"/>
      <c r="P222" s="705"/>
      <c r="Q222" s="705"/>
      <c r="R222" s="705"/>
      <c r="S222" s="705"/>
      <c r="T222" s="705"/>
      <c r="U222" s="705"/>
      <c r="V222" s="705"/>
      <c r="W222" s="705"/>
      <c r="X222" s="705"/>
      <c r="Y222" s="705"/>
      <c r="Z222" s="705"/>
      <c r="AB222" s="224"/>
      <c r="AC222" s="705"/>
      <c r="AD222" s="705"/>
      <c r="AE222" s="237"/>
      <c r="AF222" s="490"/>
      <c r="AG222" s="490"/>
      <c r="AH222" s="490"/>
      <c r="AI222" s="490"/>
      <c r="AJ222" s="705"/>
      <c r="AK222" s="705"/>
      <c r="AL222" s="1117"/>
      <c r="AM222" s="1118"/>
      <c r="AN222" s="1118"/>
      <c r="AO222" s="1118"/>
      <c r="AP222" s="1118"/>
      <c r="AQ222" s="1118"/>
      <c r="AR222" s="1118"/>
      <c r="AS222" s="1118"/>
      <c r="AT222" s="705"/>
      <c r="AU222" s="705"/>
      <c r="AV222" s="705"/>
      <c r="AW222" s="705"/>
    </row>
    <row r="223" spans="1:59" s="5" customFormat="1">
      <c r="A223" s="19"/>
      <c r="B223" s="37"/>
      <c r="C223" s="1109" t="str">
        <f t="shared" si="140"/>
        <v>externe warmte</v>
      </c>
      <c r="D223" s="444"/>
      <c r="E223" s="1110">
        <f>0.0877</f>
        <v>8.77E-2</v>
      </c>
      <c r="F223" s="1119" t="str">
        <f t="shared" si="141"/>
        <v>kg/MJ</v>
      </c>
      <c r="G223" s="1110">
        <f>0.0877</f>
        <v>8.77E-2</v>
      </c>
      <c r="H223" s="1119" t="str">
        <f t="shared" si="141"/>
        <v>kg/MJ</v>
      </c>
      <c r="I223" s="1110">
        <v>0.17</v>
      </c>
      <c r="J223" s="1119" t="str">
        <f t="shared" si="141"/>
        <v>kg/kWh</v>
      </c>
      <c r="K223" s="1106"/>
      <c r="L223" s="227"/>
      <c r="M223" s="705"/>
      <c r="N223" s="703"/>
      <c r="O223" s="703"/>
      <c r="P223" s="705"/>
      <c r="Q223" s="705"/>
      <c r="R223" s="705"/>
      <c r="S223" s="705"/>
      <c r="T223" s="705"/>
      <c r="U223" s="705"/>
      <c r="V223" s="705"/>
      <c r="W223" s="705"/>
      <c r="X223" s="705"/>
      <c r="Y223" s="705"/>
      <c r="Z223" s="705"/>
      <c r="AB223" s="224"/>
      <c r="AC223" s="705"/>
      <c r="AD223" s="705"/>
      <c r="AE223" s="237"/>
      <c r="AF223" s="490"/>
      <c r="AG223" s="490"/>
      <c r="AH223" s="490"/>
      <c r="AI223" s="490"/>
      <c r="AJ223" s="705"/>
      <c r="AK223" s="705"/>
      <c r="AL223" s="1117"/>
      <c r="AM223" s="1118"/>
      <c r="AN223" s="1118"/>
      <c r="AO223" s="1118"/>
      <c r="AP223" s="1118"/>
      <c r="AQ223" s="1118"/>
      <c r="AR223" s="1118"/>
      <c r="AS223" s="1118"/>
      <c r="AT223" s="705"/>
      <c r="AU223" s="705"/>
      <c r="AV223" s="705"/>
      <c r="AW223" s="705"/>
    </row>
    <row r="224" spans="1:59" s="5" customFormat="1">
      <c r="A224" s="19"/>
      <c r="B224" s="37"/>
      <c r="C224" s="1109" t="str">
        <f t="shared" si="140"/>
        <v>externe koude</v>
      </c>
      <c r="D224" s="444"/>
      <c r="E224" s="1110">
        <f>0.0877</f>
        <v>8.77E-2</v>
      </c>
      <c r="F224" s="1119" t="str">
        <f t="shared" si="141"/>
        <v>kg/MJ</v>
      </c>
      <c r="G224" s="1110">
        <f>0.0877</f>
        <v>8.77E-2</v>
      </c>
      <c r="H224" s="1119" t="str">
        <f t="shared" si="141"/>
        <v>kg/MJ</v>
      </c>
      <c r="I224" s="1110">
        <f>I220/3</f>
        <v>0.11333333333333334</v>
      </c>
      <c r="J224" s="1119" t="str">
        <f t="shared" si="141"/>
        <v>kg/kWh</v>
      </c>
      <c r="K224" s="1106"/>
      <c r="L224" s="227"/>
      <c r="M224" s="705"/>
      <c r="N224" s="703"/>
      <c r="O224" s="703"/>
      <c r="P224" s="705"/>
      <c r="Q224" s="705"/>
      <c r="R224" s="705"/>
      <c r="S224" s="705"/>
      <c r="T224" s="705"/>
      <c r="U224" s="705"/>
      <c r="V224" s="705"/>
      <c r="W224" s="705"/>
      <c r="X224" s="705"/>
      <c r="Y224" s="705"/>
      <c r="Z224" s="705"/>
      <c r="AB224" s="224"/>
      <c r="AC224" s="705"/>
      <c r="AD224" s="705"/>
      <c r="AE224" s="237"/>
      <c r="AF224" s="490"/>
      <c r="AG224" s="490"/>
      <c r="AH224" s="490"/>
      <c r="AI224" s="490"/>
      <c r="AJ224" s="705"/>
      <c r="AK224" s="705"/>
      <c r="AL224" s="1117"/>
      <c r="AM224" s="1118"/>
      <c r="AN224" s="1118"/>
      <c r="AO224" s="1118"/>
      <c r="AP224" s="1118"/>
      <c r="AQ224" s="1118"/>
      <c r="AR224" s="1118"/>
      <c r="AS224" s="1118"/>
      <c r="AT224" s="705"/>
      <c r="AU224" s="705"/>
      <c r="AV224" s="705"/>
      <c r="AW224" s="705"/>
    </row>
    <row r="225" spans="1:59" s="5" customFormat="1">
      <c r="A225" s="19"/>
      <c r="B225" s="37"/>
      <c r="C225" s="1109" t="str">
        <f t="shared" ref="C225" si="143">C214</f>
        <v>hout / biomassa</v>
      </c>
      <c r="D225" s="444"/>
      <c r="E225" s="1110">
        <v>0.109</v>
      </c>
      <c r="F225" s="1119" t="str">
        <f t="shared" si="141"/>
        <v>kg/MJ</v>
      </c>
      <c r="G225" s="1110">
        <v>0</v>
      </c>
      <c r="H225" s="1119" t="str">
        <f t="shared" si="141"/>
        <v>kg/MJ</v>
      </c>
      <c r="I225" s="1127">
        <v>0.372</v>
      </c>
      <c r="J225" s="1119" t="str">
        <f t="shared" si="141"/>
        <v>kg/kWh</v>
      </c>
      <c r="K225" s="1106"/>
      <c r="L225" s="227"/>
      <c r="M225" s="705"/>
      <c r="N225" s="703"/>
      <c r="O225" s="703"/>
      <c r="P225" s="705"/>
      <c r="Q225" s="705"/>
      <c r="R225" s="705"/>
      <c r="S225" s="705"/>
      <c r="T225" s="705"/>
      <c r="U225" s="705"/>
      <c r="V225" s="705"/>
      <c r="W225" s="705"/>
      <c r="X225" s="705"/>
      <c r="Y225" s="705"/>
      <c r="Z225" s="705"/>
      <c r="AB225" s="224"/>
      <c r="AC225" s="705"/>
      <c r="AD225" s="705"/>
      <c r="AE225" s="311"/>
      <c r="AF225" s="491"/>
      <c r="AG225" s="491"/>
      <c r="AH225" s="491"/>
      <c r="AI225" s="491"/>
      <c r="AJ225" s="705"/>
      <c r="AK225" s="705"/>
      <c r="AL225" s="1117"/>
      <c r="AM225" s="1118"/>
      <c r="AN225" s="1118"/>
      <c r="AO225" s="1118"/>
      <c r="AP225" s="1118"/>
      <c r="AQ225" s="1118"/>
      <c r="AR225" s="1118"/>
      <c r="AS225" s="1118"/>
      <c r="AT225" s="705"/>
      <c r="AU225" s="705"/>
      <c r="AV225" s="705"/>
      <c r="AW225" s="705"/>
    </row>
    <row r="226" spans="1:59" s="5" customFormat="1">
      <c r="A226" s="19"/>
      <c r="B226" s="120"/>
      <c r="C226" s="1120" t="str">
        <f t="shared" ref="C226" si="144">C215</f>
        <v>totaal</v>
      </c>
      <c r="D226" s="446"/>
      <c r="E226" s="1121">
        <v>0</v>
      </c>
      <c r="F226" s="1122" t="str">
        <f t="shared" si="141"/>
        <v>kg/MJ</v>
      </c>
      <c r="G226" s="1121">
        <v>0</v>
      </c>
      <c r="H226" s="1122" t="str">
        <f t="shared" si="141"/>
        <v>kg/MJ</v>
      </c>
      <c r="I226" s="1123">
        <v>0</v>
      </c>
      <c r="J226" s="1122" t="str">
        <f t="shared" si="141"/>
        <v>kg/kWh</v>
      </c>
      <c r="K226" s="1124"/>
      <c r="L226" s="227"/>
      <c r="M226" s="705"/>
      <c r="N226" s="703"/>
      <c r="O226" s="703"/>
      <c r="P226" s="705"/>
      <c r="Q226" s="705"/>
      <c r="R226" s="705"/>
      <c r="S226" s="705"/>
      <c r="T226" s="705"/>
      <c r="U226" s="705"/>
      <c r="V226" s="705"/>
      <c r="W226" s="705"/>
      <c r="X226" s="705"/>
      <c r="Y226" s="705"/>
      <c r="Z226" s="705"/>
      <c r="AB226" s="713"/>
      <c r="AC226" s="703"/>
      <c r="AD226" s="703"/>
      <c r="AE226" s="224"/>
      <c r="AF226" s="489"/>
      <c r="AG226" s="489"/>
      <c r="AH226" s="489"/>
      <c r="AI226" s="489"/>
      <c r="AJ226" s="703"/>
      <c r="AK226" s="703"/>
      <c r="AL226" s="716"/>
      <c r="AM226" s="717"/>
      <c r="AN226" s="717"/>
      <c r="AO226" s="717"/>
      <c r="AP226" s="717"/>
      <c r="AQ226" s="1118"/>
      <c r="AR226" s="1118"/>
      <c r="AS226" s="1118"/>
      <c r="AT226" s="705"/>
      <c r="AU226" s="705"/>
      <c r="AV226" s="705"/>
      <c r="AW226" s="705"/>
    </row>
    <row r="227" spans="1:59">
      <c r="C227" s="703"/>
      <c r="D227" s="703"/>
      <c r="E227" s="703">
        <v>1</v>
      </c>
      <c r="F227" s="703"/>
      <c r="G227" s="703">
        <v>2</v>
      </c>
      <c r="H227" s="703"/>
      <c r="I227" s="703">
        <v>3</v>
      </c>
      <c r="J227" s="703"/>
      <c r="K227" s="703"/>
      <c r="M227" s="703"/>
      <c r="N227" s="703">
        <v>4</v>
      </c>
      <c r="O227" s="703"/>
      <c r="P227" s="703">
        <v>5</v>
      </c>
      <c r="Q227" s="703"/>
      <c r="R227" s="703">
        <v>6</v>
      </c>
      <c r="S227" s="703"/>
      <c r="T227" s="703"/>
      <c r="U227" s="703"/>
      <c r="V227" s="703"/>
      <c r="W227" s="703">
        <v>7</v>
      </c>
      <c r="X227" s="703"/>
      <c r="Y227" s="703">
        <v>8</v>
      </c>
      <c r="Z227" s="703"/>
      <c r="AA227" s="703"/>
      <c r="AB227" s="705"/>
      <c r="AC227" s="705"/>
      <c r="AD227" s="705"/>
      <c r="AE227" s="703"/>
      <c r="AF227" s="703"/>
      <c r="AG227" s="703"/>
      <c r="AH227" s="703"/>
      <c r="AI227" s="703"/>
      <c r="AJ227" s="705"/>
      <c r="AK227" s="703"/>
      <c r="AL227" s="703"/>
      <c r="AM227" s="703"/>
      <c r="AN227" s="703"/>
      <c r="AO227" s="703"/>
      <c r="AP227" s="18"/>
      <c r="AQ227" s="717"/>
      <c r="AR227" s="717"/>
      <c r="AS227" s="717"/>
      <c r="AT227" s="703"/>
      <c r="AU227" s="703"/>
      <c r="AV227" s="703"/>
      <c r="AW227" s="703"/>
    </row>
    <row r="228" spans="1:59">
      <c r="B228" s="88">
        <f ca="1">MAX($B$1:OFFSET(B228,-1,0))+1</f>
        <v>21</v>
      </c>
      <c r="C228" s="122" t="s">
        <v>1673</v>
      </c>
      <c r="D228" s="122"/>
      <c r="E228" s="1015" t="str">
        <f>VLOOKUP(E$229,$C$175:$K$182,COLUMNS($C$174:$E$174),FALSE)</f>
        <v>NEN 7120</v>
      </c>
      <c r="F228" s="1015"/>
      <c r="G228" s="1015" t="str">
        <f t="shared" ref="G228" si="145">VLOOKUP(G$229,$C$175:$K$182,COLUMNS($C$174:$E$174),FALSE)</f>
        <v>NEN 7120</v>
      </c>
      <c r="H228" s="1015"/>
      <c r="I228" s="1015" t="str">
        <f t="shared" ref="I228" si="146">VLOOKUP(I$229,$C$175:$K$182,COLUMNS($C$174:$E$174),FALSE)</f>
        <v>NEN 7120</v>
      </c>
      <c r="J228" s="1015"/>
      <c r="K228" s="14"/>
      <c r="L228" s="14"/>
      <c r="M228" s="14"/>
      <c r="N228" s="1015" t="str">
        <f>VLOOKUP(N$229,$C$175:$K$182,COLUMNS($C$174:$E$174),FALSE)</f>
        <v>NTA 8800</v>
      </c>
      <c r="O228" s="1015"/>
      <c r="P228" s="1015" t="str">
        <f>VLOOKUP(P$229,$C$175:$K$182,COLUMNS($C$174:$E$174),FALSE)</f>
        <v>NTA 8800</v>
      </c>
      <c r="Q228" s="1015"/>
      <c r="R228" s="1015" t="str">
        <f>VLOOKUP(R$229,$C$175:$K$182,COLUMNS($C$174:$E$174),FALSE)</f>
        <v>NTA 8800</v>
      </c>
      <c r="S228" s="1015"/>
      <c r="T228" s="14"/>
      <c r="U228" s="703"/>
      <c r="V228" s="703"/>
      <c r="W228" s="1015" t="str">
        <f>VLOOKUP(W$229,$C$175:$K$182,COLUMNS($C$174:$E$174),FALSE)</f>
        <v>ISSO 75.3</v>
      </c>
      <c r="X228" s="1015"/>
      <c r="Y228" s="1015" t="str">
        <f>VLOOKUP(Y$229,$C$175:$K$182,COLUMNS($C$174:$E$174),FALSE)</f>
        <v>ISSO 75.3</v>
      </c>
      <c r="Z228" s="1015"/>
      <c r="AB228" s="1006"/>
      <c r="AC228" s="703"/>
      <c r="AD228" s="703"/>
      <c r="AE228" s="703"/>
      <c r="AF228" s="703"/>
      <c r="AG228" s="703"/>
      <c r="AH228" s="703"/>
      <c r="AJ228" s="703"/>
      <c r="AK228" s="703"/>
      <c r="AL228" s="703"/>
      <c r="AM228" s="703"/>
      <c r="AN228" s="703"/>
      <c r="AO228" s="703"/>
      <c r="AP228" s="703"/>
      <c r="AQ228" s="18"/>
      <c r="AR228" s="703"/>
      <c r="AS228" s="703"/>
      <c r="AT228" s="703"/>
      <c r="AU228" s="703"/>
      <c r="AV228" s="703"/>
      <c r="AW228" s="703"/>
      <c r="AX228" s="6"/>
      <c r="AY228" s="6"/>
      <c r="AZ228" s="6"/>
      <c r="BA228" s="6"/>
      <c r="BB228" s="6"/>
      <c r="BC228" s="6"/>
      <c r="BD228" s="6"/>
      <c r="BE228" s="6"/>
      <c r="BF228" s="6"/>
      <c r="BG228" s="6"/>
    </row>
    <row r="229" spans="1:59">
      <c r="B229" s="21"/>
      <c r="C229" s="296" t="s">
        <v>458</v>
      </c>
      <c r="D229" s="297"/>
      <c r="E229" s="1010" t="str" cm="1">
        <f t="array" ref="E229">INDEX($C$175:$C$182,E227)</f>
        <v>Enorm</v>
      </c>
      <c r="F229" s="1030" t="str">
        <f>_xlfn.CONCAT(E229," | eenheid")</f>
        <v>Enorm | eenheid</v>
      </c>
      <c r="G229" s="1010" t="str" cm="1">
        <f t="array" ref="G229">INDEX($C$175:$C$182,G227)</f>
        <v>Uniec 2 per functie</v>
      </c>
      <c r="H229" s="1030" t="str">
        <f t="shared" ref="H229" si="147">_xlfn.CONCAT(G229," | eenheid")</f>
        <v>Uniec 2 per functie | eenheid</v>
      </c>
      <c r="I229" s="1010" t="str" cm="1">
        <f t="array" ref="I229">INDEX($C$175:$C$182,I227)</f>
        <v>Uniec 2 finaal</v>
      </c>
      <c r="J229" s="1030" t="str">
        <f t="shared" ref="J229" si="148">_xlfn.CONCAT(I229," | eenheid")</f>
        <v>Uniec 2 finaal | eenheid</v>
      </c>
      <c r="K229" s="1129"/>
      <c r="L229" s="1129"/>
      <c r="M229" s="1129"/>
      <c r="N229" s="1010" t="str" cm="1">
        <f t="array" ref="N229">INDEX($C$175:$C$182,N227)</f>
        <v>VABI NTA 8800</v>
      </c>
      <c r="O229" s="1030" t="str">
        <f>_xlfn.CONCAT(N229," | eenheid")</f>
        <v>VABI NTA 8800 | eenheid</v>
      </c>
      <c r="P229" s="1010" t="str" cm="1">
        <f t="array" ref="P229">INDEX($C$175:$C$182,P227)</f>
        <v>Uniec 3 per functie</v>
      </c>
      <c r="Q229" s="1030" t="str">
        <f>_xlfn.CONCAT(P229," | eenheid")</f>
        <v>Uniec 3 per functie | eenheid</v>
      </c>
      <c r="R229" s="1010" t="str" cm="1">
        <f t="array" ref="R229">INDEX($C$175:$C$182,R227)</f>
        <v>Uniec 3 finaal</v>
      </c>
      <c r="S229" s="1030" t="str">
        <f>_xlfn.CONCAT(R229," | eenheid")</f>
        <v>Uniec 3 finaal | eenheid</v>
      </c>
      <c r="T229" s="1006">
        <v>0</v>
      </c>
      <c r="U229" s="1129">
        <v>0</v>
      </c>
      <c r="V229" s="1010"/>
      <c r="W229" s="1010" t="str" cm="1">
        <f t="array" ref="W229">INDEX($C$175:$C$182,W227)</f>
        <v>VABI EPA-U</v>
      </c>
      <c r="X229" s="1030" t="str">
        <f>_xlfn.CONCAT(W229," | eenheid")</f>
        <v>VABI EPA-U | eenheid</v>
      </c>
      <c r="Y229" s="1010" t="str" cm="1">
        <f t="array" ref="Y229">INDEX($C$175:$C$182,Y227)</f>
        <v>Energielabel utiliteit</v>
      </c>
      <c r="Z229" s="1030" t="str">
        <f>_xlfn.CONCAT(Y229," | eenheid")</f>
        <v>Energielabel utiliteit | eenheid</v>
      </c>
      <c r="AA229" s="1030"/>
      <c r="AB229" s="1105"/>
      <c r="AC229" s="703"/>
      <c r="AD229" s="703"/>
      <c r="AE229" s="703"/>
      <c r="AF229" s="703"/>
      <c r="AG229" s="703"/>
      <c r="AH229" s="703"/>
      <c r="AJ229" s="703"/>
      <c r="AK229" s="703"/>
      <c r="AL229" s="703"/>
      <c r="AM229" s="703"/>
      <c r="AN229" s="703"/>
      <c r="AO229" s="703"/>
      <c r="AP229" s="703"/>
      <c r="AQ229" s="703"/>
      <c r="AR229" s="703"/>
      <c r="AS229" s="703"/>
      <c r="AT229" s="703"/>
      <c r="AU229" s="703"/>
      <c r="AV229" s="703"/>
      <c r="AW229" s="703"/>
      <c r="AX229" s="18"/>
      <c r="AY229" s="18"/>
      <c r="AZ229" s="703"/>
      <c r="BA229" s="703"/>
      <c r="BB229" s="703"/>
      <c r="BC229" s="703"/>
      <c r="BD229" s="703"/>
      <c r="BE229" s="703"/>
      <c r="BF229" s="703"/>
      <c r="BG229" s="703"/>
    </row>
    <row r="230" spans="1:59">
      <c r="B230" s="21"/>
      <c r="C230" s="790" t="str">
        <f t="shared" ref="C230:C237" si="149">C219</f>
        <v>aardgas</v>
      </c>
      <c r="D230" s="444"/>
      <c r="E230" s="1126">
        <v>35.17</v>
      </c>
      <c r="F230" s="1105" t="str">
        <f>_xlfn.CONCAT(INDEX($C$185:$K$193,MATCH($C230,$C$185:$C$193,0),MATCH(E$228&amp;" | eenh. prim",$C$185:$K$185,0)),"/",INDEX($C$196:$O$204,MATCH($C230,$C$196:$C$204,0),MATCH(E$229,$C$196:$O$196,0)))</f>
        <v>MJ/m3</v>
      </c>
      <c r="G230" s="1126">
        <v>35.17</v>
      </c>
      <c r="H230" s="1105" t="str">
        <f>_xlfn.CONCAT(INDEX($C$185:$K$193,MATCH($C230,$C$185:$C$193,0),MATCH(G$228&amp;" | eenh. prim",$C$185:$K$185,0)),"/",INDEX($C$196:$O$204,MATCH($C230,$C$196:$C$204,0),MATCH(G$229,$C$196:$O$196,0)))</f>
        <v>MJ/m3 aeq</v>
      </c>
      <c r="I230" s="1126">
        <v>35.17</v>
      </c>
      <c r="J230" s="1105" t="str">
        <f>_xlfn.CONCAT(INDEX($C$185:$K$193,MATCH($C230,$C$185:$C$193,0),MATCH(I$228&amp;" | eenh. prim",$C$185:$K$185,0)),"/",INDEX($C$196:$O$204,MATCH($C230,$C$196:$C$204,0),MATCH(I$229,$C$196:$O$196,0)))</f>
        <v>MJ/m3 aeq</v>
      </c>
      <c r="K230" s="445"/>
      <c r="M230" s="703"/>
      <c r="N230" s="1107">
        <v>1</v>
      </c>
      <c r="O230" s="1105" t="str">
        <f>_xlfn.CONCAT(INDEX($C$185:$K$193,MATCH($C230,$C$185:$C$193,0),MATCH(N$228&amp;" | eenh. prim",$C$185:$K$185,0)),"/",INDEX($C$196:$O$204,MATCH($C230,$C$196:$C$204,0),MATCH(N$229,$C$196:$O$196,0)))</f>
        <v>kWh/kWh</v>
      </c>
      <c r="P230" s="1126">
        <f>35.17/3.6</f>
        <v>9.7694444444444439</v>
      </c>
      <c r="Q230" s="1105" t="str">
        <f>_xlfn.CONCAT(INDEX($C$185:$K$193,MATCH($C230,$C$185:$C$193,0),MATCH(P$228&amp;" | eenh. prim",$C$185:$K$185,0)),"/",INDEX($C$196:$O$204,MATCH($C230,$C$196:$C$204,0),MATCH(P$229,$C$196:$O$196,0)))</f>
        <v>kWh/m3 aeq</v>
      </c>
      <c r="R230" s="1126">
        <f>35.17/3.6</f>
        <v>9.7694444444444439</v>
      </c>
      <c r="S230" s="1105" t="str">
        <f>_xlfn.CONCAT(INDEX($C$185:$K$193,MATCH($C230,$C$185:$C$193,0),MATCH(R$228&amp;" | eenh. prim",$C$185:$K$185,0)),"/",INDEX($C$196:$O$204,MATCH($C230,$C$196:$C$204,0),MATCH(R$229,$C$196:$O$196,0)))</f>
        <v>kWh/m3 aeq</v>
      </c>
      <c r="T230" s="445"/>
      <c r="U230" s="703"/>
      <c r="V230" s="1125">
        <f t="shared" ref="V230:V236" si="150">E219*E230</f>
        <v>1.7796020000000001</v>
      </c>
      <c r="W230" s="1126">
        <f>35.17</f>
        <v>35.17</v>
      </c>
      <c r="X230" s="1105" t="str">
        <f>_xlfn.CONCAT(INDEX($C$185:$K$193,MATCH($C230,$C$185:$C$193,0),MATCH(W$228&amp;" | eenh. prim",$C$185:$K$185,0)),"/",INDEX($C$196:$O$204,MATCH($C230,$C$196:$C$204,0),MATCH(W$229,$C$196:$O$196,0)))</f>
        <v>MJ/m3</v>
      </c>
      <c r="Y230" s="1126">
        <f>35.17</f>
        <v>35.17</v>
      </c>
      <c r="Z230" s="1105" t="str">
        <f>_xlfn.CONCAT(INDEX($C$185:$K$193,MATCH($C230,$C$185:$C$193,0),MATCH(Y$228&amp;" | eenh. prim",$C$185:$K$185,0)),"/",INDEX($C$196:$O$204,MATCH($C230,$C$196:$C$204,0),MATCH(Y$229,$C$196:$O$196,0)))</f>
        <v>MJ/m3</v>
      </c>
      <c r="AA230" s="1126"/>
      <c r="AB230" s="1111"/>
      <c r="AC230" s="703"/>
      <c r="AD230" s="703"/>
      <c r="AE230" s="703"/>
      <c r="AF230" s="703"/>
      <c r="AG230" s="703"/>
      <c r="AH230" s="703"/>
      <c r="AJ230" s="703"/>
      <c r="AK230" s="703"/>
      <c r="AL230" s="703"/>
      <c r="AM230" s="703"/>
      <c r="AN230" s="8"/>
      <c r="AO230" s="8"/>
      <c r="AP230" s="8"/>
      <c r="AQ230" s="703"/>
      <c r="AR230" s="703"/>
      <c r="AS230" s="703"/>
      <c r="AT230" s="488"/>
      <c r="AU230" s="703"/>
      <c r="AV230" s="703"/>
      <c r="AW230" s="703"/>
      <c r="AX230" s="18"/>
      <c r="AY230" s="18"/>
      <c r="AZ230" s="703"/>
      <c r="BA230" s="703"/>
      <c r="BB230" s="703"/>
      <c r="BC230" s="703"/>
      <c r="BD230" s="703"/>
      <c r="BE230" s="703"/>
      <c r="BF230" s="703"/>
      <c r="BG230" s="703"/>
    </row>
    <row r="231" spans="1:59">
      <c r="B231" s="21"/>
      <c r="C231" s="292" t="str">
        <f t="shared" si="149"/>
        <v>elektriciteit</v>
      </c>
      <c r="D231" s="444"/>
      <c r="E231" s="1128">
        <v>3.6</v>
      </c>
      <c r="F231" s="1111" t="str">
        <f t="shared" ref="F231:H237" si="151">_xlfn.CONCAT(INDEX($C$185:$K$193,MATCH($C231,$C$185:$C$193,0),MATCH(E$228&amp;" | eenh. prim",$C$185:$K$185,0)),"/",INDEX($C$196:$O$204,MATCH($C231,$C$196:$C$204,0),MATCH(E$229,$C$196:$O$196,0)))</f>
        <v>MJ/kWh</v>
      </c>
      <c r="G231" s="1128">
        <v>3.6</v>
      </c>
      <c r="H231" s="1111" t="str">
        <f t="shared" si="151"/>
        <v>MJ/kWh</v>
      </c>
      <c r="I231" s="1128">
        <v>3.6</v>
      </c>
      <c r="J231" s="1111" t="str">
        <f t="shared" ref="J231" si="152">_xlfn.CONCAT(INDEX($C$185:$K$193,MATCH($C231,$C$185:$C$193,0),MATCH(I$228&amp;" | eenh. prim",$C$185:$K$185,0)),"/",INDEX($C$196:$O$204,MATCH($C231,$C$196:$C$204,0),MATCH(I$229,$C$196:$O$196,0)))</f>
        <v>MJ/kWh</v>
      </c>
      <c r="K231" s="445"/>
      <c r="M231" s="703"/>
      <c r="N231" s="1112">
        <v>1</v>
      </c>
      <c r="O231" s="1111" t="str">
        <f t="shared" ref="O231" si="153">_xlfn.CONCAT(INDEX($C$185:$K$193,MATCH($C231,$C$185:$C$193,0),MATCH(N$228&amp;" | eenh. prim",$C$185:$K$185,0)),"/",INDEX($C$196:$O$204,MATCH($C231,$C$196:$C$204,0),MATCH(N$229,$C$196:$O$196,0)))</f>
        <v>kWh/kWh</v>
      </c>
      <c r="P231" s="1112">
        <v>1</v>
      </c>
      <c r="Q231" s="1111" t="str">
        <f t="shared" ref="Q231" si="154">_xlfn.CONCAT(INDEX($C$185:$K$193,MATCH($C231,$C$185:$C$193,0),MATCH(P$228&amp;" | eenh. prim",$C$185:$K$185,0)),"/",INDEX($C$196:$O$204,MATCH($C231,$C$196:$C$204,0),MATCH(P$229,$C$196:$O$196,0)))</f>
        <v>kWh/kWh</v>
      </c>
      <c r="R231" s="1112">
        <v>1</v>
      </c>
      <c r="S231" s="1111" t="str">
        <f t="shared" ref="S231" si="155">_xlfn.CONCAT(INDEX($C$185:$K$193,MATCH($C231,$C$185:$C$193,0),MATCH(R$228&amp;" | eenh. prim",$C$185:$K$185,0)),"/",INDEX($C$196:$O$204,MATCH($C231,$C$196:$C$204,0),MATCH(R$229,$C$196:$O$196,0)))</f>
        <v>kWh/kWh</v>
      </c>
      <c r="T231" s="445"/>
      <c r="U231" s="703"/>
      <c r="V231" s="1127">
        <f t="shared" si="150"/>
        <v>0.56494080000000002</v>
      </c>
      <c r="W231" s="1128">
        <v>3.6</v>
      </c>
      <c r="X231" s="1111" t="str">
        <f t="shared" ref="X231" si="156">_xlfn.CONCAT(INDEX($C$185:$K$193,MATCH($C231,$C$185:$C$193,0),MATCH(W$228&amp;" | eenh. prim",$C$185:$K$185,0)),"/",INDEX($C$196:$O$204,MATCH($C231,$C$196:$C$204,0),MATCH(W$229,$C$196:$O$196,0)))</f>
        <v>MJ/kWh</v>
      </c>
      <c r="Y231" s="1128">
        <v>3.6</v>
      </c>
      <c r="Z231" s="1111" t="str">
        <f t="shared" ref="Z231" si="157">_xlfn.CONCAT(INDEX($C$185:$K$193,MATCH($C231,$C$185:$C$193,0),MATCH(Y$228&amp;" | eenh. prim",$C$185:$K$185,0)),"/",INDEX($C$196:$O$204,MATCH($C231,$C$196:$C$204,0),MATCH(Y$229,$C$196:$O$196,0)))</f>
        <v>MJ/kWh</v>
      </c>
      <c r="AA231" s="1112"/>
      <c r="AB231" s="1111"/>
      <c r="AC231" s="703"/>
      <c r="AD231" s="703"/>
      <c r="AE231" s="703"/>
      <c r="AF231" s="703"/>
      <c r="AG231" s="703"/>
      <c r="AH231" s="703"/>
      <c r="AJ231" s="713"/>
      <c r="AK231" s="703"/>
      <c r="AL231" s="703"/>
      <c r="AM231" s="703"/>
      <c r="AN231" s="703"/>
      <c r="AO231" s="703"/>
      <c r="AP231" s="703"/>
      <c r="AQ231" s="8"/>
      <c r="AR231" s="703"/>
      <c r="AS231" s="703"/>
      <c r="AT231" s="488"/>
      <c r="AU231" s="703"/>
      <c r="AV231" s="703"/>
      <c r="AW231" s="703"/>
      <c r="AX231" s="18"/>
      <c r="AY231" s="18"/>
      <c r="AZ231" s="703"/>
      <c r="BA231" s="703"/>
      <c r="BB231" s="703"/>
      <c r="BC231" s="703"/>
      <c r="BD231" s="703"/>
      <c r="BE231" s="703"/>
      <c r="BF231" s="703"/>
      <c r="BG231" s="703"/>
    </row>
    <row r="232" spans="1:59">
      <c r="B232" s="21"/>
      <c r="C232" s="292" t="str">
        <f t="shared" si="149"/>
        <v>elektriciteit opgewekt</v>
      </c>
      <c r="D232" s="444"/>
      <c r="E232" s="1128">
        <v>3.6</v>
      </c>
      <c r="F232" s="1111" t="str">
        <f t="shared" si="151"/>
        <v>MJ/kWh</v>
      </c>
      <c r="G232" s="1128">
        <f t="shared" ref="G232" si="158">G231</f>
        <v>3.6</v>
      </c>
      <c r="H232" s="1111" t="str">
        <f t="shared" si="151"/>
        <v>MJ/kWh</v>
      </c>
      <c r="I232" s="1128">
        <f t="shared" ref="I232" si="159">I231</f>
        <v>3.6</v>
      </c>
      <c r="J232" s="1111" t="str">
        <f t="shared" ref="J232" si="160">_xlfn.CONCAT(INDEX($C$185:$K$193,MATCH($C232,$C$185:$C$193,0),MATCH(I$228&amp;" | eenh. prim",$C$185:$K$185,0)),"/",INDEX($C$196:$O$204,MATCH($C232,$C$196:$C$204,0),MATCH(I$229,$C$196:$O$196,0)))</f>
        <v>MJ/kWh</v>
      </c>
      <c r="K232" s="445"/>
      <c r="M232" s="703"/>
      <c r="N232" s="1112">
        <v>1</v>
      </c>
      <c r="O232" s="1111" t="str">
        <f t="shared" ref="O232" si="161">_xlfn.CONCAT(INDEX($C$185:$K$193,MATCH($C232,$C$185:$C$193,0),MATCH(N$228&amp;" | eenh. prim",$C$185:$K$185,0)),"/",INDEX($C$196:$O$204,MATCH($C232,$C$196:$C$204,0),MATCH(N$229,$C$196:$O$196,0)))</f>
        <v>kWh/kWh</v>
      </c>
      <c r="P232" s="1112">
        <v>1</v>
      </c>
      <c r="Q232" s="1111" t="str">
        <f t="shared" ref="Q232" si="162">_xlfn.CONCAT(INDEX($C$185:$K$193,MATCH($C232,$C$185:$C$193,0),MATCH(P$228&amp;" | eenh. prim",$C$185:$K$185,0)),"/",INDEX($C$196:$O$204,MATCH($C232,$C$196:$C$204,0),MATCH(P$229,$C$196:$O$196,0)))</f>
        <v>kWh/kWh</v>
      </c>
      <c r="R232" s="1112">
        <v>1</v>
      </c>
      <c r="S232" s="1111" t="str">
        <f t="shared" ref="S232" si="163">_xlfn.CONCAT(INDEX($C$185:$K$193,MATCH($C232,$C$185:$C$193,0),MATCH(R$228&amp;" | eenh. prim",$C$185:$K$185,0)),"/",INDEX($C$196:$O$204,MATCH($C232,$C$196:$C$204,0),MATCH(R$229,$C$196:$O$196,0)))</f>
        <v>kWh/kWh</v>
      </c>
      <c r="T232" s="445"/>
      <c r="U232" s="703"/>
      <c r="V232" s="1127">
        <f t="shared" si="150"/>
        <v>0.56494080000000002</v>
      </c>
      <c r="W232" s="1128">
        <v>3.6</v>
      </c>
      <c r="X232" s="1111" t="str">
        <f t="shared" ref="X232" si="164">_xlfn.CONCAT(INDEX($C$185:$K$193,MATCH($C232,$C$185:$C$193,0),MATCH(W$228&amp;" | eenh. prim",$C$185:$K$185,0)),"/",INDEX($C$196:$O$204,MATCH($C232,$C$196:$C$204,0),MATCH(W$229,$C$196:$O$196,0)))</f>
        <v>MJ/kWh</v>
      </c>
      <c r="Y232" s="1128">
        <v>3.6</v>
      </c>
      <c r="Z232" s="1111" t="str">
        <f t="shared" ref="Z232" si="165">_xlfn.CONCAT(INDEX($C$185:$K$193,MATCH($C232,$C$185:$C$193,0),MATCH(Y$228&amp;" | eenh. prim",$C$185:$K$185,0)),"/",INDEX($C$196:$O$204,MATCH($C232,$C$196:$C$204,0),MATCH(Y$229,$C$196:$O$196,0)))</f>
        <v>MJ/kWh</v>
      </c>
      <c r="AA232" s="1112"/>
      <c r="AB232" s="1111"/>
      <c r="AC232" s="703"/>
      <c r="AD232" s="703"/>
      <c r="AE232" s="703"/>
      <c r="AF232" s="703"/>
      <c r="AG232" s="703"/>
      <c r="AH232" s="703"/>
      <c r="AJ232" s="713"/>
      <c r="AK232" s="703"/>
      <c r="AL232" s="703"/>
      <c r="AM232" s="224"/>
      <c r="AN232" s="489"/>
      <c r="AO232" s="489"/>
      <c r="AP232" s="489"/>
      <c r="AQ232" s="703"/>
      <c r="AR232" s="703"/>
      <c r="AS232" s="703"/>
      <c r="AT232" s="714"/>
      <c r="AU232" s="715"/>
      <c r="AV232" s="715"/>
      <c r="AW232" s="715"/>
      <c r="AX232" s="715"/>
      <c r="AY232" s="715"/>
      <c r="AZ232" s="715"/>
      <c r="BA232" s="715"/>
      <c r="BB232" s="703"/>
      <c r="BC232" s="703"/>
      <c r="BD232" s="703"/>
      <c r="BE232" s="703"/>
      <c r="BF232" s="703"/>
      <c r="BG232" s="703"/>
    </row>
    <row r="233" spans="1:59">
      <c r="B233" s="21"/>
      <c r="C233" s="292" t="str">
        <f t="shared" si="149"/>
        <v>elektriciteit geëxporteerd</v>
      </c>
      <c r="D233" s="444"/>
      <c r="E233" s="1128">
        <v>3.6</v>
      </c>
      <c r="F233" s="1111" t="str">
        <f t="shared" si="151"/>
        <v>MJ/kWh</v>
      </c>
      <c r="G233" s="1128">
        <f t="shared" ref="G233" si="166">G232</f>
        <v>3.6</v>
      </c>
      <c r="H233" s="1111" t="str">
        <f t="shared" si="151"/>
        <v>MJ/kWh</v>
      </c>
      <c r="I233" s="1128">
        <f t="shared" ref="I233" si="167">I232</f>
        <v>3.6</v>
      </c>
      <c r="J233" s="1111" t="str">
        <f t="shared" ref="J233" si="168">_xlfn.CONCAT(INDEX($C$185:$K$193,MATCH($C233,$C$185:$C$193,0),MATCH(I$228&amp;" | eenh. prim",$C$185:$K$185,0)),"/",INDEX($C$196:$O$204,MATCH($C233,$C$196:$C$204,0),MATCH(I$229,$C$196:$O$196,0)))</f>
        <v>MJ/kWh</v>
      </c>
      <c r="K233" s="445"/>
      <c r="M233" s="703"/>
      <c r="N233" s="1112">
        <v>1</v>
      </c>
      <c r="O233" s="1111" t="str">
        <f t="shared" ref="O233" si="169">_xlfn.CONCAT(INDEX($C$185:$K$193,MATCH($C233,$C$185:$C$193,0),MATCH(N$228&amp;" | eenh. prim",$C$185:$K$185,0)),"/",INDEX($C$196:$O$204,MATCH($C233,$C$196:$C$204,0),MATCH(N$229,$C$196:$O$196,0)))</f>
        <v>kWh/kWh</v>
      </c>
      <c r="P233" s="1112">
        <v>1</v>
      </c>
      <c r="Q233" s="1111" t="str">
        <f t="shared" ref="Q233" si="170">_xlfn.CONCAT(INDEX($C$185:$K$193,MATCH($C233,$C$185:$C$193,0),MATCH(P$228&amp;" | eenh. prim",$C$185:$K$185,0)),"/",INDEX($C$196:$O$204,MATCH($C233,$C$196:$C$204,0),MATCH(P$229,$C$196:$O$196,0)))</f>
        <v>kWh/kWh</v>
      </c>
      <c r="R233" s="1112">
        <v>1</v>
      </c>
      <c r="S233" s="1111" t="str">
        <f t="shared" ref="S233" si="171">_xlfn.CONCAT(INDEX($C$185:$K$193,MATCH($C233,$C$185:$C$193,0),MATCH(R$228&amp;" | eenh. prim",$C$185:$K$185,0)),"/",INDEX($C$196:$O$204,MATCH($C233,$C$196:$C$204,0),MATCH(R$229,$C$196:$O$196,0)))</f>
        <v>kWh/kWh</v>
      </c>
      <c r="T233" s="445"/>
      <c r="U233" s="703"/>
      <c r="V233" s="1127">
        <f t="shared" si="150"/>
        <v>0.56494080000000002</v>
      </c>
      <c r="W233" s="1128">
        <v>3.6</v>
      </c>
      <c r="X233" s="1111" t="str">
        <f t="shared" ref="X233" si="172">_xlfn.CONCAT(INDEX($C$185:$K$193,MATCH($C233,$C$185:$C$193,0),MATCH(W$228&amp;" | eenh. prim",$C$185:$K$185,0)),"/",INDEX($C$196:$O$204,MATCH($C233,$C$196:$C$204,0),MATCH(W$229,$C$196:$O$196,0)))</f>
        <v>MJ/kWh</v>
      </c>
      <c r="Y233" s="1128">
        <v>3.6</v>
      </c>
      <c r="Z233" s="1111" t="str">
        <f t="shared" ref="Z233" si="173">_xlfn.CONCAT(INDEX($C$185:$K$193,MATCH($C233,$C$185:$C$193,0),MATCH(Y$228&amp;" | eenh. prim",$C$185:$K$185,0)),"/",INDEX($C$196:$O$204,MATCH($C233,$C$196:$C$204,0),MATCH(Y$229,$C$196:$O$196,0)))</f>
        <v>MJ/kWh</v>
      </c>
      <c r="AA233" s="1112"/>
      <c r="AB233" s="1119"/>
      <c r="AC233" s="703"/>
      <c r="AD233" s="703"/>
      <c r="AE233" s="703"/>
      <c r="AF233" s="703"/>
      <c r="AG233" s="703"/>
      <c r="AH233" s="703"/>
      <c r="AJ233" s="224"/>
      <c r="AK233" s="703"/>
      <c r="AL233" s="703"/>
      <c r="AM233" s="237"/>
      <c r="AN233" s="490"/>
      <c r="AO233" s="490"/>
      <c r="AP233" s="490"/>
      <c r="AQ233" s="489"/>
      <c r="AR233" s="703"/>
      <c r="AS233" s="703"/>
      <c r="AT233" s="716"/>
      <c r="AU233" s="717"/>
      <c r="AV233" s="717"/>
      <c r="AW233" s="717"/>
      <c r="AX233" s="717"/>
      <c r="AY233" s="717"/>
      <c r="AZ233" s="717"/>
      <c r="BA233" s="717"/>
      <c r="BB233" s="703"/>
      <c r="BC233" s="703"/>
      <c r="BD233" s="703"/>
      <c r="BE233" s="703"/>
      <c r="BF233" s="703"/>
      <c r="BG233" s="703"/>
    </row>
    <row r="234" spans="1:59">
      <c r="B234" s="21"/>
      <c r="C234" s="292" t="str">
        <f t="shared" si="149"/>
        <v>externe warmte</v>
      </c>
      <c r="D234" s="444"/>
      <c r="E234" s="1112">
        <v>1000</v>
      </c>
      <c r="F234" s="1119" t="str">
        <f t="shared" si="151"/>
        <v>MJ/GJ</v>
      </c>
      <c r="G234" s="1112">
        <v>1000</v>
      </c>
      <c r="H234" s="1119" t="str">
        <f t="shared" si="151"/>
        <v>MJ/GJ</v>
      </c>
      <c r="I234" s="1112">
        <v>1000</v>
      </c>
      <c r="J234" s="1119" t="str">
        <f t="shared" ref="J234" si="174">_xlfn.CONCAT(INDEX($C$185:$K$193,MATCH($C234,$C$185:$C$193,0),MATCH(I$228&amp;" | eenh. prim",$C$185:$K$185,0)),"/",INDEX($C$196:$O$204,MATCH($C234,$C$196:$C$204,0),MATCH(I$229,$C$196:$O$196,0)))</f>
        <v>MJ/GJ</v>
      </c>
      <c r="K234" s="445"/>
      <c r="M234" s="703"/>
      <c r="N234" s="1112">
        <v>1</v>
      </c>
      <c r="O234" s="1119" t="str">
        <f t="shared" ref="O234" si="175">_xlfn.CONCAT(INDEX($C$185:$K$193,MATCH($C234,$C$185:$C$193,0),MATCH(N$228&amp;" | eenh. prim",$C$185:$K$185,0)),"/",INDEX($C$196:$O$204,MATCH($C234,$C$196:$C$204,0),MATCH(N$229,$C$196:$O$196,0)))</f>
        <v>kWh/kWh</v>
      </c>
      <c r="P234" s="1112">
        <f>1000/3.6</f>
        <v>277.77777777777777</v>
      </c>
      <c r="Q234" s="1119" t="str">
        <f t="shared" ref="Q234" si="176">_xlfn.CONCAT(INDEX($C$185:$K$193,MATCH($C234,$C$185:$C$193,0),MATCH(P$228&amp;" | eenh. prim",$C$185:$K$185,0)),"/",INDEX($C$196:$O$204,MATCH($C234,$C$196:$C$204,0),MATCH(P$229,$C$196:$O$196,0)))</f>
        <v>kWh/GJ</v>
      </c>
      <c r="R234" s="1112">
        <f>1000/3.6</f>
        <v>277.77777777777777</v>
      </c>
      <c r="S234" s="1119" t="str">
        <f t="shared" ref="S234" si="177">_xlfn.CONCAT(INDEX($C$185:$K$193,MATCH($C234,$C$185:$C$193,0),MATCH(R$228&amp;" | eenh. prim",$C$185:$K$185,0)),"/",INDEX($C$196:$O$204,MATCH($C234,$C$196:$C$204,0),MATCH(R$229,$C$196:$O$196,0)))</f>
        <v>kWh/GJ</v>
      </c>
      <c r="T234" s="445"/>
      <c r="U234" s="703"/>
      <c r="V234" s="1110">
        <f t="shared" si="150"/>
        <v>87.7</v>
      </c>
      <c r="W234" s="1112">
        <v>1000</v>
      </c>
      <c r="X234" s="1119" t="str">
        <f t="shared" ref="X234" si="178">_xlfn.CONCAT(INDEX($C$185:$K$193,MATCH($C234,$C$185:$C$193,0),MATCH(W$228&amp;" | eenh. prim",$C$185:$K$185,0)),"/",INDEX($C$196:$O$204,MATCH($C234,$C$196:$C$204,0),MATCH(W$229,$C$196:$O$196,0)))</f>
        <v>MJ/GJ</v>
      </c>
      <c r="Y234" s="1112">
        <v>1000</v>
      </c>
      <c r="Z234" s="1119" t="str">
        <f t="shared" ref="Z234" si="179">_xlfn.CONCAT(INDEX($C$185:$K$193,MATCH($C234,$C$185:$C$193,0),MATCH(Y$228&amp;" | eenh. prim",$C$185:$K$185,0)),"/",INDEX($C$196:$O$204,MATCH($C234,$C$196:$C$204,0),MATCH(Y$229,$C$196:$O$196,0)))</f>
        <v>MJ/GJ</v>
      </c>
      <c r="AA234" s="1112"/>
      <c r="AB234" s="1119"/>
      <c r="AC234" s="703"/>
      <c r="AD234" s="703"/>
      <c r="AE234" s="703"/>
      <c r="AF234" s="703"/>
      <c r="AG234" s="703"/>
      <c r="AH234" s="703"/>
      <c r="AJ234" s="224"/>
      <c r="AK234" s="703"/>
      <c r="AL234" s="703"/>
      <c r="AM234" s="237"/>
      <c r="AN234" s="490"/>
      <c r="AO234" s="490"/>
      <c r="AP234" s="490"/>
      <c r="AQ234" s="490"/>
      <c r="AR234" s="703"/>
      <c r="AS234" s="703"/>
      <c r="AT234" s="716"/>
      <c r="AU234" s="717"/>
      <c r="AV234" s="717"/>
      <c r="AW234" s="717"/>
      <c r="AX234" s="717"/>
      <c r="AY234" s="717"/>
      <c r="AZ234" s="717"/>
      <c r="BA234" s="717"/>
      <c r="BB234" s="703"/>
      <c r="BC234" s="703"/>
      <c r="BD234" s="703"/>
      <c r="BE234" s="703"/>
      <c r="BF234" s="703"/>
      <c r="BG234" s="703"/>
    </row>
    <row r="235" spans="1:59">
      <c r="B235" s="21"/>
      <c r="C235" s="292" t="str">
        <f t="shared" si="149"/>
        <v>externe koude</v>
      </c>
      <c r="D235" s="444"/>
      <c r="E235" s="1112">
        <v>1000</v>
      </c>
      <c r="F235" s="1119" t="str">
        <f t="shared" si="151"/>
        <v>MJ/GJ</v>
      </c>
      <c r="G235" s="1112">
        <v>1000</v>
      </c>
      <c r="H235" s="1119" t="str">
        <f t="shared" si="151"/>
        <v>MJ/GJ</v>
      </c>
      <c r="I235" s="1112">
        <v>1000</v>
      </c>
      <c r="J235" s="1119" t="str">
        <f t="shared" ref="J235" si="180">_xlfn.CONCAT(INDEX($C$185:$K$193,MATCH($C235,$C$185:$C$193,0),MATCH(I$228&amp;" | eenh. prim",$C$185:$K$185,0)),"/",INDEX($C$196:$O$204,MATCH($C235,$C$196:$C$204,0),MATCH(I$229,$C$196:$O$196,0)))</f>
        <v>MJ/GJ</v>
      </c>
      <c r="K235" s="445"/>
      <c r="M235" s="703"/>
      <c r="N235" s="1112">
        <v>1</v>
      </c>
      <c r="O235" s="1119" t="str">
        <f t="shared" ref="O235" si="181">_xlfn.CONCAT(INDEX($C$185:$K$193,MATCH($C235,$C$185:$C$193,0),MATCH(N$228&amp;" | eenh. prim",$C$185:$K$185,0)),"/",INDEX($C$196:$O$204,MATCH($C235,$C$196:$C$204,0),MATCH(N$229,$C$196:$O$196,0)))</f>
        <v>kWh/kWh</v>
      </c>
      <c r="P235" s="1112">
        <f>1000/3.6</f>
        <v>277.77777777777777</v>
      </c>
      <c r="Q235" s="1119" t="str">
        <f t="shared" ref="Q235" si="182">_xlfn.CONCAT(INDEX($C$185:$K$193,MATCH($C235,$C$185:$C$193,0),MATCH(P$228&amp;" | eenh. prim",$C$185:$K$185,0)),"/",INDEX($C$196:$O$204,MATCH($C235,$C$196:$C$204,0),MATCH(P$229,$C$196:$O$196,0)))</f>
        <v>kWh/GJ</v>
      </c>
      <c r="R235" s="1112">
        <f>1000/3.6</f>
        <v>277.77777777777777</v>
      </c>
      <c r="S235" s="1119" t="str">
        <f t="shared" ref="S235" si="183">_xlfn.CONCAT(INDEX($C$185:$K$193,MATCH($C235,$C$185:$C$193,0),MATCH(R$228&amp;" | eenh. prim",$C$185:$K$185,0)),"/",INDEX($C$196:$O$204,MATCH($C235,$C$196:$C$204,0),MATCH(R$229,$C$196:$O$196,0)))</f>
        <v>kWh/GJ</v>
      </c>
      <c r="T235" s="445"/>
      <c r="U235" s="703"/>
      <c r="V235" s="1110">
        <f t="shared" si="150"/>
        <v>87.7</v>
      </c>
      <c r="W235" s="1112">
        <v>1000</v>
      </c>
      <c r="X235" s="1119" t="str">
        <f t="shared" ref="X235" si="184">_xlfn.CONCAT(INDEX($C$185:$K$193,MATCH($C235,$C$185:$C$193,0),MATCH(W$228&amp;" | eenh. prim",$C$185:$K$185,0)),"/",INDEX($C$196:$O$204,MATCH($C235,$C$196:$C$204,0),MATCH(W$229,$C$196:$O$196,0)))</f>
        <v>MJ/GJ</v>
      </c>
      <c r="Y235" s="1112">
        <v>1000</v>
      </c>
      <c r="Z235" s="1119" t="str">
        <f t="shared" ref="Z235" si="185">_xlfn.CONCAT(INDEX($C$185:$K$193,MATCH($C235,$C$185:$C$193,0),MATCH(Y$228&amp;" | eenh. prim",$C$185:$K$185,0)),"/",INDEX($C$196:$O$204,MATCH($C235,$C$196:$C$204,0),MATCH(Y$229,$C$196:$O$196,0)))</f>
        <v>MJ/GJ</v>
      </c>
      <c r="AA235" s="1112"/>
      <c r="AB235" s="1119"/>
      <c r="AC235" s="703"/>
      <c r="AD235" s="703"/>
      <c r="AE235" s="703"/>
      <c r="AF235" s="703"/>
      <c r="AG235" s="703"/>
      <c r="AH235" s="703"/>
      <c r="AJ235" s="224"/>
      <c r="AK235" s="703"/>
      <c r="AL235" s="703"/>
      <c r="AM235" s="237"/>
      <c r="AN235" s="490"/>
      <c r="AO235" s="490"/>
      <c r="AP235" s="490"/>
      <c r="AQ235" s="490"/>
      <c r="AR235" s="703"/>
      <c r="AS235" s="703"/>
      <c r="AT235" s="716"/>
      <c r="AU235" s="717"/>
      <c r="AV235" s="717"/>
      <c r="AW235" s="717"/>
      <c r="AX235" s="717"/>
      <c r="AY235" s="717"/>
      <c r="AZ235" s="717"/>
      <c r="BA235" s="717"/>
      <c r="BB235" s="703"/>
      <c r="BC235" s="703"/>
      <c r="BD235" s="703"/>
      <c r="BE235" s="703"/>
      <c r="BF235" s="703"/>
      <c r="BG235" s="703"/>
    </row>
    <row r="236" spans="1:59">
      <c r="B236" s="21"/>
      <c r="C236" s="292" t="str">
        <f t="shared" si="149"/>
        <v>hout / biomassa</v>
      </c>
      <c r="D236" s="444"/>
      <c r="E236" s="1112">
        <v>1</v>
      </c>
      <c r="F236" s="1119" t="str">
        <f t="shared" si="151"/>
        <v>MJ/MJ</v>
      </c>
      <c r="G236" s="1112">
        <v>1</v>
      </c>
      <c r="H236" s="1119" t="str">
        <f t="shared" si="151"/>
        <v>MJ/MJ</v>
      </c>
      <c r="I236" s="1112">
        <v>1</v>
      </c>
      <c r="J236" s="1119" t="str">
        <f t="shared" ref="J236" si="186">_xlfn.CONCAT(INDEX($C$185:$K$193,MATCH($C236,$C$185:$C$193,0),MATCH(I$228&amp;" | eenh. prim",$C$185:$K$185,0)),"/",INDEX($C$196:$O$204,MATCH($C236,$C$196:$C$204,0),MATCH(I$229,$C$196:$O$196,0)))</f>
        <v>MJ/MJ</v>
      </c>
      <c r="K236" s="445"/>
      <c r="M236" s="703"/>
      <c r="N236" s="1112">
        <v>1</v>
      </c>
      <c r="O236" s="1119" t="str">
        <f t="shared" ref="O236" si="187">_xlfn.CONCAT(INDEX($C$185:$K$193,MATCH($C236,$C$185:$C$193,0),MATCH(N$228&amp;" | eenh. prim",$C$185:$K$185,0)),"/",INDEX($C$196:$O$204,MATCH($C236,$C$196:$C$204,0),MATCH(N$229,$C$196:$O$196,0)))</f>
        <v>kWh/kWh</v>
      </c>
      <c r="P236" s="1112">
        <v>1</v>
      </c>
      <c r="Q236" s="1119" t="str">
        <f t="shared" ref="Q236" si="188">_xlfn.CONCAT(INDEX($C$185:$K$193,MATCH($C236,$C$185:$C$193,0),MATCH(P$228&amp;" | eenh. prim",$C$185:$K$185,0)),"/",INDEX($C$196:$O$204,MATCH($C236,$C$196:$C$204,0),MATCH(P$229,$C$196:$O$196,0)))</f>
        <v>kWh/kWh</v>
      </c>
      <c r="R236" s="1112">
        <v>1</v>
      </c>
      <c r="S236" s="1119" t="str">
        <f t="shared" ref="S236" si="189">_xlfn.CONCAT(INDEX($C$185:$K$193,MATCH($C236,$C$185:$C$193,0),MATCH(R$228&amp;" | eenh. prim",$C$185:$K$185,0)),"/",INDEX($C$196:$O$204,MATCH($C236,$C$196:$C$204,0),MATCH(R$229,$C$196:$O$196,0)))</f>
        <v>kWh/kWh</v>
      </c>
      <c r="T236" s="445"/>
      <c r="U236" s="703"/>
      <c r="V236" s="1110">
        <f t="shared" si="150"/>
        <v>0.109</v>
      </c>
      <c r="W236" s="1112">
        <v>1</v>
      </c>
      <c r="X236" s="1119" t="str">
        <f t="shared" ref="X236" si="190">_xlfn.CONCAT(INDEX($C$185:$K$193,MATCH($C236,$C$185:$C$193,0),MATCH(W$228&amp;" | eenh. prim",$C$185:$K$185,0)),"/",INDEX($C$196:$O$204,MATCH($C236,$C$196:$C$204,0),MATCH(W$229,$C$196:$O$196,0)))</f>
        <v>MJ/MJ</v>
      </c>
      <c r="Y236" s="1112">
        <v>1</v>
      </c>
      <c r="Z236" s="1119" t="str">
        <f t="shared" ref="Z236" si="191">_xlfn.CONCAT(INDEX($C$185:$K$193,MATCH($C236,$C$185:$C$193,0),MATCH(Y$228&amp;" | eenh. prim",$C$185:$K$185,0)),"/",INDEX($C$196:$O$204,MATCH($C236,$C$196:$C$204,0),MATCH(Y$229,$C$196:$O$196,0)))</f>
        <v>MJ/MJ</v>
      </c>
      <c r="AA236" s="1112"/>
      <c r="AB236" s="1122"/>
      <c r="AC236" s="703"/>
      <c r="AD236" s="703"/>
      <c r="AE236" s="703"/>
      <c r="AF236" s="703"/>
      <c r="AG236" s="703"/>
      <c r="AH236" s="703"/>
      <c r="AJ236" s="224"/>
      <c r="AK236" s="703"/>
      <c r="AL236" s="703"/>
      <c r="AM236" s="311"/>
      <c r="AN236" s="491"/>
      <c r="AO236" s="491"/>
      <c r="AP236" s="491"/>
      <c r="AQ236" s="490"/>
      <c r="AR236" s="703"/>
      <c r="AS236" s="703"/>
      <c r="AT236" s="716"/>
      <c r="AU236" s="717"/>
      <c r="AV236" s="717"/>
      <c r="AW236" s="717"/>
      <c r="AX236" s="717"/>
      <c r="AY236" s="717"/>
      <c r="AZ236" s="717"/>
      <c r="BA236" s="717"/>
      <c r="BB236" s="703"/>
      <c r="BC236" s="703"/>
      <c r="BD236" s="703"/>
      <c r="BE236" s="703"/>
      <c r="BF236" s="703"/>
      <c r="BG236" s="703"/>
    </row>
    <row r="237" spans="1:59">
      <c r="C237" s="293" t="str">
        <f t="shared" si="149"/>
        <v>totaal</v>
      </c>
      <c r="D237" s="446"/>
      <c r="E237" s="1121" t="s">
        <v>132</v>
      </c>
      <c r="F237" s="1122" t="str">
        <f t="shared" si="151"/>
        <v>MJ/-</v>
      </c>
      <c r="G237" s="1121">
        <v>0</v>
      </c>
      <c r="H237" s="1122" t="str">
        <f t="shared" si="151"/>
        <v>MJ/-</v>
      </c>
      <c r="I237" s="1121" t="s">
        <v>132</v>
      </c>
      <c r="J237" s="1122" t="str">
        <f t="shared" ref="J237" si="192">_xlfn.CONCAT(INDEX($C$185:$K$193,MATCH($C237,$C$185:$C$193,0),MATCH(I$228&amp;" | eenh. prim",$C$185:$K$185,0)),"/",INDEX($C$196:$O$204,MATCH($C237,$C$196:$C$204,0),MATCH(I$229,$C$196:$O$196,0)))</f>
        <v>MJ/-</v>
      </c>
      <c r="K237" s="447"/>
      <c r="M237" s="703"/>
      <c r="N237" s="1123" t="s">
        <v>132</v>
      </c>
      <c r="O237" s="1122" t="str">
        <f t="shared" ref="O237" si="193">_xlfn.CONCAT(INDEX($C$185:$K$193,MATCH($C237,$C$185:$C$193,0),MATCH(N$228&amp;" | eenh. prim",$C$185:$K$185,0)),"/",INDEX($C$196:$O$204,MATCH($C237,$C$196:$C$204,0),MATCH(N$229,$C$196:$O$196,0)))</f>
        <v>kWh/-</v>
      </c>
      <c r="P237" s="1121" t="s">
        <v>132</v>
      </c>
      <c r="Q237" s="1122" t="str">
        <f t="shared" ref="Q237" si="194">_xlfn.CONCAT(INDEX($C$185:$K$193,MATCH($C237,$C$185:$C$193,0),MATCH(P$228&amp;" | eenh. prim",$C$185:$K$185,0)),"/",INDEX($C$196:$O$204,MATCH($C237,$C$196:$C$204,0),MATCH(P$229,$C$196:$O$196,0)))</f>
        <v>kWh/-</v>
      </c>
      <c r="R237" s="1123"/>
      <c r="S237" s="1122" t="str">
        <f t="shared" ref="S237" si="195">_xlfn.CONCAT(INDEX($C$185:$K$193,MATCH($C237,$C$185:$C$193,0),MATCH(R$228&amp;" | eenh. prim",$C$185:$K$185,0)),"/",INDEX($C$196:$O$204,MATCH($C237,$C$196:$C$204,0),MATCH(R$229,$C$196:$O$196,0)))</f>
        <v>kWh/-</v>
      </c>
      <c r="T237" s="447"/>
      <c r="U237" s="703"/>
      <c r="V237" s="1121" t="s">
        <v>132</v>
      </c>
      <c r="W237" s="1123"/>
      <c r="X237" s="1122" t="str">
        <f t="shared" ref="X237" si="196">_xlfn.CONCAT(INDEX($C$185:$K$193,MATCH($C237,$C$185:$C$193,0),MATCH(W$228&amp;" | eenh. prim",$C$185:$K$185,0)),"/",INDEX($C$196:$O$204,MATCH($C237,$C$196:$C$204,0),MATCH(W$229,$C$196:$O$196,0)))</f>
        <v>MJ/-</v>
      </c>
      <c r="Y237" s="1123"/>
      <c r="Z237" s="1122" t="str">
        <f t="shared" ref="Z237" si="197">_xlfn.CONCAT(INDEX($C$185:$K$193,MATCH($C237,$C$185:$C$193,0),MATCH(Y$228&amp;" | eenh. prim",$C$185:$K$185,0)),"/",INDEX($C$196:$O$204,MATCH($C237,$C$196:$C$204,0),MATCH(Y$229,$C$196:$O$196,0)))</f>
        <v>MJ/-</v>
      </c>
      <c r="AA237" s="1123"/>
      <c r="AB237" s="713" t="s">
        <v>480</v>
      </c>
      <c r="AC237" s="703"/>
      <c r="AD237" s="703"/>
      <c r="AE237" s="224"/>
      <c r="AF237" s="489"/>
      <c r="AG237" s="489"/>
      <c r="AH237" s="489"/>
      <c r="AI237" s="489"/>
      <c r="AJ237" s="703"/>
      <c r="AK237" s="703"/>
      <c r="AL237" s="716"/>
      <c r="AM237" s="717"/>
      <c r="AN237" s="717"/>
      <c r="AO237" s="717"/>
      <c r="AP237" s="717"/>
      <c r="AQ237" s="491"/>
      <c r="AR237" s="703"/>
      <c r="AS237" s="703"/>
      <c r="AT237" s="716"/>
      <c r="AU237" s="717"/>
      <c r="AV237" s="717"/>
      <c r="AW237" s="717"/>
      <c r="AX237" s="717"/>
      <c r="AY237" s="717"/>
      <c r="AZ237" s="717"/>
      <c r="BA237" s="717"/>
      <c r="BB237" s="703"/>
      <c r="BC237" s="703"/>
      <c r="BD237" s="703"/>
      <c r="BE237" s="703"/>
      <c r="BF237" s="703"/>
      <c r="BG237" s="703"/>
    </row>
    <row r="238" spans="1:59">
      <c r="C238" s="703"/>
      <c r="D238" s="703"/>
      <c r="E238" s="703"/>
      <c r="F238" s="703"/>
      <c r="G238" s="703"/>
      <c r="H238" s="703"/>
      <c r="I238" s="703"/>
      <c r="J238" s="703"/>
      <c r="K238" s="703"/>
      <c r="M238" s="703"/>
      <c r="N238" s="703"/>
      <c r="O238" s="703"/>
      <c r="P238" s="703"/>
      <c r="Q238" s="703"/>
      <c r="R238" s="703"/>
      <c r="S238" s="703"/>
      <c r="T238" s="703"/>
      <c r="U238" s="703"/>
      <c r="V238" s="703"/>
      <c r="W238" s="703"/>
      <c r="X238" s="703"/>
      <c r="Y238" s="703"/>
      <c r="Z238" s="703"/>
      <c r="AA238" s="703"/>
      <c r="AB238" s="703"/>
      <c r="AC238" s="703"/>
      <c r="AD238" s="703"/>
      <c r="AE238" s="705"/>
      <c r="AF238" s="705"/>
      <c r="AG238" s="705"/>
      <c r="AH238" s="705"/>
      <c r="AI238" s="705"/>
      <c r="AJ238" s="703"/>
      <c r="AK238" s="705"/>
      <c r="AL238" s="705"/>
      <c r="AM238" s="705"/>
      <c r="AN238" s="705"/>
      <c r="AO238" s="705"/>
      <c r="AP238" s="18"/>
      <c r="AQ238" s="717"/>
      <c r="AR238" s="717"/>
      <c r="AS238" s="717"/>
      <c r="AT238" s="703"/>
      <c r="AU238" s="703"/>
      <c r="AV238" s="703"/>
      <c r="AW238" s="703"/>
    </row>
    <row r="239" spans="1:59" s="6" customFormat="1">
      <c r="A239" s="19"/>
      <c r="B239" s="88">
        <f ca="1">MAX($B$1:OFFSET(B239,-1,0))+1</f>
        <v>22</v>
      </c>
      <c r="C239" s="122" t="s">
        <v>1601</v>
      </c>
      <c r="D239" s="122"/>
      <c r="E239" s="1015" t="str">
        <f>VLOOKUP(E$229,$C$175:$K$182,COLUMNS($C$174:$E$174),FALSE)</f>
        <v>NEN 7120</v>
      </c>
      <c r="F239" s="1015"/>
      <c r="G239" s="1015" t="str">
        <f t="shared" ref="G239" si="198">VLOOKUP(G$229,$C$175:$K$182,COLUMNS($C$174:$E$174),FALSE)</f>
        <v>NEN 7120</v>
      </c>
      <c r="H239" s="1015"/>
      <c r="I239" s="1015" t="str">
        <f t="shared" ref="I239" si="199">VLOOKUP(I$229,$C$175:$K$182,COLUMNS($C$174:$E$174),FALSE)</f>
        <v>NEN 7120</v>
      </c>
      <c r="J239" s="1015"/>
      <c r="K239" s="14"/>
      <c r="L239" s="14"/>
      <c r="M239" s="14"/>
      <c r="N239" s="1015" t="str">
        <f>VLOOKUP(N$229,$C$175:$K$182,COLUMNS($C$174:$E$174),FALSE)</f>
        <v>NTA 8800</v>
      </c>
      <c r="O239" s="1015"/>
      <c r="P239" s="1015" t="str">
        <f>VLOOKUP(P$229,$C$175:$K$182,COLUMNS($C$174:$E$174),FALSE)</f>
        <v>NTA 8800</v>
      </c>
      <c r="Q239" s="1015"/>
      <c r="R239" s="1015" t="str">
        <f>VLOOKUP(R$229,$C$175:$K$182,COLUMNS($C$174:$E$174),FALSE)</f>
        <v>NTA 8800</v>
      </c>
      <c r="S239" s="1015"/>
      <c r="T239" s="14"/>
      <c r="U239" s="703"/>
      <c r="V239" s="703"/>
      <c r="W239" s="1015" t="str">
        <f>VLOOKUP(W$229,$C$175:$K$182,COLUMNS($C$174:$E$174),FALSE)</f>
        <v>ISSO 75.3</v>
      </c>
      <c r="X239" s="1015"/>
      <c r="Y239" s="1015" t="str">
        <f>VLOOKUP(Y$229,$C$175:$K$182,COLUMNS($C$174:$E$174),FALSE)</f>
        <v>ISSO 75.3</v>
      </c>
      <c r="Z239" s="1015"/>
      <c r="AA239" s="14"/>
      <c r="AB239" s="14"/>
      <c r="AC239" s="705"/>
      <c r="AD239" s="705"/>
      <c r="AE239" s="705"/>
      <c r="AF239" s="705"/>
      <c r="AG239" s="705"/>
      <c r="AH239" s="705"/>
      <c r="AI239" s="705"/>
      <c r="AJ239" s="703"/>
      <c r="AK239" s="8"/>
      <c r="AL239" s="8"/>
      <c r="AM239" s="8"/>
      <c r="AN239" s="8"/>
      <c r="AO239" s="8"/>
      <c r="AP239" s="705"/>
      <c r="AQ239" s="19"/>
      <c r="AR239" s="705"/>
      <c r="AS239" s="705"/>
      <c r="AT239" s="705"/>
      <c r="AU239" s="705"/>
      <c r="AV239" s="705"/>
      <c r="AW239" s="705"/>
      <c r="AX239" s="703"/>
      <c r="AY239" s="703"/>
      <c r="AZ239" s="703"/>
      <c r="BA239" s="703"/>
      <c r="BB239" s="2"/>
      <c r="BC239" s="2"/>
      <c r="BD239" s="2"/>
      <c r="BE239" s="2"/>
      <c r="BF239" s="2"/>
      <c r="BG239" s="2"/>
    </row>
    <row r="240" spans="1:59">
      <c r="B240" s="21"/>
      <c r="C240" s="296" t="s">
        <v>458</v>
      </c>
      <c r="D240" s="297"/>
      <c r="E240" s="1010" t="str" cm="1">
        <f t="array" ref="E240">INDEX($C$175:$C$182,E227)</f>
        <v>Enorm</v>
      </c>
      <c r="F240" s="1030" t="str">
        <f>_xlfn.CONCAT(E240," | eenheid")</f>
        <v>Enorm | eenheid</v>
      </c>
      <c r="G240" s="1010" t="str" cm="1">
        <f t="array" ref="G240">INDEX($C$175:$C$182,G227)</f>
        <v>Uniec 2 per functie</v>
      </c>
      <c r="H240" s="1030" t="str">
        <f>_xlfn.CONCAT(G240," | eenheid")</f>
        <v>Uniec 2 per functie | eenheid</v>
      </c>
      <c r="I240" s="1010" t="str" cm="1">
        <f t="array" ref="I240">INDEX($C$175:$C$182,I227)</f>
        <v>Uniec 2 finaal</v>
      </c>
      <c r="J240" s="1030" t="str">
        <f>_xlfn.CONCAT(I240," | eenheid")</f>
        <v>Uniec 2 finaal | eenheid</v>
      </c>
      <c r="K240" s="1129"/>
      <c r="L240" s="1129"/>
      <c r="M240" s="1129"/>
      <c r="N240" s="1010" t="str" cm="1">
        <f t="array" ref="N240">INDEX($C$175:$C$182,N227)</f>
        <v>VABI NTA 8800</v>
      </c>
      <c r="O240" s="1030" t="str">
        <f>_xlfn.CONCAT(N240," | eenheid")</f>
        <v>VABI NTA 8800 | eenheid</v>
      </c>
      <c r="P240" s="1010" t="str" cm="1">
        <f t="array" ref="P240">INDEX($C$175:$C$182,P227)</f>
        <v>Uniec 3 per functie</v>
      </c>
      <c r="Q240" s="1030" t="str">
        <f>_xlfn.CONCAT(P240," | eenheid")</f>
        <v>Uniec 3 per functie | eenheid</v>
      </c>
      <c r="R240" s="1010" t="str" cm="1">
        <f t="array" ref="R240">INDEX($C$175:$C$182,R227)</f>
        <v>Uniec 3 finaal</v>
      </c>
      <c r="S240" s="1030" t="str">
        <f>_xlfn.CONCAT(R240," | eenheid")</f>
        <v>Uniec 3 finaal | eenheid</v>
      </c>
      <c r="T240" s="1006">
        <v>0</v>
      </c>
      <c r="U240" s="1129">
        <v>0</v>
      </c>
      <c r="V240" s="1010"/>
      <c r="W240" s="1010" t="str" cm="1">
        <f t="array" ref="W240">INDEX($C$175:$C$182,W227)</f>
        <v>VABI EPA-U</v>
      </c>
      <c r="X240" s="1030" t="str">
        <f>_xlfn.CONCAT(W240," | eenheid")</f>
        <v>VABI EPA-U | eenheid</v>
      </c>
      <c r="Y240" s="1010" t="str" cm="1">
        <f t="array" ref="Y240">INDEX($C$175:$C$182,Y227)</f>
        <v>Energielabel utiliteit</v>
      </c>
      <c r="Z240" s="1030" t="str">
        <f>_xlfn.CONCAT(Y240," | eenheid")</f>
        <v>Energielabel utiliteit | eenheid</v>
      </c>
      <c r="AC240" s="703"/>
      <c r="AD240" s="229"/>
      <c r="AE240" s="705"/>
      <c r="AF240" s="705"/>
      <c r="AG240" s="705"/>
      <c r="AH240" s="705"/>
      <c r="AI240" s="705"/>
      <c r="AJ240" s="703"/>
      <c r="AK240" s="703"/>
      <c r="AL240" s="703"/>
      <c r="AM240" s="703"/>
      <c r="AN240" s="703"/>
      <c r="AO240" s="703"/>
      <c r="AP240" s="703"/>
      <c r="AQ240" s="705"/>
      <c r="AR240" s="705"/>
      <c r="AS240" s="705"/>
      <c r="AT240" s="705"/>
      <c r="AU240" s="705"/>
      <c r="AV240" s="705"/>
      <c r="AW240" s="705"/>
      <c r="AX240" s="705"/>
      <c r="AY240" s="705"/>
      <c r="AZ240" s="705"/>
      <c r="BA240" s="705"/>
      <c r="BB240" s="6"/>
      <c r="BC240" s="6"/>
      <c r="BD240" s="6"/>
      <c r="BE240" s="6"/>
      <c r="BF240" s="6"/>
      <c r="BG240" s="6"/>
    </row>
    <row r="241" spans="1:59" s="703" customFormat="1">
      <c r="A241" s="18"/>
      <c r="B241" s="21"/>
      <c r="C241" s="990" t="str">
        <f t="shared" ref="C241:C248" si="200">C230</f>
        <v>aardgas</v>
      </c>
      <c r="D241" s="67"/>
      <c r="E241" s="1011" t="str">
        <f t="shared" ref="E241:E248" si="201">IFERROR(
_xlfn.CONCAT(
FIXED(INDEX($C$229:$Z$237,MATCH($C241,$C$229:$C$237,0),MATCH(E$240,$C$229:$Z$229,0))*INDEX($C$218:$K$226,MATCH($C241,$C$218:$C$226,0),MATCH(E$239,$C$218:$K$218,0)),3)),
0)</f>
        <v>1.780</v>
      </c>
      <c r="F241" s="1149" t="str">
        <f t="shared" ref="F241:F248" si="202">_xlfn.CONCAT("kg/",INDEX(energiedragers_EP_eenheden,MATCH($C241,$C$196:$C$204,0),MATCH(E$240,energiedragers_EP_eenheden_titel,0)))</f>
        <v>kg/m3</v>
      </c>
      <c r="G241" s="1011" t="str">
        <f t="shared" ref="G241" si="203">IFERROR(
_xlfn.CONCAT(
FIXED(INDEX($C$229:$Z$237,MATCH($C241,$C$229:$C$237,0),MATCH(G$240,$C$229:$Z$229,0))*INDEX($C$218:$K$226,MATCH($C241,$C$218:$C$226,0),MATCH(G$239,$C$218:$K$218,0)),3)),
0)</f>
        <v>1.780</v>
      </c>
      <c r="H241" s="1149" t="str">
        <f t="shared" ref="H241:H248" si="204">_xlfn.CONCAT("kg/",INDEX(energiedragers_EP_eenheden,MATCH($C241,$C$196:$C$204,0),MATCH(G$240,energiedragers_EP_eenheden_titel,0)))</f>
        <v>kg/m3 aeq</v>
      </c>
      <c r="I241" s="1011" t="str">
        <f t="shared" ref="I241" si="205">IFERROR(
_xlfn.CONCAT(
FIXED(INDEX($C$229:$Z$237,MATCH($C241,$C$229:$C$237,0),MATCH(I$240,$C$229:$Z$229,0))*INDEX($C$218:$K$226,MATCH($C241,$C$218:$C$226,0),MATCH(I$239,$C$218:$K$218,0)),3)),
0)</f>
        <v>1.780</v>
      </c>
      <c r="J241" s="1149" t="str">
        <f t="shared" ref="J241:J248" si="206">_xlfn.CONCAT("kg/",INDEX(energiedragers_EP_eenheden,MATCH($C241,$C$196:$C$204,0),MATCH(I$240,energiedragers_EP_eenheden_titel,0)))</f>
        <v>kg/m3 aeq</v>
      </c>
      <c r="K241" s="1130"/>
      <c r="L241" s="1130"/>
      <c r="M241" s="1130"/>
      <c r="N241" s="1011" t="str">
        <f t="shared" ref="N241:R248" si="207">IFERROR(
_xlfn.CONCAT(
FIXED(INDEX($C$229:$Z$237,MATCH($C241,$C$229:$C$237,0),MATCH(N$240,$C$229:$Z$229,0))*INDEX($C$218:$K$226,MATCH($C241,$C$218:$C$226,0),MATCH(N$239,$C$218:$K$218,0)),3)),
0)</f>
        <v>0.183</v>
      </c>
      <c r="O241" s="1149" t="str">
        <f t="shared" ref="O241:O248" si="208">_xlfn.CONCAT("kg/",INDEX(energiedragers_EP_eenheden,MATCH($C241,$C$196:$C$204,0),MATCH(N$240,energiedragers_EP_eenheden_titel,0)))</f>
        <v>kg/kWh</v>
      </c>
      <c r="P241" s="1011" t="str">
        <f t="shared" ref="P241" si="209">IFERROR(
_xlfn.CONCAT(
FIXED(INDEX($C$229:$Z$237,MATCH($C241,$C$229:$C$237,0),MATCH(P$240,$C$229:$Z$229,0))*INDEX($C$218:$K$226,MATCH($C241,$C$218:$C$226,0),MATCH(P$239,$C$218:$K$218,0)),3)),
0)</f>
        <v>1.788</v>
      </c>
      <c r="Q241" s="1149" t="str">
        <f t="shared" ref="Q241:Q248" si="210">_xlfn.CONCAT("kg/",INDEX(energiedragers_EP_eenheden,MATCH($C241,$C$196:$C$204,0),MATCH(P$240,energiedragers_EP_eenheden_titel,0)))</f>
        <v>kg/m3 aeq</v>
      </c>
      <c r="R241" s="1011" t="str">
        <f t="shared" ref="R241" si="211">IFERROR(
_xlfn.CONCAT(
FIXED(INDEX($C$229:$Z$237,MATCH($C241,$C$229:$C$237,0),MATCH(R$240,$C$229:$Z$229,0))*INDEX($C$218:$K$226,MATCH($C241,$C$218:$C$226,0),MATCH(R$239,$C$218:$K$218,0)),3)),
0)</f>
        <v>1.788</v>
      </c>
      <c r="S241" s="1149" t="str">
        <f t="shared" ref="S241:S248" si="212">_xlfn.CONCAT("kg/",INDEX(energiedragers_EP_eenheden,MATCH($C241,$C$196:$C$204,0),MATCH(R$240,energiedragers_EP_eenheden_titel,0)))</f>
        <v>kg/m3 aeq</v>
      </c>
      <c r="T241" s="711"/>
      <c r="U241" s="711"/>
      <c r="V241" s="711"/>
      <c r="W241" s="1011" t="str">
        <f>IFERROR(
_xlfn.CONCAT(
FIXED(INDEX($C$229:$Z$237,MATCH($C241,$C$229:$C$237,0),MATCH(W$240,$C$229:$Z$229,0))*INDEX($C$218:$K$226,MATCH($C241,$C$218:$C$226,0),MATCH(W$239,$C$218:$K$218,0)),3)),
0)</f>
        <v>1.780</v>
      </c>
      <c r="X241" s="1149" t="str">
        <f t="shared" ref="X241:X248" si="213">_xlfn.CONCAT("kg/",INDEX(energiedragers_EP_eenheden,MATCH($C241,$C$196:$C$204,0),MATCH(W$240,energiedragers_EP_eenheden_titel,0)))</f>
        <v>kg/m3</v>
      </c>
      <c r="Y241" s="1011" t="str">
        <f>IFERROR(
_xlfn.CONCAT(
FIXED(INDEX($C$229:$Z$237,MATCH($C241,$C$229:$C$237,0),MATCH(Y$240,$C$229:$Z$229,0))*INDEX($C$218:$K$226,MATCH($C241,$C$218:$C$226,0),MATCH(Y$239,$C$218:$K$218,0)),3)),
0)</f>
        <v>1.780</v>
      </c>
      <c r="Z241" s="1149" t="str">
        <f t="shared" ref="Z241:Z248" si="214">_xlfn.CONCAT("kg/",INDEX(energiedragers_EP_eenheden,MATCH($C241,$C$196:$C$204,0),MATCH(Y$240,energiedragers_EP_eenheden_titel,0)))</f>
        <v>kg/m3</v>
      </c>
      <c r="AA241" s="2"/>
      <c r="AB241" s="2"/>
      <c r="AD241" s="229"/>
      <c r="AE241" s="705"/>
      <c r="AF241" s="705"/>
      <c r="AG241" s="705"/>
      <c r="AH241" s="705"/>
      <c r="AI241" s="705"/>
      <c r="BB241" s="2"/>
      <c r="BC241" s="2"/>
      <c r="BD241" s="2"/>
      <c r="BE241" s="2"/>
      <c r="BF241" s="2"/>
      <c r="BG241" s="2"/>
    </row>
    <row r="242" spans="1:59">
      <c r="B242" s="21"/>
      <c r="C242" s="991" t="str">
        <f t="shared" si="200"/>
        <v>elektriciteit</v>
      </c>
      <c r="D242" s="67"/>
      <c r="E242" s="1012" t="str">
        <f>IFERROR(
_xlfn.CONCAT(
FIXED(INDEX($C$229:$Z$237,MATCH($C242,$C$229:$C$237,0),MATCH(E$240,$C$229:$Z$229,0))*INDEX($C$218:$K$226,MATCH($C242,$C$218:$C$226,0),MATCH(E$239,$C$218:$K$218,0)),3)),
0)</f>
        <v>0.565</v>
      </c>
      <c r="F242" s="1150" t="str">
        <f t="shared" si="202"/>
        <v>kg/kWh</v>
      </c>
      <c r="G242" s="1012" t="str">
        <f t="shared" ref="G242:G248" si="215">IFERROR(
_xlfn.CONCAT(
FIXED(INDEX($C$229:$Z$237,MATCH($C242,$C$229:$C$237,0),MATCH(G$240,$C$229:$Z$229,0))*INDEX($C$218:$K$226,MATCH($C242,$C$218:$C$226,0),MATCH(G$239,$C$218:$K$218,0)),3)),
0)</f>
        <v>0.565</v>
      </c>
      <c r="H242" s="1150" t="str">
        <f t="shared" si="204"/>
        <v>kg/kWh</v>
      </c>
      <c r="I242" s="1012" t="str">
        <f t="shared" ref="I242:I248" si="216">IFERROR(
_xlfn.CONCAT(
FIXED(INDEX($C$229:$Z$237,MATCH($C242,$C$229:$C$237,0),MATCH(I$240,$C$229:$Z$229,0))*INDEX($C$218:$K$226,MATCH($C242,$C$218:$C$226,0),MATCH(I$239,$C$218:$K$218,0)),3)),
0)</f>
        <v>0.565</v>
      </c>
      <c r="J242" s="1150" t="str">
        <f t="shared" si="206"/>
        <v>kg/kWh</v>
      </c>
      <c r="K242" s="1130"/>
      <c r="L242" s="1130"/>
      <c r="M242" s="1130"/>
      <c r="N242" s="1012" t="str">
        <f t="shared" si="207"/>
        <v>0.340</v>
      </c>
      <c r="O242" s="1150" t="str">
        <f t="shared" si="208"/>
        <v>kg/kWh</v>
      </c>
      <c r="P242" s="1012" t="str">
        <f t="shared" si="207"/>
        <v>0.340</v>
      </c>
      <c r="Q242" s="1150" t="str">
        <f t="shared" si="210"/>
        <v>kg/kWh</v>
      </c>
      <c r="R242" s="1012" t="str">
        <f t="shared" si="207"/>
        <v>0.340</v>
      </c>
      <c r="S242" s="1150" t="str">
        <f t="shared" si="212"/>
        <v>kg/kWh</v>
      </c>
      <c r="T242" s="711"/>
      <c r="U242" s="711"/>
      <c r="V242" s="711"/>
      <c r="W242" s="1012" t="str">
        <f t="shared" ref="W242:W248" si="217">IFERROR(
_xlfn.CONCAT(
FIXED(INDEX($C$229:$Z$237,MATCH($C242,$C$229:$C$237,0),MATCH(W$240,$C$229:$Z$229,0))*INDEX($C$218:$K$226,MATCH($C242,$C$218:$C$226,0),MATCH(W$239,$C$218:$K$218,0)),3)),
0)</f>
        <v>0.566</v>
      </c>
      <c r="X242" s="1150" t="str">
        <f t="shared" si="213"/>
        <v>kg/kWh</v>
      </c>
      <c r="Y242" s="1012" t="str">
        <f t="shared" ref="Y242:Y248" si="218">IFERROR(
_xlfn.CONCAT(
FIXED(INDEX($C$229:$Z$237,MATCH($C242,$C$229:$C$237,0),MATCH(Y$240,$C$229:$Z$229,0))*INDEX($C$218:$K$226,MATCH($C242,$C$218:$C$226,0),MATCH(Y$239,$C$218:$K$218,0)),3)),
0)</f>
        <v>0.566</v>
      </c>
      <c r="Z242" s="1150" t="str">
        <f t="shared" si="214"/>
        <v>kg/kWh</v>
      </c>
      <c r="AC242" s="703"/>
      <c r="AD242" s="229"/>
      <c r="AE242" s="705"/>
      <c r="AF242" s="705"/>
      <c r="AG242" s="705"/>
      <c r="AH242" s="705"/>
      <c r="AI242" s="705"/>
      <c r="AJ242" s="703"/>
      <c r="AK242" s="703"/>
      <c r="AL242" s="703"/>
      <c r="AM242" s="703"/>
      <c r="AN242" s="703"/>
      <c r="AO242" s="703"/>
      <c r="AP242" s="703"/>
      <c r="AQ242" s="703"/>
      <c r="AR242" s="703"/>
      <c r="AS242" s="703"/>
      <c r="AT242" s="703"/>
      <c r="AU242" s="703"/>
      <c r="AV242" s="703"/>
      <c r="AW242" s="703"/>
      <c r="AX242" s="703"/>
      <c r="AY242" s="703"/>
      <c r="AZ242" s="703"/>
      <c r="BA242" s="703"/>
    </row>
    <row r="243" spans="1:59">
      <c r="B243" s="21"/>
      <c r="C243" s="991" t="str">
        <f t="shared" si="200"/>
        <v>elektriciteit opgewekt</v>
      </c>
      <c r="D243" s="67"/>
      <c r="E243" s="1012" t="str">
        <f t="shared" si="201"/>
        <v>0.565</v>
      </c>
      <c r="F243" s="1150" t="str">
        <f t="shared" si="202"/>
        <v>kg/kWh</v>
      </c>
      <c r="G243" s="1012" t="str">
        <f t="shared" si="215"/>
        <v>0.565</v>
      </c>
      <c r="H243" s="1150" t="str">
        <f t="shared" si="204"/>
        <v>kg/kWh</v>
      </c>
      <c r="I243" s="1012" t="str">
        <f t="shared" si="216"/>
        <v>0.565</v>
      </c>
      <c r="J243" s="1150" t="str">
        <f t="shared" si="206"/>
        <v>kg/kWh</v>
      </c>
      <c r="K243" s="1130"/>
      <c r="L243" s="1130"/>
      <c r="M243" s="1130"/>
      <c r="N243" s="1012" t="str">
        <f t="shared" si="207"/>
        <v>0.340</v>
      </c>
      <c r="O243" s="1150" t="str">
        <f t="shared" si="208"/>
        <v>kg/kWh</v>
      </c>
      <c r="P243" s="1012" t="str">
        <f t="shared" si="207"/>
        <v>0.340</v>
      </c>
      <c r="Q243" s="1150" t="str">
        <f t="shared" si="210"/>
        <v>kg/kWh</v>
      </c>
      <c r="R243" s="1012" t="str">
        <f t="shared" si="207"/>
        <v>0.340</v>
      </c>
      <c r="S243" s="1150" t="str">
        <f t="shared" si="212"/>
        <v>kg/kWh</v>
      </c>
      <c r="T243" s="711"/>
      <c r="U243" s="711"/>
      <c r="V243" s="711"/>
      <c r="W243" s="1012" t="str">
        <f t="shared" si="217"/>
        <v>0.566</v>
      </c>
      <c r="X243" s="1150" t="str">
        <f t="shared" si="213"/>
        <v>kg/kWh</v>
      </c>
      <c r="Y243" s="1012" t="str">
        <f t="shared" si="218"/>
        <v>0.566</v>
      </c>
      <c r="Z243" s="1150" t="str">
        <f t="shared" si="214"/>
        <v>kg/kWh</v>
      </c>
      <c r="AC243" s="703"/>
      <c r="AD243" s="229"/>
      <c r="AE243" s="705"/>
      <c r="AF243" s="705"/>
      <c r="AG243" s="705"/>
      <c r="AH243" s="705"/>
      <c r="AI243" s="705"/>
      <c r="AJ243" s="703"/>
      <c r="AK243" s="703"/>
      <c r="AL243" s="703"/>
      <c r="AM243" s="703"/>
      <c r="AN243" s="703"/>
      <c r="AO243" s="703"/>
      <c r="AP243" s="703"/>
      <c r="AQ243" s="703"/>
      <c r="AR243" s="703"/>
      <c r="AS243" s="703"/>
      <c r="AT243" s="703"/>
      <c r="AU243" s="703"/>
      <c r="AV243" s="703"/>
      <c r="AW243" s="703"/>
      <c r="AX243" s="703"/>
      <c r="AY243" s="703"/>
      <c r="AZ243" s="703"/>
      <c r="BA243" s="703"/>
    </row>
    <row r="244" spans="1:59">
      <c r="B244" s="21"/>
      <c r="C244" s="991" t="str">
        <f t="shared" si="200"/>
        <v>elektriciteit geëxporteerd</v>
      </c>
      <c r="D244" s="67"/>
      <c r="E244" s="1012" t="str">
        <f t="shared" si="201"/>
        <v>0.565</v>
      </c>
      <c r="F244" s="1150" t="str">
        <f t="shared" si="202"/>
        <v>kg/kWh</v>
      </c>
      <c r="G244" s="1012" t="str">
        <f t="shared" si="215"/>
        <v>0.565</v>
      </c>
      <c r="H244" s="1150" t="str">
        <f t="shared" si="204"/>
        <v>kg/kWh</v>
      </c>
      <c r="I244" s="1012" t="str">
        <f t="shared" si="216"/>
        <v>0.565</v>
      </c>
      <c r="J244" s="1150" t="str">
        <f t="shared" si="206"/>
        <v>kg/kWh</v>
      </c>
      <c r="K244" s="1130"/>
      <c r="L244" s="1130"/>
      <c r="M244" s="1130"/>
      <c r="N244" s="1012" t="str">
        <f t="shared" si="207"/>
        <v>0.340</v>
      </c>
      <c r="O244" s="1150" t="str">
        <f t="shared" si="208"/>
        <v>kg/kWh</v>
      </c>
      <c r="P244" s="1012" t="str">
        <f t="shared" si="207"/>
        <v>0.340</v>
      </c>
      <c r="Q244" s="1150" t="str">
        <f t="shared" si="210"/>
        <v>kg/kWh</v>
      </c>
      <c r="R244" s="1012" t="str">
        <f t="shared" si="207"/>
        <v>0.340</v>
      </c>
      <c r="S244" s="1150" t="str">
        <f t="shared" si="212"/>
        <v>kg/kWh</v>
      </c>
      <c r="T244" s="711"/>
      <c r="U244" s="711"/>
      <c r="V244" s="711"/>
      <c r="W244" s="1012" t="str">
        <f t="shared" si="217"/>
        <v>0.566</v>
      </c>
      <c r="X244" s="1150" t="str">
        <f t="shared" si="213"/>
        <v>kg/kWh</v>
      </c>
      <c r="Y244" s="1012" t="str">
        <f t="shared" si="218"/>
        <v>0.566</v>
      </c>
      <c r="Z244" s="1150" t="str">
        <f t="shared" si="214"/>
        <v>kg/kWh</v>
      </c>
      <c r="AC244" s="703"/>
      <c r="AD244" s="229"/>
      <c r="AE244" s="705"/>
      <c r="AF244" s="705"/>
      <c r="AG244" s="705"/>
      <c r="AH244" s="705"/>
      <c r="AI244" s="705"/>
      <c r="AJ244" s="703"/>
      <c r="AK244" s="703"/>
      <c r="AL244" s="703"/>
      <c r="AM244" s="703"/>
      <c r="AN244" s="703"/>
      <c r="AO244" s="703"/>
      <c r="AP244" s="703"/>
      <c r="AQ244" s="703"/>
      <c r="AR244" s="703"/>
      <c r="AS244" s="703"/>
      <c r="AT244" s="703"/>
      <c r="AU244" s="703"/>
      <c r="AV244" s="703"/>
      <c r="AW244" s="703"/>
      <c r="AX244" s="703"/>
      <c r="AY244" s="703"/>
      <c r="AZ244" s="703"/>
      <c r="BA244" s="703"/>
    </row>
    <row r="245" spans="1:59">
      <c r="B245" s="21"/>
      <c r="C245" s="992" t="str">
        <f t="shared" si="200"/>
        <v>externe warmte</v>
      </c>
      <c r="D245" s="67"/>
      <c r="E245" s="1013" t="str">
        <f t="shared" si="201"/>
        <v>87.700</v>
      </c>
      <c r="F245" s="1151" t="str">
        <f t="shared" si="202"/>
        <v>kg/GJ</v>
      </c>
      <c r="G245" s="1013" t="str">
        <f t="shared" si="215"/>
        <v>87.700</v>
      </c>
      <c r="H245" s="1151" t="str">
        <f t="shared" si="204"/>
        <v>kg/GJ</v>
      </c>
      <c r="I245" s="1013" t="str">
        <f t="shared" si="216"/>
        <v>87.700</v>
      </c>
      <c r="J245" s="1151" t="str">
        <f t="shared" si="206"/>
        <v>kg/GJ</v>
      </c>
      <c r="K245" s="1130"/>
      <c r="L245" s="1130"/>
      <c r="M245" s="1130"/>
      <c r="N245" s="1013" t="str">
        <f t="shared" si="207"/>
        <v>0.170</v>
      </c>
      <c r="O245" s="1151" t="str">
        <f t="shared" si="208"/>
        <v>kg/kWh</v>
      </c>
      <c r="P245" s="1013" t="str">
        <f t="shared" si="207"/>
        <v>47.222</v>
      </c>
      <c r="Q245" s="1151" t="str">
        <f t="shared" si="210"/>
        <v>kg/GJ</v>
      </c>
      <c r="R245" s="1013" t="str">
        <f t="shared" si="207"/>
        <v>47.222</v>
      </c>
      <c r="S245" s="1151" t="str">
        <f t="shared" si="212"/>
        <v>kg/GJ</v>
      </c>
      <c r="T245" s="711"/>
      <c r="U245" s="711"/>
      <c r="V245" s="711"/>
      <c r="W245" s="1013" t="str">
        <f t="shared" si="217"/>
        <v>87.700</v>
      </c>
      <c r="X245" s="1151" t="str">
        <f t="shared" si="213"/>
        <v>kg/GJ</v>
      </c>
      <c r="Y245" s="1013" t="str">
        <f t="shared" si="218"/>
        <v>87.700</v>
      </c>
      <c r="Z245" s="1151" t="str">
        <f t="shared" si="214"/>
        <v>kg/GJ</v>
      </c>
      <c r="AB245" s="1100"/>
      <c r="AC245" s="1100"/>
      <c r="AD245" s="1096"/>
      <c r="AE245" s="705"/>
      <c r="AF245" s="705"/>
      <c r="AG245" s="705"/>
      <c r="AH245" s="705"/>
      <c r="AI245" s="705"/>
      <c r="AJ245" s="703"/>
      <c r="AK245" s="703"/>
      <c r="AL245" s="703"/>
      <c r="AM245" s="703"/>
      <c r="AN245" s="703"/>
      <c r="AO245" s="703"/>
      <c r="AP245" s="703"/>
      <c r="AQ245" s="703"/>
      <c r="AR245" s="703"/>
      <c r="AS245" s="703"/>
      <c r="AT245" s="703"/>
      <c r="AU245" s="703"/>
      <c r="AV245" s="703"/>
      <c r="AW245" s="703"/>
      <c r="AX245" s="703"/>
      <c r="AY245" s="703"/>
      <c r="AZ245" s="703"/>
      <c r="BA245" s="703"/>
    </row>
    <row r="246" spans="1:59" s="1100" customFormat="1">
      <c r="A246" s="179" t="s">
        <v>1600</v>
      </c>
      <c r="B246" s="507"/>
      <c r="C246" s="1093" t="str">
        <f t="shared" si="200"/>
        <v>externe koude</v>
      </c>
      <c r="D246" s="1094"/>
      <c r="E246" s="1095" t="str">
        <f t="shared" si="201"/>
        <v>87.700</v>
      </c>
      <c r="F246" s="1152" t="str">
        <f t="shared" si="202"/>
        <v>kg/GJ</v>
      </c>
      <c r="G246" s="1095" t="str">
        <f t="shared" si="215"/>
        <v>87.700</v>
      </c>
      <c r="H246" s="1152" t="str">
        <f t="shared" si="204"/>
        <v>kg/GJ</v>
      </c>
      <c r="I246" s="1095" t="str">
        <f t="shared" si="216"/>
        <v>87.700</v>
      </c>
      <c r="J246" s="1152" t="str">
        <f t="shared" si="206"/>
        <v>kg/GJ</v>
      </c>
      <c r="K246" s="1131"/>
      <c r="L246" s="1131"/>
      <c r="M246" s="1131"/>
      <c r="N246" s="1095" t="str">
        <f t="shared" si="207"/>
        <v>0.113</v>
      </c>
      <c r="O246" s="1152" t="str">
        <f t="shared" si="208"/>
        <v>kg/kWh</v>
      </c>
      <c r="P246" s="1095" t="str">
        <f t="shared" si="207"/>
        <v>31.481</v>
      </c>
      <c r="Q246" s="1152" t="str">
        <f t="shared" si="210"/>
        <v>kg/GJ</v>
      </c>
      <c r="R246" s="1095" t="str">
        <f t="shared" si="207"/>
        <v>31.481</v>
      </c>
      <c r="S246" s="1152" t="str">
        <f t="shared" si="212"/>
        <v>kg/GJ</v>
      </c>
      <c r="T246" s="1098"/>
      <c r="U246" s="1098"/>
      <c r="V246" s="1098"/>
      <c r="W246" s="1095" t="str">
        <f t="shared" si="217"/>
        <v>87.700</v>
      </c>
      <c r="X246" s="1152" t="str">
        <f t="shared" si="213"/>
        <v>kg/GJ</v>
      </c>
      <c r="Y246" s="1095" t="str">
        <f t="shared" si="218"/>
        <v>87.700</v>
      </c>
      <c r="Z246" s="1152" t="str">
        <f t="shared" si="214"/>
        <v>kg/GJ</v>
      </c>
      <c r="AB246" s="2"/>
      <c r="AC246" s="703"/>
      <c r="AD246" s="229"/>
      <c r="AE246" s="705"/>
      <c r="AF246" s="705"/>
      <c r="AG246" s="705"/>
      <c r="AH246" s="705"/>
      <c r="AI246" s="705"/>
      <c r="AJ246" s="703"/>
      <c r="AK246" s="703"/>
      <c r="AL246" s="703"/>
      <c r="AM246" s="703"/>
      <c r="AN246" s="703"/>
      <c r="AO246" s="703"/>
      <c r="AP246" s="703"/>
      <c r="AQ246" s="703"/>
      <c r="AR246" s="703"/>
    </row>
    <row r="247" spans="1:59">
      <c r="B247" s="21"/>
      <c r="C247" s="991" t="str">
        <f t="shared" si="200"/>
        <v>hout / biomassa</v>
      </c>
      <c r="D247" s="67"/>
      <c r="E247" s="1012" t="str">
        <f t="shared" si="201"/>
        <v>0.109</v>
      </c>
      <c r="F247" s="1150" t="str">
        <f t="shared" si="202"/>
        <v>kg/MJ</v>
      </c>
      <c r="G247" s="1012" t="str">
        <f t="shared" si="215"/>
        <v>0.109</v>
      </c>
      <c r="H247" s="1150" t="str">
        <f t="shared" si="204"/>
        <v>kg/MJ</v>
      </c>
      <c r="I247" s="1012" t="str">
        <f t="shared" si="216"/>
        <v>0.109</v>
      </c>
      <c r="J247" s="1150" t="str">
        <f t="shared" si="206"/>
        <v>kg/MJ</v>
      </c>
      <c r="K247" s="1130"/>
      <c r="L247" s="1130"/>
      <c r="M247" s="1130"/>
      <c r="N247" s="1012" t="str">
        <f t="shared" si="207"/>
        <v>0.372</v>
      </c>
      <c r="O247" s="1150" t="str">
        <f t="shared" si="208"/>
        <v>kg/kWh</v>
      </c>
      <c r="P247" s="1012" t="str">
        <f t="shared" si="207"/>
        <v>0.372</v>
      </c>
      <c r="Q247" s="1150" t="str">
        <f t="shared" si="210"/>
        <v>kg/kWh</v>
      </c>
      <c r="R247" s="1012" t="str">
        <f t="shared" si="207"/>
        <v>0.372</v>
      </c>
      <c r="S247" s="1150" t="str">
        <f t="shared" si="212"/>
        <v>kg/kWh</v>
      </c>
      <c r="T247" s="711"/>
      <c r="U247" s="711"/>
      <c r="V247" s="711"/>
      <c r="W247" s="1012" t="str">
        <f t="shared" si="217"/>
        <v>0.000</v>
      </c>
      <c r="X247" s="1150" t="str">
        <f t="shared" si="213"/>
        <v>kg/MJ</v>
      </c>
      <c r="Y247" s="1012" t="str">
        <f t="shared" si="218"/>
        <v>0.000</v>
      </c>
      <c r="Z247" s="1150" t="str">
        <f t="shared" si="214"/>
        <v>kg/MJ</v>
      </c>
      <c r="AC247" s="703"/>
      <c r="AD247" s="229"/>
      <c r="AE247" s="705"/>
      <c r="AF247" s="705"/>
      <c r="AG247" s="705"/>
      <c r="AH247" s="705"/>
      <c r="AI247" s="705"/>
      <c r="AJ247" s="703"/>
      <c r="AK247" s="703"/>
      <c r="AL247" s="703"/>
      <c r="AM247" s="703"/>
      <c r="AN247" s="703"/>
      <c r="AO247" s="703"/>
      <c r="AP247" s="703"/>
      <c r="AQ247" s="703"/>
      <c r="AR247" s="703"/>
      <c r="AS247" s="703"/>
      <c r="AT247" s="703"/>
      <c r="AU247" s="703"/>
      <c r="AV247" s="703"/>
      <c r="AW247" s="703"/>
      <c r="AX247" s="703"/>
      <c r="AY247" s="703"/>
      <c r="AZ247" s="703"/>
      <c r="BA247" s="703"/>
    </row>
    <row r="248" spans="1:59">
      <c r="B248" s="21"/>
      <c r="C248" s="993" t="str">
        <f t="shared" si="200"/>
        <v>totaal</v>
      </c>
      <c r="D248" s="446"/>
      <c r="E248" s="1014">
        <f t="shared" si="201"/>
        <v>0</v>
      </c>
      <c r="F248" s="1153" t="str">
        <f t="shared" si="202"/>
        <v>kg/-</v>
      </c>
      <c r="G248" s="1014" t="str">
        <f t="shared" si="215"/>
        <v>0.000</v>
      </c>
      <c r="H248" s="1153" t="str">
        <f t="shared" si="204"/>
        <v>kg/-</v>
      </c>
      <c r="I248" s="1014">
        <f t="shared" si="216"/>
        <v>0</v>
      </c>
      <c r="J248" s="1153" t="str">
        <f t="shared" si="206"/>
        <v>kg/-</v>
      </c>
      <c r="K248" s="1132"/>
      <c r="L248" s="1132"/>
      <c r="M248" s="1132"/>
      <c r="N248" s="1014">
        <f t="shared" si="207"/>
        <v>0</v>
      </c>
      <c r="O248" s="1153" t="str">
        <f t="shared" si="208"/>
        <v>kg/-</v>
      </c>
      <c r="P248" s="1014">
        <f t="shared" si="207"/>
        <v>0</v>
      </c>
      <c r="Q248" s="1153" t="str">
        <f t="shared" si="210"/>
        <v>kg/-</v>
      </c>
      <c r="R248" s="1014" t="str">
        <f t="shared" si="207"/>
        <v>0.000</v>
      </c>
      <c r="S248" s="1153" t="str">
        <f t="shared" si="212"/>
        <v>kg/-</v>
      </c>
      <c r="T248" s="712"/>
      <c r="U248" s="712"/>
      <c r="V248" s="712"/>
      <c r="W248" s="1014" t="str">
        <f t="shared" si="217"/>
        <v>0.000</v>
      </c>
      <c r="X248" s="1153" t="str">
        <f t="shared" si="213"/>
        <v>kg/-</v>
      </c>
      <c r="Y248" s="1014" t="str">
        <f t="shared" si="218"/>
        <v>0.000</v>
      </c>
      <c r="Z248" s="1153" t="str">
        <f t="shared" si="214"/>
        <v>kg/-</v>
      </c>
      <c r="AA248" s="703"/>
      <c r="AB248" s="703"/>
      <c r="AC248" s="703"/>
      <c r="AD248" s="703"/>
      <c r="AE248" s="705"/>
      <c r="AF248" s="705"/>
      <c r="AG248" s="705"/>
      <c r="AH248" s="705"/>
      <c r="AI248" s="705"/>
      <c r="AJ248" s="703"/>
      <c r="AK248" s="703"/>
      <c r="AL248" s="703"/>
      <c r="AM248" s="703"/>
      <c r="AN248" s="703"/>
      <c r="AO248" s="703"/>
      <c r="AP248" s="703"/>
      <c r="AQ248" s="703"/>
      <c r="AR248" s="703"/>
      <c r="AS248" s="703"/>
      <c r="AT248" s="703"/>
      <c r="AU248" s="703"/>
      <c r="AV248" s="703"/>
      <c r="AW248" s="703"/>
      <c r="AX248" s="703"/>
      <c r="AY248" s="703"/>
      <c r="AZ248" s="703"/>
      <c r="BA248" s="703"/>
    </row>
    <row r="249" spans="1:59" s="6" customFormat="1">
      <c r="A249" s="19"/>
      <c r="B249" s="21"/>
      <c r="C249" s="18"/>
      <c r="D249" s="18"/>
      <c r="E249" s="20"/>
      <c r="F249" s="20"/>
      <c r="G249" s="20"/>
      <c r="H249" s="20"/>
      <c r="I249" s="20"/>
      <c r="J249" s="20"/>
      <c r="K249" s="18"/>
      <c r="L249" s="229"/>
      <c r="M249" s="703"/>
      <c r="N249" s="703"/>
      <c r="O249" s="703"/>
      <c r="P249" s="703"/>
      <c r="Q249" s="703"/>
      <c r="R249" s="703"/>
      <c r="S249" s="703"/>
      <c r="T249" s="703"/>
      <c r="U249" s="703"/>
      <c r="V249" s="703"/>
      <c r="W249" s="703"/>
      <c r="X249" s="703"/>
      <c r="Y249" s="703"/>
      <c r="Z249" s="703"/>
      <c r="AA249" s="705"/>
      <c r="AB249" s="703"/>
      <c r="AC249" s="703"/>
      <c r="AD249" s="703"/>
      <c r="AE249" s="705"/>
      <c r="AF249" s="705"/>
      <c r="AG249" s="705"/>
      <c r="AH249" s="705"/>
      <c r="AI249" s="705"/>
      <c r="AJ249" s="703"/>
      <c r="AK249" s="703"/>
      <c r="AL249" s="703"/>
      <c r="AM249" s="703"/>
      <c r="AN249" s="703"/>
      <c r="AO249" s="703"/>
      <c r="AP249" s="703"/>
      <c r="AQ249" s="703"/>
      <c r="AR249" s="703"/>
      <c r="AS249" s="705"/>
      <c r="AT249" s="705"/>
      <c r="AU249" s="705"/>
      <c r="AV249" s="705"/>
      <c r="AW249" s="705"/>
      <c r="AX249" s="703"/>
      <c r="AY249" s="703"/>
      <c r="AZ249" s="703"/>
      <c r="BA249" s="703"/>
      <c r="BB249" s="2"/>
      <c r="BC249" s="2"/>
      <c r="BD249" s="2"/>
      <c r="BE249" s="2"/>
      <c r="BF249" s="2"/>
      <c r="BG249" s="2"/>
    </row>
    <row r="250" spans="1:59">
      <c r="A250" s="19"/>
      <c r="B250" s="88">
        <f ca="1">MAX($B$1:OFFSET(B250,-1,0))+1</f>
        <v>23</v>
      </c>
      <c r="C250" s="122" t="s">
        <v>1607</v>
      </c>
      <c r="D250" s="122"/>
      <c r="E250" s="155"/>
      <c r="F250" s="14"/>
      <c r="G250" s="14"/>
      <c r="H250" s="14"/>
      <c r="I250" s="14"/>
      <c r="J250" s="14"/>
      <c r="K250" s="14"/>
      <c r="L250" s="14"/>
      <c r="M250" s="14"/>
      <c r="N250" s="14"/>
      <c r="O250" s="14"/>
      <c r="P250" s="14"/>
      <c r="Q250" s="14"/>
      <c r="R250" s="14"/>
      <c r="S250" s="14"/>
      <c r="T250" s="14"/>
      <c r="U250" s="14"/>
      <c r="V250" s="14"/>
      <c r="W250" s="14"/>
      <c r="X250" s="14"/>
      <c r="Y250" s="14"/>
      <c r="Z250" s="14"/>
      <c r="AA250" s="14"/>
      <c r="AB250" s="210"/>
      <c r="AC250" s="210"/>
      <c r="AD250" s="210"/>
      <c r="AE250" s="705"/>
      <c r="AF250" s="705"/>
      <c r="AG250" s="705"/>
      <c r="AH250" s="705"/>
      <c r="AI250" s="705"/>
      <c r="AJ250" s="703"/>
      <c r="AK250" s="703"/>
      <c r="AL250" s="703"/>
      <c r="AM250" s="703"/>
      <c r="AN250" s="703"/>
      <c r="AO250" s="703"/>
      <c r="AP250" s="703"/>
      <c r="AQ250" s="703"/>
      <c r="AR250" s="703"/>
      <c r="AS250" s="703"/>
      <c r="AT250" s="703"/>
      <c r="AU250" s="703"/>
      <c r="AV250" s="703"/>
      <c r="AW250" s="703"/>
      <c r="AX250" s="703"/>
      <c r="AY250" s="703"/>
      <c r="AZ250" s="703"/>
      <c r="BA250" s="703"/>
    </row>
    <row r="251" spans="1:59" s="119" customFormat="1">
      <c r="A251" s="116"/>
      <c r="B251" s="1031"/>
      <c r="C251" s="1032" t="s">
        <v>458</v>
      </c>
      <c r="D251" s="1033"/>
      <c r="E251" s="1034" t="str">
        <f>GPR4.3</f>
        <v>GPR 4.3</v>
      </c>
      <c r="F251" s="1034" t="str">
        <f>GPR4.4</f>
        <v>GPR 4.4</v>
      </c>
      <c r="G251" s="1034"/>
      <c r="H251" s="1034"/>
      <c r="I251" s="1034"/>
      <c r="J251" s="1034"/>
      <c r="K251" s="1035"/>
      <c r="L251" s="1035"/>
      <c r="M251" s="1035"/>
      <c r="N251" s="1034"/>
      <c r="O251" s="1034"/>
      <c r="P251" s="1034"/>
      <c r="Q251" s="1034"/>
      <c r="R251" s="1034"/>
      <c r="S251" s="1034"/>
      <c r="T251" s="704"/>
      <c r="U251" s="1036"/>
      <c r="V251" s="1036"/>
      <c r="W251" s="1034"/>
      <c r="X251" s="1034"/>
      <c r="Y251" s="1037"/>
      <c r="Z251" s="1037"/>
      <c r="AA251" s="1036"/>
      <c r="AB251" s="229"/>
      <c r="AC251" s="229"/>
      <c r="AD251" s="229"/>
      <c r="AE251" s="705"/>
      <c r="AF251" s="705"/>
      <c r="AG251" s="705"/>
      <c r="AH251" s="705"/>
      <c r="AI251" s="705"/>
      <c r="AJ251" s="703"/>
      <c r="AK251" s="703"/>
      <c r="AL251" s="703"/>
      <c r="AM251" s="703"/>
      <c r="AN251" s="703"/>
      <c r="AO251" s="703"/>
      <c r="AP251" s="703"/>
      <c r="AQ251" s="703"/>
      <c r="AR251" s="703"/>
      <c r="AS251" s="1038"/>
      <c r="AT251" s="1038"/>
      <c r="AU251" s="1038"/>
      <c r="AV251" s="1038"/>
      <c r="AW251" s="1038"/>
      <c r="AX251" s="1038"/>
      <c r="AY251" s="704"/>
      <c r="AZ251" s="704"/>
      <c r="BA251" s="704"/>
      <c r="BB251" s="704"/>
      <c r="BC251" s="704"/>
      <c r="BD251" s="704"/>
      <c r="BE251" s="704"/>
      <c r="BF251" s="704"/>
      <c r="BG251" s="704"/>
    </row>
    <row r="252" spans="1:59">
      <c r="B252" s="21"/>
      <c r="C252" s="790" t="s">
        <v>463</v>
      </c>
      <c r="D252" s="67"/>
      <c r="E252" s="1020" t="s">
        <v>464</v>
      </c>
      <c r="F252" s="1028" t="s">
        <v>464</v>
      </c>
      <c r="G252" s="1028"/>
      <c r="H252" s="1028"/>
      <c r="I252" s="1020"/>
      <c r="J252" s="1020"/>
      <c r="K252" s="711"/>
      <c r="L252" s="711"/>
      <c r="M252" s="711"/>
      <c r="N252" s="1020"/>
      <c r="O252" s="1020"/>
      <c r="P252" s="1028"/>
      <c r="Q252" s="1020"/>
      <c r="R252" s="1028"/>
      <c r="S252" s="1020"/>
      <c r="T252" s="703"/>
      <c r="U252" s="229"/>
      <c r="V252" s="229"/>
      <c r="W252" s="1020"/>
      <c r="X252" s="1020"/>
      <c r="Y252" s="1021"/>
      <c r="Z252" s="1021"/>
      <c r="AA252" s="229"/>
      <c r="AB252" s="229"/>
      <c r="AC252" s="229"/>
      <c r="AD252" s="229"/>
      <c r="AE252" s="705"/>
      <c r="AF252" s="705"/>
      <c r="AG252" s="705"/>
      <c r="AH252" s="705"/>
      <c r="AI252" s="705"/>
      <c r="AJ252" s="703"/>
      <c r="AK252" s="703"/>
      <c r="AL252" s="703"/>
      <c r="AM252" s="703"/>
      <c r="AN252" s="703"/>
      <c r="AO252" s="703"/>
      <c r="AP252" s="703"/>
      <c r="AQ252" s="703"/>
      <c r="AR252" s="703"/>
      <c r="AS252" s="703"/>
      <c r="AT252" s="703"/>
      <c r="AU252" s="703"/>
      <c r="AV252" s="703"/>
      <c r="AW252" s="703"/>
      <c r="AX252" s="703"/>
      <c r="AY252" s="703"/>
      <c r="AZ252" s="703"/>
      <c r="BA252" s="703"/>
    </row>
    <row r="253" spans="1:59">
      <c r="B253" s="21"/>
      <c r="C253" s="292" t="s">
        <v>465</v>
      </c>
      <c r="D253" s="67"/>
      <c r="E253" s="1022" t="s">
        <v>406</v>
      </c>
      <c r="F253" s="1029" t="s">
        <v>406</v>
      </c>
      <c r="G253" s="1029"/>
      <c r="H253" s="1029"/>
      <c r="I253" s="1022"/>
      <c r="J253" s="1022"/>
      <c r="K253" s="711"/>
      <c r="L253" s="711"/>
      <c r="M253" s="711"/>
      <c r="N253" s="1022"/>
      <c r="O253" s="1022"/>
      <c r="P253" s="1029"/>
      <c r="Q253" s="1022"/>
      <c r="R253" s="1029"/>
      <c r="S253" s="1022"/>
      <c r="T253" s="703"/>
      <c r="U253" s="229"/>
      <c r="V253" s="229"/>
      <c r="W253" s="1022"/>
      <c r="X253" s="1022"/>
      <c r="Y253" s="1022"/>
      <c r="Z253" s="1022"/>
      <c r="AA253" s="229"/>
      <c r="AB253" s="229"/>
      <c r="AC253" s="229"/>
      <c r="AD253" s="229"/>
      <c r="AE253" s="705"/>
      <c r="AF253" s="705"/>
      <c r="AG253" s="705"/>
      <c r="AH253" s="705"/>
      <c r="AI253" s="705"/>
      <c r="AJ253" s="703"/>
      <c r="AK253" s="703"/>
      <c r="AL253" s="703"/>
      <c r="AM253" s="703"/>
      <c r="AN253" s="703"/>
      <c r="AO253" s="703"/>
      <c r="AP253" s="703"/>
      <c r="AQ253" s="703"/>
      <c r="AR253" s="703"/>
      <c r="AS253" s="703"/>
      <c r="AT253" s="703"/>
      <c r="AU253" s="703"/>
      <c r="AV253" s="703"/>
      <c r="AW253" s="703"/>
      <c r="AX253" s="703"/>
      <c r="AY253" s="703"/>
      <c r="AZ253" s="703"/>
      <c r="BA253" s="703"/>
    </row>
    <row r="254" spans="1:59">
      <c r="B254" s="21"/>
      <c r="C254" s="292" t="s">
        <v>466</v>
      </c>
      <c r="D254" s="67"/>
      <c r="E254" s="1022" t="s">
        <v>406</v>
      </c>
      <c r="F254" s="1022" t="s">
        <v>406</v>
      </c>
      <c r="G254" s="1022"/>
      <c r="H254" s="1022"/>
      <c r="I254" s="1022"/>
      <c r="J254" s="1022"/>
      <c r="K254" s="711"/>
      <c r="L254" s="711"/>
      <c r="M254" s="711"/>
      <c r="N254" s="1022"/>
      <c r="O254" s="1022"/>
      <c r="P254" s="1022"/>
      <c r="Q254" s="1022"/>
      <c r="R254" s="1022"/>
      <c r="S254" s="1022"/>
      <c r="T254" s="703"/>
      <c r="U254" s="229"/>
      <c r="V254" s="229"/>
      <c r="W254" s="1022"/>
      <c r="X254" s="1022"/>
      <c r="Y254" s="1022"/>
      <c r="Z254" s="1022"/>
      <c r="AA254" s="229"/>
      <c r="AB254" s="229"/>
      <c r="AC254" s="229"/>
      <c r="AD254" s="229"/>
      <c r="AE254" s="705"/>
      <c r="AF254" s="705"/>
      <c r="AG254" s="705"/>
      <c r="AH254" s="705"/>
      <c r="AI254" s="705"/>
      <c r="AJ254" s="703"/>
      <c r="AK254" s="703"/>
      <c r="AL254" s="703"/>
      <c r="AM254" s="703"/>
      <c r="AN254" s="703"/>
      <c r="AO254" s="703"/>
      <c r="AP254" s="703"/>
      <c r="AQ254" s="703"/>
      <c r="AR254" s="703"/>
      <c r="AS254" s="703"/>
      <c r="AT254" s="703"/>
      <c r="AU254" s="703"/>
      <c r="AV254" s="703"/>
      <c r="AW254" s="703"/>
      <c r="AX254" s="703"/>
      <c r="AY254" s="703"/>
      <c r="AZ254" s="703"/>
      <c r="BA254" s="703"/>
    </row>
    <row r="255" spans="1:59">
      <c r="B255" s="21"/>
      <c r="C255" s="293" t="s">
        <v>1539</v>
      </c>
      <c r="D255" s="446"/>
      <c r="E255" s="1023" t="s">
        <v>469</v>
      </c>
      <c r="F255" s="1023" t="s">
        <v>469</v>
      </c>
      <c r="G255" s="1023"/>
      <c r="H255" s="1023"/>
      <c r="I255" s="1023"/>
      <c r="J255" s="1023"/>
      <c r="K255" s="712"/>
      <c r="L255" s="712"/>
      <c r="M255" s="712"/>
      <c r="N255" s="1023"/>
      <c r="O255" s="1023"/>
      <c r="P255" s="1023"/>
      <c r="Q255" s="1023"/>
      <c r="R255" s="1023"/>
      <c r="S255" s="1023"/>
      <c r="T255" s="703"/>
      <c r="U255" s="229"/>
      <c r="V255" s="229"/>
      <c r="W255" s="1023"/>
      <c r="X255" s="1023"/>
      <c r="Y255" s="1021"/>
      <c r="Z255" s="1021"/>
      <c r="AA255" s="229"/>
      <c r="AB255" s="229"/>
      <c r="AC255" s="229"/>
      <c r="AD255" s="229"/>
      <c r="AE255" s="705"/>
      <c r="AF255" s="705"/>
      <c r="AG255" s="705"/>
      <c r="AH255" s="705"/>
      <c r="AI255" s="705"/>
      <c r="AJ255" s="703"/>
      <c r="AK255" s="703"/>
      <c r="AL255" s="703"/>
      <c r="AM255" s="703"/>
      <c r="AN255" s="703"/>
      <c r="AO255" s="703"/>
      <c r="AP255" s="703"/>
      <c r="AQ255" s="703"/>
      <c r="AR255" s="703"/>
      <c r="AS255" s="703"/>
      <c r="AT255" s="703"/>
      <c r="AU255" s="703"/>
      <c r="AV255" s="703"/>
      <c r="AW255" s="703"/>
      <c r="AX255" s="703"/>
      <c r="AY255" s="703"/>
      <c r="AZ255" s="703"/>
      <c r="BA255" s="703"/>
    </row>
    <row r="256" spans="1:59">
      <c r="B256" s="21"/>
      <c r="C256" s="292" t="s">
        <v>467</v>
      </c>
      <c r="D256" s="67"/>
      <c r="E256" s="1025" t="s">
        <v>468</v>
      </c>
      <c r="F256" s="1022" t="s">
        <v>468</v>
      </c>
      <c r="G256" s="1022"/>
      <c r="H256" s="1022"/>
      <c r="I256" s="1025"/>
      <c r="J256" s="1025"/>
      <c r="K256" s="711"/>
      <c r="L256" s="711"/>
      <c r="M256" s="711"/>
      <c r="N256" s="1025"/>
      <c r="O256" s="1025"/>
      <c r="P256" s="1022"/>
      <c r="Q256" s="1025"/>
      <c r="R256" s="1022"/>
      <c r="S256" s="1025"/>
      <c r="T256" s="703"/>
      <c r="U256" s="229"/>
      <c r="V256" s="229"/>
      <c r="W256" s="1025"/>
      <c r="X256" s="1025"/>
      <c r="Y256" s="1022"/>
      <c r="Z256" s="1022"/>
      <c r="AA256" s="229"/>
      <c r="AB256" s="703"/>
      <c r="AC256" s="703"/>
      <c r="AD256" s="229"/>
      <c r="AE256" s="705"/>
      <c r="AF256" s="705"/>
      <c r="AG256" s="705"/>
      <c r="AH256" s="705"/>
      <c r="AI256" s="705"/>
      <c r="AJ256" s="703"/>
      <c r="AK256" s="703"/>
      <c r="AL256" s="703"/>
      <c r="AM256" s="703"/>
      <c r="AN256" s="703"/>
      <c r="AO256" s="703"/>
      <c r="AP256" s="703"/>
      <c r="AQ256" s="703"/>
      <c r="AR256" s="703"/>
      <c r="AS256" s="703"/>
      <c r="AT256" s="703"/>
      <c r="AU256" s="703"/>
      <c r="AV256" s="703"/>
      <c r="AW256" s="703"/>
      <c r="AX256" s="703"/>
      <c r="AY256" s="703"/>
      <c r="AZ256" s="703"/>
      <c r="BA256" s="703"/>
    </row>
    <row r="257" spans="1:59">
      <c r="B257" s="21"/>
      <c r="C257" s="18"/>
      <c r="D257" s="18"/>
      <c r="E257" s="18"/>
      <c r="F257" s="18"/>
      <c r="G257" s="18"/>
      <c r="H257" s="18"/>
      <c r="I257" s="18"/>
      <c r="J257" s="18"/>
      <c r="K257" s="18"/>
      <c r="M257" s="703"/>
      <c r="N257" s="703"/>
      <c r="O257" s="703"/>
      <c r="P257" s="703"/>
      <c r="Q257" s="703"/>
      <c r="R257" s="703"/>
      <c r="S257" s="703"/>
      <c r="T257" s="703"/>
      <c r="U257" s="703"/>
      <c r="V257" s="703"/>
      <c r="W257" s="703"/>
      <c r="X257" s="703"/>
      <c r="Y257" s="703"/>
      <c r="Z257" s="703"/>
      <c r="AA257" s="703"/>
      <c r="AB257" s="703"/>
      <c r="AC257" s="703"/>
      <c r="AD257" s="703"/>
      <c r="AE257" s="705"/>
      <c r="AF257" s="705"/>
      <c r="AG257" s="705"/>
      <c r="AH257" s="705"/>
      <c r="AI257" s="705"/>
      <c r="AJ257" s="703"/>
      <c r="AK257" s="703"/>
      <c r="AL257" s="703"/>
      <c r="AM257" s="703"/>
      <c r="AN257" s="703"/>
      <c r="AO257" s="703"/>
      <c r="AP257" s="703"/>
      <c r="AQ257" s="703"/>
      <c r="AR257" s="703"/>
      <c r="AS257" s="703"/>
      <c r="AT257" s="703"/>
      <c r="AU257" s="703"/>
      <c r="AV257" s="703"/>
      <c r="AW257" s="703"/>
      <c r="AX257" s="703"/>
      <c r="AY257" s="703"/>
      <c r="AZ257" s="703"/>
      <c r="BA257" s="703"/>
    </row>
    <row r="258" spans="1:59">
      <c r="A258" s="19"/>
      <c r="B258" s="88">
        <f ca="1">MAX($B$1:OFFSET(B258,-1,0))+1</f>
        <v>24</v>
      </c>
      <c r="C258" s="122" t="s">
        <v>1611</v>
      </c>
      <c r="D258" s="122"/>
      <c r="E258" s="155"/>
      <c r="F258" s="155" t="s">
        <v>1612</v>
      </c>
      <c r="G258" s="14"/>
      <c r="H258" s="14"/>
      <c r="I258" s="14"/>
      <c r="J258" s="14"/>
      <c r="K258" s="14"/>
      <c r="L258" s="14"/>
      <c r="M258" s="14"/>
      <c r="N258" s="14"/>
      <c r="O258" s="14"/>
      <c r="P258" s="14"/>
      <c r="Q258" s="14"/>
      <c r="R258" s="14"/>
      <c r="S258" s="14"/>
      <c r="T258" s="14"/>
      <c r="U258" s="14"/>
      <c r="V258" s="14"/>
      <c r="W258" s="14"/>
      <c r="X258" s="14"/>
      <c r="Y258" s="14"/>
      <c r="Z258" s="14"/>
      <c r="AA258" s="14"/>
      <c r="AB258" s="423"/>
      <c r="AC258" s="423"/>
      <c r="AD258" s="423"/>
      <c r="AE258" s="705"/>
      <c r="AF258" s="705"/>
      <c r="AG258" s="705"/>
      <c r="AH258" s="705"/>
      <c r="AI258" s="705"/>
      <c r="AJ258" s="703"/>
      <c r="AK258" s="703"/>
      <c r="AL258" s="703"/>
      <c r="AM258" s="703"/>
      <c r="AN258" s="703"/>
      <c r="AO258" s="703"/>
      <c r="AP258" s="703"/>
      <c r="AQ258" s="703"/>
      <c r="AR258" s="703"/>
      <c r="AS258" s="703"/>
      <c r="AT258" s="703"/>
      <c r="AU258" s="703"/>
      <c r="AV258" s="703"/>
      <c r="AW258" s="703"/>
      <c r="AX258" s="703"/>
      <c r="AY258" s="703"/>
      <c r="AZ258" s="703"/>
      <c r="BA258" s="703"/>
    </row>
    <row r="259" spans="1:59" s="1046" customFormat="1">
      <c r="A259" s="425"/>
      <c r="B259" s="1039"/>
      <c r="C259" s="1040" t="s">
        <v>458</v>
      </c>
      <c r="D259" s="1041"/>
      <c r="E259" s="1010" t="str" cm="1">
        <f t="array" ref="E259">INDEX($C$175:$C$182,E227)</f>
        <v>Enorm</v>
      </c>
      <c r="F259" s="1030" t="str">
        <f>_xlfn.CONCAT(E259," | eenheid")</f>
        <v>Enorm | eenheid</v>
      </c>
      <c r="G259" s="1010" t="str" cm="1">
        <f t="array" ref="G259">INDEX($C$175:$C$182,G227)</f>
        <v>Uniec 2 per functie</v>
      </c>
      <c r="H259" s="1030" t="str">
        <f>_xlfn.CONCAT(G259," | eenheid")</f>
        <v>Uniec 2 per functie | eenheid</v>
      </c>
      <c r="I259" s="1010" t="str" cm="1">
        <f t="array" ref="I259">INDEX($C$175:$C$182,I227)</f>
        <v>Uniec 2 finaal</v>
      </c>
      <c r="J259" s="1030" t="str">
        <f>_xlfn.CONCAT(I259," | eenheid")</f>
        <v>Uniec 2 finaal | eenheid</v>
      </c>
      <c r="K259" s="1129"/>
      <c r="L259" s="1129"/>
      <c r="M259" s="1129"/>
      <c r="N259" s="1010" t="str" cm="1">
        <f t="array" ref="N259">INDEX($C$175:$C$182,N227)</f>
        <v>VABI NTA 8800</v>
      </c>
      <c r="O259" s="1030" t="str">
        <f>_xlfn.CONCAT(N259," | eenheid")</f>
        <v>VABI NTA 8800 | eenheid</v>
      </c>
      <c r="P259" s="1010" t="str" cm="1">
        <f t="array" ref="P259">INDEX($C$175:$C$182,P227)</f>
        <v>Uniec 3 per functie</v>
      </c>
      <c r="Q259" s="1030" t="str">
        <f>_xlfn.CONCAT(P259," | eenheid")</f>
        <v>Uniec 3 per functie | eenheid</v>
      </c>
      <c r="R259" s="1010" t="str" cm="1">
        <f t="array" ref="R259">INDEX($C$175:$C$182,R227)</f>
        <v>Uniec 3 finaal</v>
      </c>
      <c r="S259" s="1030" t="str">
        <f>_xlfn.CONCAT(R259," | eenheid")</f>
        <v>Uniec 3 finaal | eenheid</v>
      </c>
      <c r="T259" s="1006">
        <v>0</v>
      </c>
      <c r="U259" s="1129">
        <v>0</v>
      </c>
      <c r="V259" s="1010"/>
      <c r="W259" s="1010" t="str" cm="1">
        <f t="array" ref="W259">INDEX($C$175:$C$182,W227)</f>
        <v>VABI EPA-U</v>
      </c>
      <c r="X259" s="1030" t="str">
        <f>_xlfn.CONCAT(W259," | eenheid")</f>
        <v>VABI EPA-U | eenheid</v>
      </c>
      <c r="Y259" s="1010" t="str" cm="1">
        <f t="array" ref="Y259">INDEX($C$175:$C$182,Y227)</f>
        <v>Energielabel utiliteit</v>
      </c>
      <c r="Z259" s="1030" t="str">
        <f>_xlfn.CONCAT(Y259," | eenheid")</f>
        <v>Energielabel utiliteit | eenheid</v>
      </c>
      <c r="AA259" s="1044"/>
      <c r="AB259" s="229"/>
      <c r="AC259" s="229"/>
      <c r="AD259" s="229"/>
      <c r="AE259" s="705"/>
      <c r="AF259" s="705"/>
      <c r="AG259" s="705"/>
      <c r="AH259" s="705"/>
      <c r="AI259" s="705"/>
      <c r="AJ259" s="703"/>
      <c r="AK259" s="703"/>
      <c r="AL259" s="703"/>
      <c r="AM259" s="703"/>
      <c r="AN259" s="703"/>
      <c r="AO259" s="703"/>
      <c r="AP259" s="703"/>
      <c r="AQ259" s="703"/>
      <c r="AR259" s="703"/>
      <c r="AS259" s="1045"/>
      <c r="AT259" s="1045"/>
      <c r="AU259" s="1045"/>
      <c r="AV259" s="1045"/>
      <c r="AW259" s="1045"/>
      <c r="AX259" s="1045"/>
      <c r="AY259" s="1043"/>
      <c r="AZ259" s="1043"/>
      <c r="BA259" s="1043"/>
      <c r="BB259" s="1043"/>
      <c r="BC259" s="1043"/>
      <c r="BD259" s="1043"/>
      <c r="BE259" s="1043"/>
      <c r="BF259" s="1043"/>
      <c r="BG259" s="1043"/>
    </row>
    <row r="260" spans="1:59">
      <c r="B260" s="1154" t="str">
        <f>C252</f>
        <v>aardgas</v>
      </c>
      <c r="C260" s="790" t="str">
        <f>C241</f>
        <v>aardgas</v>
      </c>
      <c r="D260" s="67"/>
      <c r="E260" s="1019">
        <v>1</v>
      </c>
      <c r="F260" s="1157" t="str">
        <f>_xlfn.CONCAT(INDEX($C$196:$O$204,MATCH($C260,$C$196:$C$204,0),MATCH(E$259,$C$196:$O$196,0)),"/",INDEX($C$251:$F$256,MATCH($B260,$C$251:$C$256,0),MATCH($E$251,$C$251:$F$251,0)))</f>
        <v>m3/m3</v>
      </c>
      <c r="G260" s="1019">
        <v>1</v>
      </c>
      <c r="H260" s="1157" t="str">
        <f>_xlfn.CONCAT(INDEX($C$196:$O$204,MATCH($C260,$C$196:$C$204,0),MATCH(G$259,$C$196:$O$196,0)),"/",INDEX($C$251:$F$256,MATCH($B260,$C$251:$C$256,0),MATCH($E$251,$C$251:$F$251,0)))</f>
        <v>m3 aeq/m3</v>
      </c>
      <c r="I260" s="1019">
        <v>1</v>
      </c>
      <c r="J260" s="1157" t="str">
        <f>_xlfn.CONCAT(INDEX($C$196:$O$204,MATCH($C260,$C$196:$C$204,0),MATCH(I$259,$C$196:$O$196,0)),"/",INDEX($C$251:$F$256,MATCH($B260,$C$251:$C$256,0),MATCH($E$251,$C$251:$F$251,0)))</f>
        <v>m3 aeq/m3</v>
      </c>
      <c r="K260" s="711"/>
      <c r="L260" s="711"/>
      <c r="M260" s="711"/>
      <c r="N260" s="1011">
        <f>35.17/3.6</f>
        <v>9.7694444444444439</v>
      </c>
      <c r="O260" s="1157" t="str">
        <f>_xlfn.CONCAT(INDEX($C$196:$O$204,MATCH($C260,$C$196:$C$204,0),MATCH(N$259,$C$196:$O$196,0)),"/",INDEX($C$251:$F$256,MATCH($B260,$C$251:$C$256,0),MATCH($E$251,$C$251:$F$251,0)))</f>
        <v>kWh/m3</v>
      </c>
      <c r="P260" s="1019">
        <v>1</v>
      </c>
      <c r="Q260" s="1157" t="str">
        <f>_xlfn.CONCAT(INDEX($C$196:$O$204,MATCH($C260,$C$196:$C$204,0),MATCH(P$259,$C$196:$O$196,0)),"/",INDEX($C$251:$F$256,MATCH($B260,$C$251:$C$256,0),MATCH($E$251,$C$251:$F$251,0)))</f>
        <v>m3 aeq/m3</v>
      </c>
      <c r="R260" s="1019">
        <v>1</v>
      </c>
      <c r="S260" s="1157" t="str">
        <f>_xlfn.CONCAT(INDEX($C$196:$O$204,MATCH($C260,$C$196:$C$204,0),MATCH(R$259,$C$196:$O$196,0)),"/",INDEX($C$251:$F$256,MATCH($B260,$C$251:$C$256,0),MATCH($E$251,$C$251:$F$251,0)))</f>
        <v>m3 aeq/m3</v>
      </c>
      <c r="T260" s="703"/>
      <c r="U260" s="229"/>
      <c r="V260" s="229"/>
      <c r="W260" s="1019">
        <v>1</v>
      </c>
      <c r="X260" s="1157" t="str">
        <f>_xlfn.CONCAT(INDEX($C$196:$O$204,MATCH($C260,$C$196:$C$204,0),MATCH(W$259,$C$196:$O$196,0)),"/",INDEX($C$251:$F$256,MATCH($B260,$C$251:$C$256,0),MATCH($E$251,$C$251:$F$251,0)))</f>
        <v>m3/m3</v>
      </c>
      <c r="Y260" s="1019">
        <v>1</v>
      </c>
      <c r="Z260" s="1157" t="str">
        <f>_xlfn.CONCAT(INDEX($C$196:$O$204,MATCH($C260,$C$196:$C$204,0),MATCH(Y$259,$C$196:$O$196,0)),"/",INDEX($C$251:$F$256,MATCH($B260,$C$251:$C$256,0),MATCH($E$251,$C$251:$F$251,0)))</f>
        <v>m3/m3</v>
      </c>
      <c r="AA260" s="229"/>
      <c r="AB260" s="229"/>
      <c r="AC260" s="229"/>
      <c r="AD260" s="229"/>
      <c r="AE260" s="705"/>
      <c r="AF260" s="705"/>
      <c r="AG260" s="705"/>
      <c r="AH260" s="705"/>
      <c r="AI260" s="705"/>
      <c r="AJ260" s="703"/>
      <c r="AK260" s="703"/>
      <c r="AL260" s="703"/>
      <c r="AM260" s="703"/>
      <c r="AN260" s="703"/>
      <c r="AO260" s="703"/>
      <c r="AP260" s="703"/>
      <c r="AQ260" s="703"/>
      <c r="AR260" s="703"/>
      <c r="AS260" s="703"/>
      <c r="AT260" s="703"/>
      <c r="AU260" s="703"/>
      <c r="AV260" s="703"/>
      <c r="AW260" s="703"/>
      <c r="AX260" s="703"/>
      <c r="AY260" s="703"/>
      <c r="AZ260" s="703"/>
      <c r="BA260" s="703"/>
    </row>
    <row r="261" spans="1:59">
      <c r="B261" s="1154" t="str">
        <f>C253</f>
        <v>elektriciteit</v>
      </c>
      <c r="C261" s="292" t="str">
        <f t="shared" ref="C261:C266" si="219">C242</f>
        <v>elektriciteit</v>
      </c>
      <c r="D261" s="67"/>
      <c r="E261" s="94">
        <v>1</v>
      </c>
      <c r="F261" s="1158" t="str">
        <f t="shared" ref="F261:H266" si="220">_xlfn.CONCAT(INDEX($C$196:$O$204,MATCH($C261,$C$196:$C$204,0),MATCH(E$259,$C$196:$O$196,0)),"/",INDEX($C$251:$F$256,MATCH($B261,$C$251:$C$256,0),MATCH($E$251,$C$251:$F$251,0)))</f>
        <v>kWh/kWh</v>
      </c>
      <c r="G261" s="94">
        <v>1</v>
      </c>
      <c r="H261" s="1158" t="str">
        <f t="shared" si="220"/>
        <v>kWh/kWh</v>
      </c>
      <c r="I261" s="94">
        <v>1</v>
      </c>
      <c r="J261" s="1158" t="str">
        <f t="shared" ref="J261" si="221">_xlfn.CONCAT(INDEX($C$196:$O$204,MATCH($C261,$C$196:$C$204,0),MATCH(I$259,$C$196:$O$196,0)),"/",INDEX($C$251:$F$256,MATCH($B261,$C$251:$C$256,0),MATCH($E$251,$C$251:$F$251,0)))</f>
        <v>kWh/kWh</v>
      </c>
      <c r="K261" s="711"/>
      <c r="L261" s="711"/>
      <c r="M261" s="711"/>
      <c r="N261" s="94">
        <v>1</v>
      </c>
      <c r="O261" s="1158" t="str">
        <f t="shared" ref="O261" si="222">_xlfn.CONCAT(INDEX($C$196:$O$204,MATCH($C261,$C$196:$C$204,0),MATCH(N$259,$C$196:$O$196,0)),"/",INDEX($C$251:$F$256,MATCH($B261,$C$251:$C$256,0),MATCH($E$251,$C$251:$F$251,0)))</f>
        <v>kWh/kWh</v>
      </c>
      <c r="P261" s="94">
        <v>1</v>
      </c>
      <c r="Q261" s="1158" t="str">
        <f t="shared" ref="Q261" si="223">_xlfn.CONCAT(INDEX($C$196:$O$204,MATCH($C261,$C$196:$C$204,0),MATCH(P$259,$C$196:$O$196,0)),"/",INDEX($C$251:$F$256,MATCH($B261,$C$251:$C$256,0),MATCH($E$251,$C$251:$F$251,0)))</f>
        <v>kWh/kWh</v>
      </c>
      <c r="R261" s="94">
        <v>1</v>
      </c>
      <c r="S261" s="1158" t="str">
        <f t="shared" ref="S261" si="224">_xlfn.CONCAT(INDEX($C$196:$O$204,MATCH($C261,$C$196:$C$204,0),MATCH(R$259,$C$196:$O$196,0)),"/",INDEX($C$251:$F$256,MATCH($B261,$C$251:$C$256,0),MATCH($E$251,$C$251:$F$251,0)))</f>
        <v>kWh/kWh</v>
      </c>
      <c r="T261" s="703"/>
      <c r="U261" s="229"/>
      <c r="V261" s="229"/>
      <c r="W261" s="94">
        <v>1</v>
      </c>
      <c r="X261" s="1158" t="str">
        <f t="shared" ref="X261" si="225">_xlfn.CONCAT(INDEX($C$196:$O$204,MATCH($C261,$C$196:$C$204,0),MATCH(W$259,$C$196:$O$196,0)),"/",INDEX($C$251:$F$256,MATCH($B261,$C$251:$C$256,0),MATCH($E$251,$C$251:$F$251,0)))</f>
        <v>kWh/kWh</v>
      </c>
      <c r="Y261" s="94">
        <v>1</v>
      </c>
      <c r="Z261" s="1158" t="str">
        <f t="shared" ref="Z261" si="226">_xlfn.CONCAT(INDEX($C$196:$O$204,MATCH($C261,$C$196:$C$204,0),MATCH(Y$259,$C$196:$O$196,0)),"/",INDEX($C$251:$F$256,MATCH($B261,$C$251:$C$256,0),MATCH($E$251,$C$251:$F$251,0)))</f>
        <v>kWh/kWh</v>
      </c>
      <c r="AA261" s="229"/>
      <c r="AB261" s="229"/>
      <c r="AC261" s="229"/>
      <c r="AD261" s="229"/>
      <c r="AE261" s="705"/>
      <c r="AF261" s="705"/>
      <c r="AG261" s="705"/>
      <c r="AH261" s="705"/>
      <c r="AI261" s="705"/>
      <c r="AJ261" s="703"/>
      <c r="AK261" s="703"/>
      <c r="AL261" s="703"/>
      <c r="AM261" s="703"/>
      <c r="AN261" s="703"/>
      <c r="AO261" s="703"/>
      <c r="AP261" s="703"/>
      <c r="AQ261" s="703"/>
      <c r="AR261" s="703"/>
      <c r="AS261" s="703"/>
      <c r="AT261" s="703"/>
      <c r="AU261" s="703"/>
      <c r="AV261" s="703"/>
      <c r="AW261" s="703"/>
      <c r="AX261" s="703"/>
      <c r="AY261" s="703"/>
      <c r="AZ261" s="703"/>
      <c r="BA261" s="703"/>
    </row>
    <row r="262" spans="1:59">
      <c r="B262" s="1154" t="str">
        <f>C254</f>
        <v>elektriciteit opgewekt</v>
      </c>
      <c r="C262" s="292" t="str">
        <f t="shared" si="219"/>
        <v>elektriciteit opgewekt</v>
      </c>
      <c r="D262" s="67"/>
      <c r="E262" s="94">
        <v>1</v>
      </c>
      <c r="F262" s="1158" t="str">
        <f t="shared" si="220"/>
        <v>kWh/kWh</v>
      </c>
      <c r="G262" s="94">
        <v>1</v>
      </c>
      <c r="H262" s="1158" t="str">
        <f t="shared" si="220"/>
        <v>kWh/kWh</v>
      </c>
      <c r="I262" s="94">
        <v>1</v>
      </c>
      <c r="J262" s="1158" t="str">
        <f t="shared" ref="J262" si="227">_xlfn.CONCAT(INDEX($C$196:$O$204,MATCH($C262,$C$196:$C$204,0),MATCH(I$259,$C$196:$O$196,0)),"/",INDEX($C$251:$F$256,MATCH($B262,$C$251:$C$256,0),MATCH($E$251,$C$251:$F$251,0)))</f>
        <v>kWh/kWh</v>
      </c>
      <c r="K262" s="711"/>
      <c r="L262" s="711"/>
      <c r="M262" s="711"/>
      <c r="N262" s="94">
        <v>1</v>
      </c>
      <c r="O262" s="1158" t="str">
        <f t="shared" ref="O262" si="228">_xlfn.CONCAT(INDEX($C$196:$O$204,MATCH($C262,$C$196:$C$204,0),MATCH(N$259,$C$196:$O$196,0)),"/",INDEX($C$251:$F$256,MATCH($B262,$C$251:$C$256,0),MATCH($E$251,$C$251:$F$251,0)))</f>
        <v>kWh/kWh</v>
      </c>
      <c r="P262" s="94">
        <v>1</v>
      </c>
      <c r="Q262" s="1158" t="str">
        <f t="shared" ref="Q262" si="229">_xlfn.CONCAT(INDEX($C$196:$O$204,MATCH($C262,$C$196:$C$204,0),MATCH(P$259,$C$196:$O$196,0)),"/",INDEX($C$251:$F$256,MATCH($B262,$C$251:$C$256,0),MATCH($E$251,$C$251:$F$251,0)))</f>
        <v>kWh/kWh</v>
      </c>
      <c r="R262" s="94">
        <v>1</v>
      </c>
      <c r="S262" s="1158" t="str">
        <f t="shared" ref="S262" si="230">_xlfn.CONCAT(INDEX($C$196:$O$204,MATCH($C262,$C$196:$C$204,0),MATCH(R$259,$C$196:$O$196,0)),"/",INDEX($C$251:$F$256,MATCH($B262,$C$251:$C$256,0),MATCH($E$251,$C$251:$F$251,0)))</f>
        <v>kWh/kWh</v>
      </c>
      <c r="T262" s="703"/>
      <c r="U262" s="229"/>
      <c r="V262" s="229"/>
      <c r="W262" s="94">
        <v>1</v>
      </c>
      <c r="X262" s="1158" t="str">
        <f t="shared" ref="X262" si="231">_xlfn.CONCAT(INDEX($C$196:$O$204,MATCH($C262,$C$196:$C$204,0),MATCH(W$259,$C$196:$O$196,0)),"/",INDEX($C$251:$F$256,MATCH($B262,$C$251:$C$256,0),MATCH($E$251,$C$251:$F$251,0)))</f>
        <v>kWh/kWh</v>
      </c>
      <c r="Y262" s="94">
        <v>1</v>
      </c>
      <c r="Z262" s="1158" t="str">
        <f t="shared" ref="Z262" si="232">_xlfn.CONCAT(INDEX($C$196:$O$204,MATCH($C262,$C$196:$C$204,0),MATCH(Y$259,$C$196:$O$196,0)),"/",INDEX($C$251:$F$256,MATCH($B262,$C$251:$C$256,0),MATCH($E$251,$C$251:$F$251,0)))</f>
        <v>kWh/kWh</v>
      </c>
      <c r="AA262" s="229"/>
      <c r="AB262" s="229"/>
      <c r="AC262" s="229"/>
      <c r="AD262" s="229"/>
      <c r="AE262" s="705"/>
      <c r="AF262" s="705"/>
      <c r="AG262" s="705"/>
      <c r="AH262" s="705"/>
      <c r="AI262" s="705"/>
      <c r="AJ262" s="703"/>
      <c r="AK262" s="703"/>
      <c r="AL262" s="703"/>
      <c r="AM262" s="703"/>
      <c r="AN262" s="703"/>
      <c r="AO262" s="703"/>
      <c r="AP262" s="703"/>
      <c r="AQ262" s="703"/>
      <c r="AR262" s="703"/>
      <c r="AS262" s="703"/>
      <c r="AT262" s="703"/>
      <c r="AU262" s="703"/>
      <c r="AV262" s="703"/>
      <c r="AW262" s="703"/>
      <c r="AX262" s="703"/>
      <c r="AY262" s="703"/>
      <c r="AZ262" s="703"/>
      <c r="BA262" s="703"/>
    </row>
    <row r="263" spans="1:59">
      <c r="B263" s="1154" t="str">
        <f>C254</f>
        <v>elektriciteit opgewekt</v>
      </c>
      <c r="C263" s="327" t="str">
        <f t="shared" si="219"/>
        <v>elektriciteit geëxporteerd</v>
      </c>
      <c r="D263" s="67"/>
      <c r="E263" s="1017">
        <v>1</v>
      </c>
      <c r="F263" s="1159" t="str">
        <f t="shared" si="220"/>
        <v>kWh/kWh</v>
      </c>
      <c r="G263" s="1017">
        <v>1</v>
      </c>
      <c r="H263" s="1159" t="str">
        <f t="shared" si="220"/>
        <v>kWh/kWh</v>
      </c>
      <c r="I263" s="1017">
        <v>1</v>
      </c>
      <c r="J263" s="1159" t="str">
        <f t="shared" ref="J263" si="233">_xlfn.CONCAT(INDEX($C$196:$O$204,MATCH($C263,$C$196:$C$204,0),MATCH(I$259,$C$196:$O$196,0)),"/",INDEX($C$251:$F$256,MATCH($B263,$C$251:$C$256,0),MATCH($E$251,$C$251:$F$251,0)))</f>
        <v>kWh/kWh</v>
      </c>
      <c r="K263" s="711"/>
      <c r="L263" s="711"/>
      <c r="M263" s="711"/>
      <c r="N263" s="1017">
        <v>1</v>
      </c>
      <c r="O263" s="1159" t="str">
        <f t="shared" ref="O263" si="234">_xlfn.CONCAT(INDEX($C$196:$O$204,MATCH($C263,$C$196:$C$204,0),MATCH(N$259,$C$196:$O$196,0)),"/",INDEX($C$251:$F$256,MATCH($B263,$C$251:$C$256,0),MATCH($E$251,$C$251:$F$251,0)))</f>
        <v>kWh/kWh</v>
      </c>
      <c r="P263" s="1017">
        <v>1</v>
      </c>
      <c r="Q263" s="1159" t="str">
        <f t="shared" ref="Q263" si="235">_xlfn.CONCAT(INDEX($C$196:$O$204,MATCH($C263,$C$196:$C$204,0),MATCH(P$259,$C$196:$O$196,0)),"/",INDEX($C$251:$F$256,MATCH($B263,$C$251:$C$256,0),MATCH($E$251,$C$251:$F$251,0)))</f>
        <v>kWh/kWh</v>
      </c>
      <c r="R263" s="1017">
        <v>1</v>
      </c>
      <c r="S263" s="1159" t="str">
        <f t="shared" ref="S263" si="236">_xlfn.CONCAT(INDEX($C$196:$O$204,MATCH($C263,$C$196:$C$204,0),MATCH(R$259,$C$196:$O$196,0)),"/",INDEX($C$251:$F$256,MATCH($B263,$C$251:$C$256,0),MATCH($E$251,$C$251:$F$251,0)))</f>
        <v>kWh/kWh</v>
      </c>
      <c r="T263" s="703"/>
      <c r="U263" s="229"/>
      <c r="V263" s="229"/>
      <c r="W263" s="1017">
        <v>1</v>
      </c>
      <c r="X263" s="1159" t="str">
        <f t="shared" ref="X263" si="237">_xlfn.CONCAT(INDEX($C$196:$O$204,MATCH($C263,$C$196:$C$204,0),MATCH(W$259,$C$196:$O$196,0)),"/",INDEX($C$251:$F$256,MATCH($B263,$C$251:$C$256,0),MATCH($E$251,$C$251:$F$251,0)))</f>
        <v>kWh/kWh</v>
      </c>
      <c r="Y263" s="1017">
        <v>1</v>
      </c>
      <c r="Z263" s="1159" t="str">
        <f t="shared" ref="Z263" si="238">_xlfn.CONCAT(INDEX($C$196:$O$204,MATCH($C263,$C$196:$C$204,0),MATCH(Y$259,$C$196:$O$196,0)),"/",INDEX($C$251:$F$256,MATCH($B263,$C$251:$C$256,0),MATCH($E$251,$C$251:$F$251,0)))</f>
        <v>kWh/kWh</v>
      </c>
      <c r="AA263" s="229"/>
      <c r="AB263" s="229"/>
      <c r="AC263" s="229"/>
      <c r="AD263" s="229"/>
      <c r="AE263" s="705"/>
      <c r="AF263" s="705"/>
      <c r="AG263" s="705"/>
      <c r="AH263" s="705"/>
      <c r="AI263" s="705"/>
      <c r="AJ263" s="703"/>
      <c r="AK263" s="703"/>
      <c r="AL263" s="703"/>
      <c r="AM263" s="703"/>
      <c r="AN263" s="703"/>
      <c r="AO263" s="703"/>
      <c r="AP263" s="703"/>
      <c r="AQ263" s="703"/>
      <c r="AR263" s="703"/>
      <c r="AS263" s="703"/>
      <c r="AT263" s="703"/>
      <c r="AU263" s="703"/>
      <c r="AV263" s="703"/>
      <c r="AW263" s="703"/>
      <c r="AX263" s="703"/>
      <c r="AY263" s="703"/>
      <c r="AZ263" s="703"/>
      <c r="BA263" s="703"/>
    </row>
    <row r="264" spans="1:59">
      <c r="B264" s="1154" t="str">
        <f>C255</f>
        <v>externe warmte</v>
      </c>
      <c r="C264" s="293" t="str">
        <f t="shared" si="219"/>
        <v>externe warmte</v>
      </c>
      <c r="D264" s="446"/>
      <c r="E264" s="1018">
        <v>1</v>
      </c>
      <c r="F264" s="1160" t="str">
        <f t="shared" si="220"/>
        <v>GJ/GJ</v>
      </c>
      <c r="G264" s="1018">
        <v>1</v>
      </c>
      <c r="H264" s="1160" t="str">
        <f t="shared" si="220"/>
        <v>GJ/GJ</v>
      </c>
      <c r="I264" s="1018">
        <v>1</v>
      </c>
      <c r="J264" s="1160" t="str">
        <f t="shared" ref="J264" si="239">_xlfn.CONCAT(INDEX($C$196:$O$204,MATCH($C264,$C$196:$C$204,0),MATCH(I$259,$C$196:$O$196,0)),"/",INDEX($C$251:$F$256,MATCH($B264,$C$251:$C$256,0),MATCH($E$251,$C$251:$F$251,0)))</f>
        <v>GJ/GJ</v>
      </c>
      <c r="K264" s="712"/>
      <c r="L264" s="712"/>
      <c r="M264" s="712"/>
      <c r="N264" s="1018">
        <f>1000/3.6</f>
        <v>277.77777777777777</v>
      </c>
      <c r="O264" s="1160" t="str">
        <f t="shared" ref="O264" si="240">_xlfn.CONCAT(INDEX($C$196:$O$204,MATCH($C264,$C$196:$C$204,0),MATCH(N$259,$C$196:$O$196,0)),"/",INDEX($C$251:$F$256,MATCH($B264,$C$251:$C$256,0),MATCH($E$251,$C$251:$F$251,0)))</f>
        <v>kWh/GJ</v>
      </c>
      <c r="P264" s="1018">
        <v>1</v>
      </c>
      <c r="Q264" s="1160" t="str">
        <f t="shared" ref="Q264" si="241">_xlfn.CONCAT(INDEX($C$196:$O$204,MATCH($C264,$C$196:$C$204,0),MATCH(P$259,$C$196:$O$196,0)),"/",INDEX($C$251:$F$256,MATCH($B264,$C$251:$C$256,0),MATCH($E$251,$C$251:$F$251,0)))</f>
        <v>GJ/GJ</v>
      </c>
      <c r="R264" s="1018">
        <v>1</v>
      </c>
      <c r="S264" s="1160" t="str">
        <f t="shared" ref="S264" si="242">_xlfn.CONCAT(INDEX($C$196:$O$204,MATCH($C264,$C$196:$C$204,0),MATCH(R$259,$C$196:$O$196,0)),"/",INDEX($C$251:$F$256,MATCH($B264,$C$251:$C$256,0),MATCH($E$251,$C$251:$F$251,0)))</f>
        <v>GJ/GJ</v>
      </c>
      <c r="T264" s="703"/>
      <c r="U264" s="229"/>
      <c r="V264" s="229"/>
      <c r="W264" s="1018">
        <v>1</v>
      </c>
      <c r="X264" s="1160" t="str">
        <f t="shared" ref="X264" si="243">_xlfn.CONCAT(INDEX($C$196:$O$204,MATCH($C264,$C$196:$C$204,0),MATCH(W$259,$C$196:$O$196,0)),"/",INDEX($C$251:$F$256,MATCH($B264,$C$251:$C$256,0),MATCH($E$251,$C$251:$F$251,0)))</f>
        <v>GJ/GJ</v>
      </c>
      <c r="Y264" s="1018">
        <v>1</v>
      </c>
      <c r="Z264" s="1160" t="str">
        <f t="shared" ref="Z264" si="244">_xlfn.CONCAT(INDEX($C$196:$O$204,MATCH($C264,$C$196:$C$204,0),MATCH(Y$259,$C$196:$O$196,0)),"/",INDEX($C$251:$F$256,MATCH($B264,$C$251:$C$256,0),MATCH($E$251,$C$251:$F$251,0)))</f>
        <v>GJ/GJ</v>
      </c>
      <c r="AA264" s="229"/>
      <c r="AB264" s="229"/>
      <c r="AC264" s="229"/>
      <c r="AD264" s="229"/>
      <c r="AE264" s="705"/>
      <c r="AF264" s="705"/>
      <c r="AG264" s="705"/>
      <c r="AH264" s="705"/>
      <c r="AI264" s="705"/>
      <c r="AJ264" s="703"/>
      <c r="AK264" s="703"/>
      <c r="AL264" s="703"/>
      <c r="AM264" s="703"/>
      <c r="AN264" s="703"/>
      <c r="AO264" s="703"/>
      <c r="AP264" s="703"/>
      <c r="AQ264" s="703"/>
      <c r="AR264" s="703"/>
      <c r="AS264" s="703"/>
      <c r="AT264" s="703"/>
      <c r="AU264" s="703"/>
      <c r="AV264" s="703"/>
      <c r="AW264" s="703"/>
      <c r="AX264" s="703"/>
      <c r="AY264" s="703"/>
      <c r="AZ264" s="703"/>
      <c r="BA264" s="703"/>
    </row>
    <row r="265" spans="1:59">
      <c r="B265" s="1154" t="str">
        <f>C255</f>
        <v>externe warmte</v>
      </c>
      <c r="C265" s="327" t="str">
        <f t="shared" si="219"/>
        <v>externe koude</v>
      </c>
      <c r="D265" s="67"/>
      <c r="E265" s="1017">
        <v>1</v>
      </c>
      <c r="F265" s="1159" t="str">
        <f t="shared" si="220"/>
        <v>GJ/GJ</v>
      </c>
      <c r="G265" s="1017">
        <v>1</v>
      </c>
      <c r="H265" s="1159" t="str">
        <f t="shared" si="220"/>
        <v>GJ/GJ</v>
      </c>
      <c r="I265" s="1017">
        <v>1</v>
      </c>
      <c r="J265" s="1159" t="str">
        <f t="shared" ref="J265" si="245">_xlfn.CONCAT(INDEX($C$196:$O$204,MATCH($C265,$C$196:$C$204,0),MATCH(I$259,$C$196:$O$196,0)),"/",INDEX($C$251:$F$256,MATCH($B265,$C$251:$C$256,0),MATCH($E$251,$C$251:$F$251,0)))</f>
        <v>GJ/GJ</v>
      </c>
      <c r="K265" s="711"/>
      <c r="L265" s="711"/>
      <c r="M265" s="711"/>
      <c r="N265" s="1017">
        <f>1000/3.6</f>
        <v>277.77777777777777</v>
      </c>
      <c r="O265" s="1159" t="str">
        <f t="shared" ref="O265" si="246">_xlfn.CONCAT(INDEX($C$196:$O$204,MATCH($C265,$C$196:$C$204,0),MATCH(N$259,$C$196:$O$196,0)),"/",INDEX($C$251:$F$256,MATCH($B265,$C$251:$C$256,0),MATCH($E$251,$C$251:$F$251,0)))</f>
        <v>kWh/GJ</v>
      </c>
      <c r="P265" s="1017">
        <v>1</v>
      </c>
      <c r="Q265" s="1159" t="str">
        <f t="shared" ref="Q265" si="247">_xlfn.CONCAT(INDEX($C$196:$O$204,MATCH($C265,$C$196:$C$204,0),MATCH(P$259,$C$196:$O$196,0)),"/",INDEX($C$251:$F$256,MATCH($B265,$C$251:$C$256,0),MATCH($E$251,$C$251:$F$251,0)))</f>
        <v>GJ/GJ</v>
      </c>
      <c r="R265" s="1017">
        <v>1</v>
      </c>
      <c r="S265" s="1159" t="str">
        <f t="shared" ref="S265" si="248">_xlfn.CONCAT(INDEX($C$196:$O$204,MATCH($C265,$C$196:$C$204,0),MATCH(R$259,$C$196:$O$196,0)),"/",INDEX($C$251:$F$256,MATCH($B265,$C$251:$C$256,0),MATCH($E$251,$C$251:$F$251,0)))</f>
        <v>GJ/GJ</v>
      </c>
      <c r="T265" s="703"/>
      <c r="U265" s="229"/>
      <c r="V265" s="229"/>
      <c r="W265" s="1017">
        <v>1</v>
      </c>
      <c r="X265" s="1159" t="str">
        <f t="shared" ref="X265" si="249">_xlfn.CONCAT(INDEX($C$196:$O$204,MATCH($C265,$C$196:$C$204,0),MATCH(W$259,$C$196:$O$196,0)),"/",INDEX($C$251:$F$256,MATCH($B265,$C$251:$C$256,0),MATCH($E$251,$C$251:$F$251,0)))</f>
        <v>GJ/GJ</v>
      </c>
      <c r="Y265" s="1017">
        <v>1</v>
      </c>
      <c r="Z265" s="1159" t="str">
        <f t="shared" ref="Z265" si="250">_xlfn.CONCAT(INDEX($C$196:$O$204,MATCH($C265,$C$196:$C$204,0),MATCH(Y$259,$C$196:$O$196,0)),"/",INDEX($C$251:$F$256,MATCH($B265,$C$251:$C$256,0),MATCH($E$251,$C$251:$F$251,0)))</f>
        <v>GJ/GJ</v>
      </c>
      <c r="AA265" s="229"/>
      <c r="AB265" s="229"/>
      <c r="AC265" s="229"/>
      <c r="AD265" s="229"/>
      <c r="AE265" s="705"/>
      <c r="AF265" s="705"/>
      <c r="AG265" s="705"/>
      <c r="AH265" s="705"/>
      <c r="AI265" s="705"/>
      <c r="AJ265" s="703"/>
      <c r="AK265" s="703"/>
      <c r="AL265" s="703"/>
      <c r="AM265" s="703"/>
      <c r="AN265" s="703"/>
      <c r="AO265" s="703"/>
      <c r="AP265" s="703"/>
      <c r="AQ265" s="703"/>
      <c r="AR265" s="703"/>
      <c r="AS265" s="703"/>
      <c r="AT265" s="703"/>
      <c r="AU265" s="703"/>
      <c r="AV265" s="703"/>
      <c r="AW265" s="703"/>
      <c r="AX265" s="703"/>
      <c r="AY265" s="703"/>
      <c r="AZ265" s="703"/>
      <c r="BA265" s="703"/>
    </row>
    <row r="266" spans="1:59">
      <c r="B266" s="1154" t="str">
        <f>C256</f>
        <v>hout / biomassa</v>
      </c>
      <c r="C266" s="293" t="str">
        <f t="shared" si="219"/>
        <v>hout / biomassa</v>
      </c>
      <c r="D266" s="446"/>
      <c r="E266" s="1018">
        <v>15</v>
      </c>
      <c r="F266" s="1160" t="str">
        <f t="shared" si="220"/>
        <v>MJ/kg</v>
      </c>
      <c r="G266" s="1018">
        <v>15</v>
      </c>
      <c r="H266" s="1160" t="str">
        <f t="shared" si="220"/>
        <v>MJ/kg</v>
      </c>
      <c r="I266" s="1018">
        <v>15</v>
      </c>
      <c r="J266" s="1160" t="str">
        <f t="shared" ref="J266" si="251">_xlfn.CONCAT(INDEX($C$196:$O$204,MATCH($C266,$C$196:$C$204,0),MATCH(I$259,$C$196:$O$196,0)),"/",INDEX($C$251:$F$256,MATCH($B266,$C$251:$C$256,0),MATCH($E$251,$C$251:$F$251,0)))</f>
        <v>MJ/kg</v>
      </c>
      <c r="K266" s="712"/>
      <c r="L266" s="712"/>
      <c r="M266" s="712"/>
      <c r="N266" s="1014">
        <f>15/3.6</f>
        <v>4.166666666666667</v>
      </c>
      <c r="O266" s="1160" t="str">
        <f t="shared" ref="O266" si="252">_xlfn.CONCAT(INDEX($C$196:$O$204,MATCH($C266,$C$196:$C$204,0),MATCH(N$259,$C$196:$O$196,0)),"/",INDEX($C$251:$F$256,MATCH($B266,$C$251:$C$256,0),MATCH($E$251,$C$251:$F$251,0)))</f>
        <v>kWh/kg</v>
      </c>
      <c r="P266" s="1014">
        <f>15/3.6</f>
        <v>4.166666666666667</v>
      </c>
      <c r="Q266" s="1160" t="str">
        <f t="shared" ref="Q266" si="253">_xlfn.CONCAT(INDEX($C$196:$O$204,MATCH($C266,$C$196:$C$204,0),MATCH(P$259,$C$196:$O$196,0)),"/",INDEX($C$251:$F$256,MATCH($B266,$C$251:$C$256,0),MATCH($E$251,$C$251:$F$251,0)))</f>
        <v>kWh/kg</v>
      </c>
      <c r="R266" s="1014">
        <f>15/3.6</f>
        <v>4.166666666666667</v>
      </c>
      <c r="S266" s="1160" t="str">
        <f t="shared" ref="S266" si="254">_xlfn.CONCAT(INDEX($C$196:$O$204,MATCH($C266,$C$196:$C$204,0),MATCH(R$259,$C$196:$O$196,0)),"/",INDEX($C$251:$F$256,MATCH($B266,$C$251:$C$256,0),MATCH($E$251,$C$251:$F$251,0)))</f>
        <v>kWh/kg</v>
      </c>
      <c r="T266" s="703"/>
      <c r="U266" s="229"/>
      <c r="V266" s="229"/>
      <c r="W266" s="1018">
        <v>15</v>
      </c>
      <c r="X266" s="1160" t="str">
        <f t="shared" ref="X266" si="255">_xlfn.CONCAT(INDEX($C$196:$O$204,MATCH($C266,$C$196:$C$204,0),MATCH(W$259,$C$196:$O$196,0)),"/",INDEX($C$251:$F$256,MATCH($B266,$C$251:$C$256,0),MATCH($E$251,$C$251:$F$251,0)))</f>
        <v>MJ/kg</v>
      </c>
      <c r="Y266" s="1018">
        <v>15</v>
      </c>
      <c r="Z266" s="1160" t="str">
        <f t="shared" ref="Z266" si="256">_xlfn.CONCAT(INDEX($C$196:$O$204,MATCH($C266,$C$196:$C$204,0),MATCH(Y$259,$C$196:$O$196,0)),"/",INDEX($C$251:$F$256,MATCH($B266,$C$251:$C$256,0),MATCH($E$251,$C$251:$F$251,0)))</f>
        <v>MJ/kg</v>
      </c>
      <c r="AA266" s="229"/>
      <c r="AB266" s="703"/>
      <c r="AC266" s="703"/>
      <c r="AD266" s="229"/>
      <c r="AE266" s="705"/>
      <c r="AF266" s="705"/>
      <c r="AG266" s="705"/>
      <c r="AH266" s="705"/>
      <c r="AI266" s="705"/>
      <c r="AJ266" s="703"/>
      <c r="AK266" s="703"/>
      <c r="AL266" s="703"/>
      <c r="AM266" s="703"/>
      <c r="AN266" s="703"/>
      <c r="AO266" s="703"/>
      <c r="AP266" s="703"/>
      <c r="AQ266" s="703"/>
      <c r="AR266" s="703"/>
      <c r="AS266" s="703"/>
      <c r="AT266" s="703"/>
      <c r="AU266" s="703"/>
      <c r="AV266" s="703"/>
      <c r="AW266" s="703"/>
      <c r="AX266" s="703"/>
      <c r="AY266" s="703"/>
      <c r="AZ266" s="703"/>
      <c r="BA266" s="703"/>
    </row>
    <row r="267" spans="1:59">
      <c r="B267" s="21"/>
      <c r="C267" s="18"/>
      <c r="D267" s="18"/>
      <c r="E267" s="18"/>
      <c r="F267" s="18"/>
      <c r="G267" s="18"/>
      <c r="H267" s="18"/>
      <c r="I267" s="18"/>
      <c r="J267" s="18"/>
      <c r="K267" s="18"/>
      <c r="M267" s="703"/>
      <c r="N267" s="703"/>
      <c r="O267" s="703"/>
      <c r="P267" s="703"/>
      <c r="Q267" s="703"/>
      <c r="R267" s="703"/>
      <c r="S267" s="703"/>
      <c r="T267" s="703"/>
      <c r="U267" s="703"/>
      <c r="V267" s="703"/>
      <c r="W267" s="703"/>
      <c r="X267" s="703"/>
      <c r="Y267" s="703"/>
      <c r="Z267" s="703"/>
      <c r="AA267" s="703"/>
      <c r="AB267" s="703"/>
      <c r="AC267" s="703"/>
      <c r="AD267" s="703"/>
      <c r="AE267" s="705"/>
      <c r="AF267" s="705"/>
      <c r="AG267" s="705"/>
      <c r="AH267" s="705"/>
      <c r="AI267" s="705"/>
      <c r="AJ267" s="703"/>
      <c r="AK267" s="703"/>
      <c r="AL267" s="703"/>
      <c r="AM267" s="703"/>
      <c r="AN267" s="703"/>
      <c r="AO267" s="703"/>
      <c r="AP267" s="703"/>
      <c r="AQ267" s="703"/>
      <c r="AR267" s="703"/>
      <c r="AS267" s="703"/>
      <c r="AT267" s="703"/>
      <c r="AU267" s="703"/>
      <c r="AV267" s="703"/>
      <c r="AW267" s="703"/>
      <c r="AX267" s="703"/>
      <c r="AY267" s="703"/>
      <c r="AZ267" s="703"/>
      <c r="BA267" s="703"/>
    </row>
    <row r="268" spans="1:59">
      <c r="A268" s="19"/>
      <c r="B268" s="88">
        <f ca="1">MAX($B$1:OFFSET(B268,-1,0))+1</f>
        <v>25</v>
      </c>
      <c r="C268" s="122" t="s">
        <v>1627</v>
      </c>
      <c r="D268" s="122"/>
      <c r="E268" s="155"/>
      <c r="F268" s="14"/>
      <c r="G268" s="14"/>
      <c r="H268" s="14"/>
      <c r="I268" s="14"/>
      <c r="J268" s="14"/>
      <c r="K268" s="14"/>
      <c r="L268" s="14"/>
      <c r="M268" s="14"/>
      <c r="N268" s="14"/>
      <c r="O268" s="14"/>
      <c r="P268" s="14"/>
      <c r="Q268" s="14"/>
      <c r="R268" s="14"/>
      <c r="S268" s="14"/>
      <c r="T268" s="14"/>
      <c r="U268" s="14"/>
      <c r="V268" s="14"/>
      <c r="W268" s="14"/>
      <c r="X268" s="14"/>
      <c r="Y268" s="14"/>
      <c r="Z268" s="14"/>
      <c r="AA268" s="14"/>
      <c r="AB268" s="210"/>
      <c r="AC268" s="210"/>
      <c r="AD268" s="210"/>
      <c r="AE268" s="705"/>
      <c r="AF268" s="705"/>
      <c r="AG268" s="705"/>
      <c r="AH268" s="705"/>
      <c r="AI268" s="705"/>
      <c r="AJ268" s="703"/>
      <c r="AK268" s="703"/>
      <c r="AL268" s="703"/>
      <c r="AM268" s="703"/>
      <c r="AN268" s="703"/>
      <c r="AO268" s="703"/>
      <c r="AP268" s="703"/>
      <c r="AQ268" s="703"/>
      <c r="AR268" s="703"/>
      <c r="AS268" s="703"/>
      <c r="AT268" s="703"/>
      <c r="AU268" s="703"/>
      <c r="AV268" s="703"/>
      <c r="AW268" s="703"/>
      <c r="AX268" s="703"/>
      <c r="AY268" s="703"/>
      <c r="AZ268" s="703"/>
      <c r="BA268" s="703"/>
    </row>
    <row r="269" spans="1:59" s="119" customFormat="1" ht="48">
      <c r="A269" s="116"/>
      <c r="B269" s="1031"/>
      <c r="C269" s="1032" t="s">
        <v>458</v>
      </c>
      <c r="D269" s="1033"/>
      <c r="E269" s="1034" t="str">
        <f>_xlfn.CONCAT(GPR4.3," | ",$E$11," | ",$E$12, " | ",NEN_7120)</f>
        <v>GPR 4.3 | nieuwbouw | woningbouw | NEN 7120</v>
      </c>
      <c r="F269" s="1034" t="str">
        <f>_xlfn.CONCAT(GPR4.3," | ",$F$11," | ",$E$12, " | ",NEN_7120)</f>
        <v>GPR 4.3 | bestaande bouw | woningbouw | NEN 7120</v>
      </c>
      <c r="G269" s="1034" t="str">
        <f>_xlfn.CONCAT(GPR4.3," | ",$E$11," | ",$F$12, " | ",NEN_7120)</f>
        <v>GPR 4.3 | nieuwbouw | utiliteitsbouw | NEN 7120</v>
      </c>
      <c r="H269" s="1034" t="str">
        <f>_xlfn.CONCAT(GPR4.3," | ",$F$11," | ",$F$12, " | ",ISSO_75.3)</f>
        <v>GPR 4.3 | bestaande bouw | utiliteitsbouw | ISSO 75.3</v>
      </c>
      <c r="I269" s="1034" t="str">
        <f>_xlfn.CONCAT(GPR4.4," | ",$E$11," | ",$E$12, " | ",NEN_7120)</f>
        <v>GPR 4.4 | nieuwbouw | woningbouw | NEN 7120</v>
      </c>
      <c r="J269" s="1034" t="str">
        <f>_xlfn.CONCAT(GPR4.4," | ",$E$11," | ",$E$12, " | ",NTA_8800)</f>
        <v>GPR 4.4 | nieuwbouw | woningbouw | NTA 8800</v>
      </c>
      <c r="K269" s="1035"/>
      <c r="L269" s="1035"/>
      <c r="M269" s="1035"/>
      <c r="N269" s="1034" t="str">
        <f>_xlfn.CONCAT(GPR4.4," | ",$F$11," | ",$E$12, " | ",NEN_7120)</f>
        <v>GPR 4.4 | bestaande bouw | woningbouw | NEN 7120</v>
      </c>
      <c r="O269" s="1034" t="str">
        <f>_xlfn.CONCAT(GPR4.4," | ",$F$11," | ",$E$12, " | ",NTA_8800)</f>
        <v>GPR 4.4 | bestaande bouw | woningbouw | NTA 8800</v>
      </c>
      <c r="P269" s="1034" t="str">
        <f>_xlfn.CONCAT(GPR4.4," | ",$E$11," | ",$F$12, " | ",NEN_7120)</f>
        <v>GPR 4.4 | nieuwbouw | utiliteitsbouw | NEN 7120</v>
      </c>
      <c r="Q269" s="1034" t="str">
        <f>_xlfn.CONCAT(GPR4.4," | ",$E$11," | ",$F$12, " | ",NTA_8800)</f>
        <v>GPR 4.4 | nieuwbouw | utiliteitsbouw | NTA 8800</v>
      </c>
      <c r="R269" s="1034" t="str">
        <f>_xlfn.CONCAT(GPR4.4," | ",$F$11," | ",$E$12, " | ",NEN_7120)</f>
        <v>GPR 4.4 | bestaande bouw | woningbouw | NEN 7120</v>
      </c>
      <c r="S269" s="1034" t="str">
        <f>_xlfn.CONCAT(GPR4.4," | ",$F$11," | ",$F$12, " | ",NTA_8800)</f>
        <v>GPR 4.4 | bestaande bouw | utiliteitsbouw | NTA 8800</v>
      </c>
      <c r="T269" s="704"/>
      <c r="U269" s="1036"/>
      <c r="V269" s="1036"/>
      <c r="W269" s="1034" t="str">
        <f>_xlfn.CONCAT(GPR4.4," | ",$F$11," | ",$F$12, " | ",NEN_7120)</f>
        <v>GPR 4.4 | bestaande bouw | utiliteitsbouw | NEN 7120</v>
      </c>
      <c r="X269" s="1034" t="str">
        <f>_xlfn.CONCAT(GPR4.4," | ",$F$11," | ",$F$12, " | ",ISSO_75.3)</f>
        <v>GPR 4.4 | bestaande bouw | utiliteitsbouw | ISSO 75.3</v>
      </c>
      <c r="Y269" s="1037"/>
      <c r="Z269" s="1037"/>
      <c r="AA269" s="1036"/>
      <c r="AB269" s="229"/>
      <c r="AC269" s="229"/>
      <c r="AD269" s="229"/>
      <c r="AE269" s="705"/>
      <c r="AF269" s="705"/>
      <c r="AG269" s="705"/>
      <c r="AH269" s="705"/>
      <c r="AI269" s="705"/>
      <c r="AJ269" s="703"/>
      <c r="AK269" s="703"/>
      <c r="AL269" s="703"/>
      <c r="AM269" s="703"/>
      <c r="AN269" s="703"/>
      <c r="AO269" s="703"/>
      <c r="AP269" s="703"/>
      <c r="AQ269" s="703"/>
      <c r="AR269" s="703"/>
      <c r="AS269" s="1038"/>
      <c r="AT269" s="1038"/>
      <c r="AU269" s="1038"/>
      <c r="AV269" s="1038"/>
      <c r="AW269" s="1038"/>
      <c r="AX269" s="1038"/>
      <c r="AY269" s="704"/>
      <c r="AZ269" s="704"/>
      <c r="BA269" s="704"/>
      <c r="BB269" s="704"/>
      <c r="BC269" s="704"/>
      <c r="BD269" s="704"/>
      <c r="BE269" s="704"/>
      <c r="BF269" s="704"/>
      <c r="BG269" s="704"/>
    </row>
    <row r="270" spans="1:59">
      <c r="B270" s="21"/>
      <c r="C270" s="790" t="s">
        <v>463</v>
      </c>
      <c r="D270" s="67"/>
      <c r="E270" s="1020" t="s">
        <v>463</v>
      </c>
      <c r="F270" s="1020" t="s">
        <v>463</v>
      </c>
      <c r="G270" s="1020" t="s">
        <v>463</v>
      </c>
      <c r="H270" s="1020" t="s">
        <v>463</v>
      </c>
      <c r="I270" s="1020" t="s">
        <v>463</v>
      </c>
      <c r="J270" s="1020" t="s">
        <v>463</v>
      </c>
      <c r="K270" s="711"/>
      <c r="L270" s="711"/>
      <c r="M270" s="711"/>
      <c r="N270" s="1020" t="s">
        <v>463</v>
      </c>
      <c r="O270" s="1020" t="s">
        <v>463</v>
      </c>
      <c r="P270" s="1020" t="s">
        <v>463</v>
      </c>
      <c r="Q270" s="1020" t="s">
        <v>463</v>
      </c>
      <c r="R270" s="1020" t="s">
        <v>463</v>
      </c>
      <c r="S270" s="1020" t="s">
        <v>463</v>
      </c>
      <c r="T270" s="703"/>
      <c r="U270" s="229"/>
      <c r="V270" s="229"/>
      <c r="W270" s="1020" t="s">
        <v>463</v>
      </c>
      <c r="X270" s="1020" t="s">
        <v>463</v>
      </c>
      <c r="Y270" s="1021"/>
      <c r="Z270" s="1021"/>
      <c r="AA270" s="229"/>
      <c r="AB270" s="229"/>
      <c r="AC270" s="229"/>
      <c r="AD270" s="229"/>
      <c r="AE270" s="705"/>
      <c r="AF270" s="705"/>
      <c r="AG270" s="705"/>
      <c r="AH270" s="705"/>
      <c r="AI270" s="705"/>
      <c r="AJ270" s="703"/>
      <c r="AK270" s="703"/>
      <c r="AL270" s="703"/>
      <c r="AM270" s="703"/>
      <c r="AN270" s="703"/>
      <c r="AO270" s="703"/>
      <c r="AP270" s="703"/>
      <c r="AQ270" s="703"/>
      <c r="AR270" s="703"/>
      <c r="AS270" s="703"/>
      <c r="AT270" s="703"/>
      <c r="AU270" s="703"/>
      <c r="AV270" s="703"/>
      <c r="AW270" s="703"/>
      <c r="AX270" s="703"/>
      <c r="AY270" s="703"/>
      <c r="AZ270" s="703"/>
      <c r="BA270" s="703"/>
    </row>
    <row r="271" spans="1:59" ht="48">
      <c r="B271" s="21"/>
      <c r="C271" s="292" t="s">
        <v>465</v>
      </c>
      <c r="D271" s="67"/>
      <c r="E271" s="1022" t="s">
        <v>519</v>
      </c>
      <c r="F271" s="1022" t="s">
        <v>519</v>
      </c>
      <c r="G271" s="1022" t="s">
        <v>519</v>
      </c>
      <c r="H271" s="1022" t="s">
        <v>519</v>
      </c>
      <c r="I271" s="1022" t="s">
        <v>1625</v>
      </c>
      <c r="J271" s="1022" t="s">
        <v>1625</v>
      </c>
      <c r="K271" s="711"/>
      <c r="L271" s="711"/>
      <c r="M271" s="711"/>
      <c r="N271" s="1022" t="s">
        <v>1625</v>
      </c>
      <c r="O271" s="1022" t="s">
        <v>1625</v>
      </c>
      <c r="P271" s="1022" t="s">
        <v>1625</v>
      </c>
      <c r="Q271" s="1022" t="s">
        <v>1625</v>
      </c>
      <c r="R271" s="1022" t="s">
        <v>1625</v>
      </c>
      <c r="S271" s="1022" t="s">
        <v>1625</v>
      </c>
      <c r="T271" s="703"/>
      <c r="U271" s="229"/>
      <c r="V271" s="229"/>
      <c r="W271" s="1022" t="s">
        <v>1625</v>
      </c>
      <c r="X271" s="1022" t="s">
        <v>1625</v>
      </c>
      <c r="Y271" s="1022"/>
      <c r="Z271" s="1022"/>
      <c r="AA271" s="229"/>
      <c r="AB271" s="229"/>
      <c r="AC271" s="229"/>
      <c r="AD271" s="229"/>
      <c r="AE271" s="705"/>
      <c r="AF271" s="705"/>
      <c r="AG271" s="705"/>
      <c r="AH271" s="705"/>
      <c r="AI271" s="705"/>
      <c r="AJ271" s="703"/>
      <c r="AK271" s="703"/>
      <c r="AL271" s="703"/>
      <c r="AM271" s="703"/>
      <c r="AN271" s="703"/>
      <c r="AO271" s="703"/>
      <c r="AP271" s="703"/>
      <c r="AQ271" s="703"/>
      <c r="AR271" s="703"/>
      <c r="AS271" s="703"/>
      <c r="AT271" s="703"/>
      <c r="AU271" s="703"/>
      <c r="AV271" s="703"/>
      <c r="AW271" s="703"/>
      <c r="AX271" s="703"/>
      <c r="AY271" s="703"/>
      <c r="AZ271" s="703"/>
      <c r="BA271" s="703"/>
    </row>
    <row r="272" spans="1:59" ht="32">
      <c r="B272" s="21"/>
      <c r="C272" s="292" t="s">
        <v>466</v>
      </c>
      <c r="D272" s="67"/>
      <c r="E272" s="1022" t="s">
        <v>1622</v>
      </c>
      <c r="F272" s="1022" t="s">
        <v>1622</v>
      </c>
      <c r="G272" s="1022" t="s">
        <v>1622</v>
      </c>
      <c r="H272" s="1022" t="s">
        <v>1622</v>
      </c>
      <c r="I272" s="1022" t="s">
        <v>1626</v>
      </c>
      <c r="J272" s="1022" t="s">
        <v>1626</v>
      </c>
      <c r="K272" s="711"/>
      <c r="L272" s="711"/>
      <c r="M272" s="711"/>
      <c r="N272" s="1022" t="s">
        <v>1626</v>
      </c>
      <c r="O272" s="1022" t="s">
        <v>1626</v>
      </c>
      <c r="P272" s="1022" t="s">
        <v>1626</v>
      </c>
      <c r="Q272" s="1022" t="s">
        <v>1626</v>
      </c>
      <c r="R272" s="1022" t="s">
        <v>1626</v>
      </c>
      <c r="S272" s="1022" t="s">
        <v>1626</v>
      </c>
      <c r="T272" s="703"/>
      <c r="U272" s="229"/>
      <c r="V272" s="229"/>
      <c r="W272" s="1022" t="s">
        <v>1626</v>
      </c>
      <c r="X272" s="1022" t="s">
        <v>1626</v>
      </c>
      <c r="Y272" s="1022"/>
      <c r="Z272" s="1022"/>
      <c r="AA272" s="229"/>
      <c r="AB272" s="229"/>
      <c r="AC272" s="229"/>
      <c r="AD272" s="229"/>
      <c r="AE272" s="705"/>
      <c r="AF272" s="705"/>
      <c r="AG272" s="705"/>
      <c r="AH272" s="705"/>
      <c r="AI272" s="705"/>
      <c r="AJ272" s="703"/>
      <c r="AK272" s="703"/>
      <c r="AL272" s="703"/>
      <c r="AM272" s="703"/>
      <c r="AN272" s="703"/>
      <c r="AO272" s="703"/>
      <c r="AP272" s="703"/>
      <c r="AQ272" s="703"/>
      <c r="AR272" s="703"/>
      <c r="AS272" s="703"/>
      <c r="AT272" s="703"/>
      <c r="AU272" s="703"/>
      <c r="AV272" s="703"/>
      <c r="AW272" s="703"/>
      <c r="AX272" s="703"/>
      <c r="AY272" s="703"/>
      <c r="AZ272" s="703"/>
      <c r="BA272" s="703"/>
    </row>
    <row r="273" spans="1:59">
      <c r="B273" s="21"/>
      <c r="C273" s="293" t="s">
        <v>1539</v>
      </c>
      <c r="D273" s="446"/>
      <c r="E273" s="1023" t="s">
        <v>1539</v>
      </c>
      <c r="F273" s="1023" t="s">
        <v>1624</v>
      </c>
      <c r="G273" s="1023" t="s">
        <v>1539</v>
      </c>
      <c r="H273" s="1023" t="s">
        <v>1624</v>
      </c>
      <c r="I273" s="1023" t="s">
        <v>1539</v>
      </c>
      <c r="J273" s="1023" t="s">
        <v>1539</v>
      </c>
      <c r="K273" s="712"/>
      <c r="L273" s="712"/>
      <c r="M273" s="712"/>
      <c r="N273" s="1023" t="s">
        <v>1539</v>
      </c>
      <c r="O273" s="1023" t="s">
        <v>1539</v>
      </c>
      <c r="P273" s="1023" t="s">
        <v>1539</v>
      </c>
      <c r="Q273" s="1023" t="s">
        <v>1539</v>
      </c>
      <c r="R273" s="1023" t="s">
        <v>1539</v>
      </c>
      <c r="S273" s="1023" t="s">
        <v>1539</v>
      </c>
      <c r="T273" s="703"/>
      <c r="U273" s="229"/>
      <c r="V273" s="229"/>
      <c r="W273" s="1023" t="s">
        <v>1539</v>
      </c>
      <c r="X273" s="1023" t="s">
        <v>1539</v>
      </c>
      <c r="Y273" s="1021"/>
      <c r="Z273" s="1021"/>
      <c r="AA273" s="229"/>
      <c r="AB273" s="229"/>
      <c r="AC273" s="229"/>
      <c r="AD273" s="229"/>
      <c r="AE273" s="705"/>
      <c r="AF273" s="705"/>
      <c r="AG273" s="705"/>
      <c r="AH273" s="705"/>
      <c r="AI273" s="705"/>
      <c r="AJ273" s="703"/>
      <c r="AK273" s="703"/>
      <c r="AL273" s="703"/>
      <c r="AM273" s="703"/>
      <c r="AN273" s="703"/>
      <c r="AO273" s="703"/>
      <c r="AP273" s="703"/>
      <c r="AQ273" s="703"/>
      <c r="AR273" s="703"/>
      <c r="AS273" s="703"/>
      <c r="AT273" s="703"/>
      <c r="AU273" s="703"/>
      <c r="AV273" s="703"/>
      <c r="AW273" s="703"/>
      <c r="AX273" s="703"/>
      <c r="AY273" s="703"/>
      <c r="AZ273" s="703"/>
      <c r="BA273" s="703"/>
    </row>
    <row r="274" spans="1:59">
      <c r="B274" s="21"/>
      <c r="C274" s="292" t="s">
        <v>467</v>
      </c>
      <c r="D274" s="67"/>
      <c r="E274" s="1025" t="s">
        <v>1623</v>
      </c>
      <c r="F274" s="1025" t="s">
        <v>1623</v>
      </c>
      <c r="G274" s="1025" t="s">
        <v>1623</v>
      </c>
      <c r="H274" s="1025" t="s">
        <v>1623</v>
      </c>
      <c r="I274" s="1025" t="s">
        <v>1623</v>
      </c>
      <c r="J274" s="1025" t="s">
        <v>1623</v>
      </c>
      <c r="K274" s="711"/>
      <c r="L274" s="711"/>
      <c r="M274" s="711"/>
      <c r="N274" s="1025" t="s">
        <v>1623</v>
      </c>
      <c r="O274" s="1025" t="s">
        <v>1623</v>
      </c>
      <c r="P274" s="1025" t="s">
        <v>1623</v>
      </c>
      <c r="Q274" s="1025" t="s">
        <v>1623</v>
      </c>
      <c r="R274" s="1025" t="s">
        <v>1623</v>
      </c>
      <c r="S274" s="1025" t="s">
        <v>1623</v>
      </c>
      <c r="T274" s="703"/>
      <c r="U274" s="229"/>
      <c r="V274" s="229"/>
      <c r="W274" s="1025" t="s">
        <v>1623</v>
      </c>
      <c r="X274" s="1025" t="s">
        <v>1623</v>
      </c>
      <c r="Y274" s="1022"/>
      <c r="Z274" s="1022"/>
      <c r="AA274" s="229"/>
      <c r="AB274" s="703"/>
      <c r="AC274" s="703"/>
      <c r="AD274" s="229"/>
      <c r="AE274" s="705"/>
      <c r="AF274" s="705"/>
      <c r="AG274" s="705"/>
      <c r="AH274" s="705"/>
      <c r="AI274" s="705"/>
      <c r="AJ274" s="703"/>
      <c r="AK274" s="703"/>
      <c r="AL274" s="703"/>
      <c r="AM274" s="703"/>
      <c r="AN274" s="703"/>
      <c r="AO274" s="703"/>
      <c r="AP274" s="703"/>
      <c r="AQ274" s="703"/>
      <c r="AR274" s="703"/>
      <c r="AS274" s="703"/>
      <c r="AT274" s="703"/>
      <c r="AU274" s="703"/>
      <c r="AV274" s="703"/>
      <c r="AW274" s="703"/>
      <c r="AX274" s="703"/>
      <c r="AY274" s="703"/>
      <c r="AZ274" s="703"/>
      <c r="BA274" s="703"/>
    </row>
    <row r="275" spans="1:59">
      <c r="B275" s="21"/>
      <c r="C275" s="18"/>
      <c r="D275" s="18"/>
      <c r="E275" s="18"/>
      <c r="F275" s="18"/>
      <c r="G275" s="18"/>
      <c r="H275" s="18"/>
      <c r="I275" s="18"/>
      <c r="J275" s="18"/>
      <c r="K275" s="18"/>
      <c r="M275" s="703"/>
      <c r="N275" s="703"/>
      <c r="O275" s="703"/>
      <c r="P275" s="703"/>
      <c r="Q275" s="703"/>
      <c r="R275" s="703"/>
      <c r="S275" s="703"/>
      <c r="T275" s="703"/>
      <c r="U275" s="703"/>
      <c r="V275" s="703"/>
      <c r="W275" s="703"/>
      <c r="X275" s="703"/>
      <c r="Y275" s="703"/>
      <c r="Z275" s="703"/>
      <c r="AA275" s="703"/>
      <c r="AB275" s="703"/>
      <c r="AC275" s="703"/>
      <c r="AD275" s="703"/>
      <c r="AE275" s="705"/>
      <c r="AF275" s="705"/>
      <c r="AG275" s="705"/>
      <c r="AH275" s="705"/>
      <c r="AI275" s="705"/>
      <c r="AJ275" s="703"/>
      <c r="AK275" s="703"/>
      <c r="AL275" s="703"/>
      <c r="AM275" s="703"/>
      <c r="AN275" s="703"/>
      <c r="AO275" s="703"/>
      <c r="AP275" s="703"/>
      <c r="AQ275" s="703"/>
      <c r="AR275" s="703"/>
      <c r="AS275" s="703"/>
      <c r="AT275" s="703"/>
      <c r="AU275" s="703"/>
      <c r="AV275" s="703"/>
      <c r="AW275" s="703"/>
      <c r="AX275" s="703"/>
      <c r="AY275" s="703"/>
      <c r="AZ275" s="703"/>
      <c r="BA275" s="703"/>
    </row>
    <row r="276" spans="1:59">
      <c r="A276" s="19"/>
      <c r="B276" s="88">
        <f ca="1">MAX($B$1:OFFSET(B276,-1,0))+1</f>
        <v>26</v>
      </c>
      <c r="C276" s="122" t="s">
        <v>1609</v>
      </c>
      <c r="D276" s="122"/>
      <c r="E276" s="155"/>
      <c r="F276" s="14"/>
      <c r="G276" s="14"/>
      <c r="H276" s="14"/>
      <c r="I276" s="14"/>
      <c r="J276" s="14"/>
      <c r="K276" s="14"/>
      <c r="L276" s="14"/>
      <c r="M276" s="14"/>
      <c r="N276" s="14"/>
      <c r="O276" s="14"/>
      <c r="P276" s="14"/>
      <c r="Q276" s="14"/>
      <c r="R276" s="14"/>
      <c r="S276" s="14"/>
      <c r="T276" s="14"/>
      <c r="U276" s="14"/>
      <c r="V276" s="14"/>
      <c r="W276" s="14"/>
      <c r="X276" s="14"/>
      <c r="Y276" s="14"/>
      <c r="Z276" s="14"/>
      <c r="AA276" s="14"/>
      <c r="AB276" s="210"/>
      <c r="AC276" s="210"/>
      <c r="AD276" s="210"/>
      <c r="AE276" s="705"/>
      <c r="AF276" s="705"/>
      <c r="AG276" s="705"/>
      <c r="AH276" s="705"/>
      <c r="AI276" s="705"/>
      <c r="AJ276" s="703"/>
      <c r="AK276" s="703"/>
      <c r="AL276" s="703"/>
      <c r="AM276" s="703"/>
      <c r="AN276" s="703"/>
      <c r="AO276" s="703"/>
      <c r="AP276" s="703"/>
      <c r="AQ276" s="703"/>
      <c r="AR276" s="703"/>
      <c r="AS276" s="703"/>
      <c r="AT276" s="703"/>
      <c r="AU276" s="703"/>
      <c r="AV276" s="703"/>
      <c r="AW276" s="703"/>
      <c r="AX276" s="703"/>
      <c r="AY276" s="703"/>
      <c r="AZ276" s="703"/>
      <c r="BA276" s="703"/>
    </row>
    <row r="277" spans="1:59" s="119" customFormat="1" ht="48">
      <c r="A277" s="116"/>
      <c r="B277" s="1031"/>
      <c r="C277" s="1032" t="s">
        <v>458</v>
      </c>
      <c r="D277" s="1033"/>
      <c r="E277" s="1034" t="str">
        <f>_xlfn.CONCAT(GPR4.3," | ",$E$11," | ",$E$12, " | ",NEN_7120)</f>
        <v>GPR 4.3 | nieuwbouw | woningbouw | NEN 7120</v>
      </c>
      <c r="F277" s="1034" t="str">
        <f>_xlfn.CONCAT(GPR4.3," | ",$F$11," | ",$E$12, " | ",NEN_7120)</f>
        <v>GPR 4.3 | bestaande bouw | woningbouw | NEN 7120</v>
      </c>
      <c r="G277" s="1034" t="str">
        <f>_xlfn.CONCAT(GPR4.3," | ",$E$11," | ",$F$12, " | ",NEN_7120)</f>
        <v>GPR 4.3 | nieuwbouw | utiliteitsbouw | NEN 7120</v>
      </c>
      <c r="H277" s="1034" t="str">
        <f>_xlfn.CONCAT(GPR4.3," | ",$F$11," | ",$F$12, " | ",ISSO_75.3)</f>
        <v>GPR 4.3 | bestaande bouw | utiliteitsbouw | ISSO 75.3</v>
      </c>
      <c r="I277" s="1034" t="str">
        <f>_xlfn.CONCAT(GPR4.4," | ",$E$11," | ",$E$12, " | ",NEN_7120)</f>
        <v>GPR 4.4 | nieuwbouw | woningbouw | NEN 7120</v>
      </c>
      <c r="J277" s="1034" t="str">
        <f>_xlfn.CONCAT(GPR4.4," | ",$E$11," | ",$E$12, " | ",NTA_8800)</f>
        <v>GPR 4.4 | nieuwbouw | woningbouw | NTA 8800</v>
      </c>
      <c r="K277" s="1035"/>
      <c r="L277" s="1035"/>
      <c r="M277" s="1035"/>
      <c r="N277" s="1034" t="str">
        <f>_xlfn.CONCAT(GPR4.4," | ",$F$11," | ",$E$12, " | ",NEN_7120)</f>
        <v>GPR 4.4 | bestaande bouw | woningbouw | NEN 7120</v>
      </c>
      <c r="O277" s="1034" t="str">
        <f>_xlfn.CONCAT(GPR4.4," | ",$F$11," | ",$E$12, " | ",NTA_8800)</f>
        <v>GPR 4.4 | bestaande bouw | woningbouw | NTA 8800</v>
      </c>
      <c r="P277" s="1034" t="str">
        <f>_xlfn.CONCAT(GPR4.4," | ",$E$11," | ",$F$12, " | ",NEN_7120)</f>
        <v>GPR 4.4 | nieuwbouw | utiliteitsbouw | NEN 7120</v>
      </c>
      <c r="Q277" s="1034" t="str">
        <f>_xlfn.CONCAT(GPR4.4," | ",$E$11," | ",$F$12, " | ",NTA_8800)</f>
        <v>GPR 4.4 | nieuwbouw | utiliteitsbouw | NTA 8800</v>
      </c>
      <c r="R277" s="1034" t="str">
        <f>_xlfn.CONCAT(GPR4.4," | ",$F$11," | ",$E$12, " | ",NEN_7120)</f>
        <v>GPR 4.4 | bestaande bouw | woningbouw | NEN 7120</v>
      </c>
      <c r="S277" s="1034" t="str">
        <f>_xlfn.CONCAT(GPR4.4," | ",$F$11," | ",$F$12, " | ",NTA_8800)</f>
        <v>GPR 4.4 | bestaande bouw | utiliteitsbouw | NTA 8800</v>
      </c>
      <c r="T277" s="704"/>
      <c r="U277" s="1036"/>
      <c r="V277" s="1036"/>
      <c r="W277" s="1034" t="str">
        <f>_xlfn.CONCAT(GPR4.4," | ",$F$11," | ",$F$12, " | ",NEN_7120)</f>
        <v>GPR 4.4 | bestaande bouw | utiliteitsbouw | NEN 7120</v>
      </c>
      <c r="X277" s="1034" t="str">
        <f>_xlfn.CONCAT(GPR4.4," | ",$F$11," | ",$F$12, " | ",ISSO_75.3)</f>
        <v>GPR 4.4 | bestaande bouw | utiliteitsbouw | ISSO 75.3</v>
      </c>
      <c r="Y277" s="1037"/>
      <c r="Z277" s="1037"/>
      <c r="AA277" s="1036"/>
      <c r="AB277" s="229"/>
      <c r="AC277" s="229"/>
      <c r="AD277" s="229"/>
      <c r="AE277" s="705"/>
      <c r="AF277" s="705"/>
      <c r="AG277" s="705"/>
      <c r="AH277" s="705"/>
      <c r="AI277" s="705"/>
      <c r="AJ277" s="703"/>
      <c r="AK277" s="703"/>
      <c r="AL277" s="703"/>
      <c r="AM277" s="703"/>
      <c r="AN277" s="703"/>
      <c r="AO277" s="703"/>
      <c r="AP277" s="703"/>
      <c r="AQ277" s="703"/>
      <c r="AR277" s="703"/>
      <c r="AS277" s="1038"/>
      <c r="AT277" s="1038"/>
      <c r="AU277" s="1038"/>
      <c r="AV277" s="1038"/>
      <c r="AW277" s="1038"/>
      <c r="AX277" s="1038"/>
      <c r="AY277" s="704"/>
      <c r="AZ277" s="704"/>
      <c r="BA277" s="704"/>
      <c r="BB277" s="704"/>
      <c r="BC277" s="704"/>
      <c r="BD277" s="704"/>
      <c r="BE277" s="704"/>
      <c r="BF277" s="704"/>
      <c r="BG277" s="704"/>
    </row>
    <row r="278" spans="1:59">
      <c r="B278" s="21"/>
      <c r="C278" s="790" t="s">
        <v>463</v>
      </c>
      <c r="D278" s="67"/>
      <c r="E278" s="1020" t="s">
        <v>464</v>
      </c>
      <c r="F278" s="1028" t="s">
        <v>464</v>
      </c>
      <c r="G278" s="1028" t="s">
        <v>1549</v>
      </c>
      <c r="H278" s="1028" t="s">
        <v>1549</v>
      </c>
      <c r="I278" s="1020" t="s">
        <v>464</v>
      </c>
      <c r="J278" s="1020" t="s">
        <v>464</v>
      </c>
      <c r="K278" s="711"/>
      <c r="L278" s="711"/>
      <c r="M278" s="711"/>
      <c r="N278" s="1020" t="s">
        <v>464</v>
      </c>
      <c r="O278" s="1020" t="s">
        <v>464</v>
      </c>
      <c r="P278" s="1028" t="s">
        <v>464</v>
      </c>
      <c r="Q278" s="1020" t="s">
        <v>464</v>
      </c>
      <c r="R278" s="1028" t="s">
        <v>464</v>
      </c>
      <c r="S278" s="1020" t="s">
        <v>464</v>
      </c>
      <c r="T278" s="703"/>
      <c r="U278" s="229"/>
      <c r="V278" s="229"/>
      <c r="W278" s="1020" t="s">
        <v>464</v>
      </c>
      <c r="X278" s="1020" t="s">
        <v>464</v>
      </c>
      <c r="Y278" s="1021"/>
      <c r="Z278" s="1021"/>
      <c r="AA278" s="229"/>
      <c r="AB278" s="229"/>
      <c r="AC278" s="229"/>
      <c r="AD278" s="229"/>
      <c r="AE278" s="705"/>
      <c r="AF278" s="705"/>
      <c r="AG278" s="705"/>
      <c r="AH278" s="705"/>
      <c r="AI278" s="705"/>
      <c r="AJ278" s="703"/>
      <c r="AK278" s="703"/>
      <c r="AL278" s="703"/>
      <c r="AM278" s="703"/>
      <c r="AN278" s="703"/>
      <c r="AO278" s="703"/>
      <c r="AP278" s="703"/>
      <c r="AQ278" s="703"/>
      <c r="AR278" s="703"/>
      <c r="AS278" s="703"/>
      <c r="AT278" s="703"/>
      <c r="AU278" s="703"/>
      <c r="AV278" s="703"/>
      <c r="AW278" s="703"/>
      <c r="AX278" s="703"/>
      <c r="AY278" s="703"/>
      <c r="AZ278" s="703"/>
      <c r="BA278" s="703"/>
    </row>
    <row r="279" spans="1:59">
      <c r="B279" s="21"/>
      <c r="C279" s="292" t="s">
        <v>465</v>
      </c>
      <c r="D279" s="67"/>
      <c r="E279" s="1022" t="s">
        <v>406</v>
      </c>
      <c r="F279" s="1029" t="s">
        <v>406</v>
      </c>
      <c r="G279" s="1029" t="s">
        <v>1550</v>
      </c>
      <c r="H279" s="1029" t="s">
        <v>1550</v>
      </c>
      <c r="I279" s="1022" t="s">
        <v>406</v>
      </c>
      <c r="J279" s="1022" t="s">
        <v>406</v>
      </c>
      <c r="K279" s="711"/>
      <c r="L279" s="711"/>
      <c r="M279" s="711"/>
      <c r="N279" s="1022" t="s">
        <v>406</v>
      </c>
      <c r="O279" s="1022" t="s">
        <v>406</v>
      </c>
      <c r="P279" s="1029" t="s">
        <v>406</v>
      </c>
      <c r="Q279" s="1022" t="s">
        <v>406</v>
      </c>
      <c r="R279" s="1029" t="s">
        <v>406</v>
      </c>
      <c r="S279" s="1022" t="s">
        <v>406</v>
      </c>
      <c r="T279" s="703"/>
      <c r="U279" s="229"/>
      <c r="V279" s="229"/>
      <c r="W279" s="1022" t="s">
        <v>406</v>
      </c>
      <c r="X279" s="1022" t="s">
        <v>406</v>
      </c>
      <c r="Y279" s="1022"/>
      <c r="Z279" s="1022"/>
      <c r="AA279" s="229"/>
      <c r="AB279" s="229"/>
      <c r="AC279" s="229"/>
      <c r="AD279" s="229"/>
      <c r="AE279" s="705"/>
      <c r="AF279" s="705"/>
      <c r="AG279" s="705"/>
      <c r="AH279" s="705"/>
      <c r="AI279" s="705"/>
      <c r="AJ279" s="703"/>
      <c r="AK279" s="703"/>
      <c r="AL279" s="703"/>
      <c r="AM279" s="703"/>
      <c r="AN279" s="703"/>
      <c r="AO279" s="703"/>
      <c r="AP279" s="703"/>
      <c r="AQ279" s="703"/>
      <c r="AR279" s="703"/>
      <c r="AS279" s="703"/>
      <c r="AT279" s="703"/>
      <c r="AU279" s="703"/>
      <c r="AV279" s="703"/>
      <c r="AW279" s="703"/>
      <c r="AX279" s="703"/>
      <c r="AY279" s="703"/>
      <c r="AZ279" s="703"/>
      <c r="BA279" s="703"/>
    </row>
    <row r="280" spans="1:59">
      <c r="B280" s="21"/>
      <c r="C280" s="292" t="s">
        <v>466</v>
      </c>
      <c r="D280" s="67"/>
      <c r="E280" s="1022" t="s">
        <v>406</v>
      </c>
      <c r="F280" s="1022" t="s">
        <v>406</v>
      </c>
      <c r="G280" s="1022" t="s">
        <v>1550</v>
      </c>
      <c r="H280" s="1022" t="s">
        <v>1550</v>
      </c>
      <c r="I280" s="1022" t="s">
        <v>406</v>
      </c>
      <c r="J280" s="1022" t="s">
        <v>406</v>
      </c>
      <c r="K280" s="711"/>
      <c r="L280" s="711"/>
      <c r="M280" s="711"/>
      <c r="N280" s="1022" t="s">
        <v>406</v>
      </c>
      <c r="O280" s="1022" t="s">
        <v>406</v>
      </c>
      <c r="P280" s="1022" t="s">
        <v>406</v>
      </c>
      <c r="Q280" s="1022" t="s">
        <v>406</v>
      </c>
      <c r="R280" s="1022" t="s">
        <v>406</v>
      </c>
      <c r="S280" s="1022" t="s">
        <v>406</v>
      </c>
      <c r="T280" s="703"/>
      <c r="U280" s="229"/>
      <c r="V280" s="229"/>
      <c r="W280" s="1022" t="s">
        <v>406</v>
      </c>
      <c r="X280" s="1022" t="s">
        <v>406</v>
      </c>
      <c r="Y280" s="1022"/>
      <c r="Z280" s="1022"/>
      <c r="AA280" s="229"/>
      <c r="AB280" s="229"/>
      <c r="AC280" s="229"/>
      <c r="AD280" s="229"/>
      <c r="AE280" s="705"/>
      <c r="AF280" s="705"/>
      <c r="AG280" s="705"/>
      <c r="AH280" s="705"/>
      <c r="AI280" s="705"/>
      <c r="AJ280" s="703"/>
      <c r="AK280" s="703"/>
      <c r="AL280" s="703"/>
      <c r="AM280" s="703"/>
      <c r="AN280" s="703"/>
      <c r="AO280" s="703"/>
      <c r="AP280" s="703"/>
      <c r="AQ280" s="703"/>
      <c r="AR280" s="703"/>
      <c r="AS280" s="703"/>
      <c r="AT280" s="703"/>
      <c r="AU280" s="703"/>
      <c r="AV280" s="703"/>
      <c r="AW280" s="703"/>
      <c r="AX280" s="703"/>
      <c r="AY280" s="703"/>
      <c r="AZ280" s="703"/>
      <c r="BA280" s="703"/>
    </row>
    <row r="281" spans="1:59">
      <c r="B281" s="21"/>
      <c r="C281" s="327" t="s">
        <v>1539</v>
      </c>
      <c r="D281" s="67"/>
      <c r="E281" s="1024" t="s">
        <v>469</v>
      </c>
      <c r="F281" s="1024" t="s">
        <v>469</v>
      </c>
      <c r="G281" s="1024" t="s">
        <v>469</v>
      </c>
      <c r="H281" s="1024" t="s">
        <v>469</v>
      </c>
      <c r="I281" s="1024" t="s">
        <v>469</v>
      </c>
      <c r="J281" s="1024" t="s">
        <v>469</v>
      </c>
      <c r="K281" s="711"/>
      <c r="L281" s="711"/>
      <c r="M281" s="711"/>
      <c r="N281" s="1024" t="s">
        <v>469</v>
      </c>
      <c r="O281" s="1024" t="s">
        <v>469</v>
      </c>
      <c r="P281" s="1024" t="s">
        <v>469</v>
      </c>
      <c r="Q281" s="1024" t="s">
        <v>469</v>
      </c>
      <c r="R281" s="1024" t="s">
        <v>469</v>
      </c>
      <c r="S281" s="1024" t="s">
        <v>469</v>
      </c>
      <c r="T281" s="703"/>
      <c r="U281" s="229"/>
      <c r="V281" s="229"/>
      <c r="W281" s="1024" t="s">
        <v>469</v>
      </c>
      <c r="X281" s="1024" t="s">
        <v>469</v>
      </c>
      <c r="Y281" s="1022"/>
      <c r="Z281" s="1022"/>
      <c r="AA281" s="229"/>
      <c r="AB281" s="229"/>
      <c r="AC281" s="229"/>
      <c r="AD281" s="229"/>
      <c r="AE281" s="705"/>
      <c r="AF281" s="705"/>
      <c r="AG281" s="705"/>
      <c r="AH281" s="705"/>
      <c r="AI281" s="705"/>
      <c r="AJ281" s="703"/>
      <c r="AK281" s="703"/>
      <c r="AL281" s="703"/>
      <c r="AM281" s="703"/>
      <c r="AN281" s="703"/>
      <c r="AO281" s="703"/>
      <c r="AP281" s="703"/>
      <c r="AQ281" s="703"/>
      <c r="AR281" s="703"/>
      <c r="AS281" s="703"/>
      <c r="AT281" s="703"/>
      <c r="AU281" s="703"/>
      <c r="AV281" s="703"/>
      <c r="AW281" s="703"/>
      <c r="AX281" s="703"/>
      <c r="AY281" s="703"/>
      <c r="AZ281" s="703"/>
      <c r="BA281" s="703"/>
    </row>
    <row r="282" spans="1:59">
      <c r="B282" s="21"/>
      <c r="C282" s="292" t="s">
        <v>467</v>
      </c>
      <c r="D282" s="67"/>
      <c r="E282" s="1025" t="s">
        <v>468</v>
      </c>
      <c r="F282" s="1022" t="s">
        <v>468</v>
      </c>
      <c r="G282" s="1022" t="s">
        <v>468</v>
      </c>
      <c r="H282" s="1022" t="s">
        <v>468</v>
      </c>
      <c r="I282" s="1025" t="s">
        <v>405</v>
      </c>
      <c r="J282" s="1025" t="s">
        <v>406</v>
      </c>
      <c r="K282" s="711"/>
      <c r="L282" s="711"/>
      <c r="M282" s="711"/>
      <c r="N282" s="1025" t="s">
        <v>405</v>
      </c>
      <c r="O282" s="1025" t="s">
        <v>406</v>
      </c>
      <c r="P282" s="1022" t="s">
        <v>405</v>
      </c>
      <c r="Q282" s="1025" t="s">
        <v>406</v>
      </c>
      <c r="R282" s="1022" t="s">
        <v>405</v>
      </c>
      <c r="S282" s="1025" t="s">
        <v>406</v>
      </c>
      <c r="T282" s="703"/>
      <c r="U282" s="229"/>
      <c r="V282" s="229"/>
      <c r="W282" s="1025" t="s">
        <v>405</v>
      </c>
      <c r="X282" s="1025" t="s">
        <v>405</v>
      </c>
      <c r="Y282" s="1022"/>
      <c r="Z282" s="1022"/>
      <c r="AA282" s="229"/>
      <c r="AB282" s="703"/>
      <c r="AC282" s="703"/>
      <c r="AD282" s="229"/>
      <c r="AE282" s="705"/>
      <c r="AF282" s="705"/>
      <c r="AG282" s="705"/>
      <c r="AH282" s="705"/>
      <c r="AI282" s="705"/>
      <c r="AJ282" s="703"/>
      <c r="AK282" s="703"/>
      <c r="AL282" s="703"/>
      <c r="AM282" s="703"/>
      <c r="AN282" s="703"/>
      <c r="AO282" s="703"/>
      <c r="AP282" s="703"/>
      <c r="AQ282" s="703"/>
      <c r="AR282" s="703"/>
      <c r="AS282" s="703"/>
      <c r="AT282" s="703"/>
      <c r="AU282" s="703"/>
      <c r="AV282" s="703"/>
      <c r="AW282" s="703"/>
      <c r="AX282" s="703"/>
      <c r="AY282" s="703"/>
      <c r="AZ282" s="703"/>
      <c r="BA282" s="703"/>
    </row>
    <row r="283" spans="1:59">
      <c r="B283" s="21"/>
      <c r="C283" s="18"/>
      <c r="D283" s="18"/>
      <c r="E283" s="18"/>
      <c r="F283" s="18"/>
      <c r="G283" s="18"/>
      <c r="H283" s="18"/>
      <c r="I283" s="18"/>
      <c r="J283" s="18"/>
      <c r="K283" s="18"/>
      <c r="M283" s="703"/>
      <c r="N283" s="703"/>
      <c r="O283" s="703"/>
      <c r="P283" s="703"/>
      <c r="Q283" s="703"/>
      <c r="R283" s="703"/>
      <c r="S283" s="703"/>
      <c r="T283" s="703"/>
      <c r="U283" s="703"/>
      <c r="V283" s="703"/>
      <c r="W283" s="703"/>
      <c r="X283" s="703"/>
      <c r="Y283" s="703"/>
      <c r="Z283" s="703"/>
      <c r="AA283" s="703"/>
      <c r="AB283" s="703"/>
      <c r="AC283" s="703"/>
      <c r="AD283" s="703"/>
      <c r="AE283" s="705"/>
      <c r="AF283" s="705"/>
      <c r="AG283" s="705"/>
      <c r="AH283" s="705"/>
      <c r="AI283" s="705"/>
      <c r="AJ283" s="703"/>
      <c r="AK283" s="703"/>
      <c r="AL283" s="703"/>
      <c r="AM283" s="703"/>
      <c r="AN283" s="703"/>
      <c r="AO283" s="703"/>
      <c r="AP283" s="703"/>
      <c r="AQ283" s="703"/>
      <c r="AR283" s="703"/>
      <c r="AS283" s="703"/>
      <c r="AT283" s="703"/>
      <c r="AU283" s="703"/>
      <c r="AV283" s="703"/>
      <c r="AW283" s="703"/>
      <c r="AX283" s="703"/>
      <c r="AY283" s="703"/>
      <c r="AZ283" s="703"/>
      <c r="BA283" s="703"/>
    </row>
    <row r="284" spans="1:59">
      <c r="A284" s="19"/>
      <c r="B284" s="88">
        <f ca="1">MAX($B$1:OFFSET(B284,-1,0))+1</f>
        <v>27</v>
      </c>
      <c r="C284" s="122" t="s">
        <v>1608</v>
      </c>
      <c r="D284" s="122"/>
      <c r="E284" s="155"/>
      <c r="F284" s="14"/>
      <c r="G284" s="14"/>
      <c r="H284" s="14"/>
      <c r="I284" s="14"/>
      <c r="J284" s="14"/>
      <c r="K284" s="14"/>
      <c r="L284" s="14"/>
      <c r="M284" s="14"/>
      <c r="N284" s="14"/>
      <c r="O284" s="14"/>
      <c r="P284" s="14"/>
      <c r="Q284" s="14"/>
      <c r="R284" s="14"/>
      <c r="S284" s="14"/>
      <c r="T284" s="14"/>
      <c r="U284" s="14"/>
      <c r="V284" s="14"/>
      <c r="W284" s="14"/>
      <c r="X284" s="14"/>
      <c r="Y284" s="14"/>
      <c r="Z284" s="14"/>
      <c r="AA284" s="14"/>
      <c r="AB284" s="423"/>
      <c r="AC284" s="423"/>
      <c r="AD284" s="423"/>
      <c r="AE284" s="705"/>
      <c r="AF284" s="705"/>
      <c r="AG284" s="705"/>
      <c r="AH284" s="705"/>
      <c r="AI284" s="705"/>
      <c r="AJ284" s="703"/>
      <c r="AK284" s="703"/>
      <c r="AL284" s="703"/>
      <c r="AM284" s="703"/>
      <c r="AN284" s="703"/>
      <c r="AO284" s="703"/>
      <c r="AP284" s="703"/>
      <c r="AQ284" s="703"/>
      <c r="AR284" s="703"/>
      <c r="AS284" s="703"/>
      <c r="AT284" s="703"/>
      <c r="AU284" s="703"/>
      <c r="AV284" s="703"/>
      <c r="AW284" s="703"/>
      <c r="AX284" s="703"/>
      <c r="AY284" s="703"/>
      <c r="AZ284" s="703"/>
      <c r="BA284" s="703"/>
    </row>
    <row r="285" spans="1:59" s="1046" customFormat="1" ht="48">
      <c r="A285" s="425"/>
      <c r="B285" s="1039"/>
      <c r="C285" s="1040" t="s">
        <v>458</v>
      </c>
      <c r="D285" s="1041"/>
      <c r="E285" s="1034" t="str">
        <f t="shared" ref="E285:J285" si="257">E277</f>
        <v>GPR 4.3 | nieuwbouw | woningbouw | NEN 7120</v>
      </c>
      <c r="F285" s="1034" t="str">
        <f t="shared" si="257"/>
        <v>GPR 4.3 | bestaande bouw | woningbouw | NEN 7120</v>
      </c>
      <c r="G285" s="1034" t="str">
        <f t="shared" si="257"/>
        <v>GPR 4.3 | nieuwbouw | utiliteitsbouw | NEN 7120</v>
      </c>
      <c r="H285" s="1034" t="str">
        <f t="shared" si="257"/>
        <v>GPR 4.3 | bestaande bouw | utiliteitsbouw | ISSO 75.3</v>
      </c>
      <c r="I285" s="1034" t="str">
        <f t="shared" si="257"/>
        <v>GPR 4.4 | nieuwbouw | woningbouw | NEN 7120</v>
      </c>
      <c r="J285" s="1034" t="str">
        <f t="shared" si="257"/>
        <v>GPR 4.4 | nieuwbouw | woningbouw | NTA 8800</v>
      </c>
      <c r="K285" s="1042"/>
      <c r="L285" s="1042"/>
      <c r="M285" s="1042"/>
      <c r="N285" s="1034" t="str">
        <f t="shared" ref="N285:S285" si="258">N277</f>
        <v>GPR 4.4 | bestaande bouw | woningbouw | NEN 7120</v>
      </c>
      <c r="O285" s="1034" t="str">
        <f t="shared" si="258"/>
        <v>GPR 4.4 | bestaande bouw | woningbouw | NTA 8800</v>
      </c>
      <c r="P285" s="1034" t="str">
        <f t="shared" si="258"/>
        <v>GPR 4.4 | nieuwbouw | utiliteitsbouw | NEN 7120</v>
      </c>
      <c r="Q285" s="1034" t="str">
        <f t="shared" si="258"/>
        <v>GPR 4.4 | nieuwbouw | utiliteitsbouw | NTA 8800</v>
      </c>
      <c r="R285" s="1034" t="str">
        <f t="shared" si="258"/>
        <v>GPR 4.4 | bestaande bouw | woningbouw | NEN 7120</v>
      </c>
      <c r="S285" s="1034" t="str">
        <f t="shared" si="258"/>
        <v>GPR 4.4 | bestaande bouw | utiliteitsbouw | NTA 8800</v>
      </c>
      <c r="T285" s="1043"/>
      <c r="U285" s="1044"/>
      <c r="V285" s="1044"/>
      <c r="W285" s="1034" t="str">
        <f>W277</f>
        <v>GPR 4.4 | bestaande bouw | utiliteitsbouw | NEN 7120</v>
      </c>
      <c r="X285" s="1034" t="str">
        <f>X277</f>
        <v>GPR 4.4 | bestaande bouw | utiliteitsbouw | ISSO 75.3</v>
      </c>
      <c r="Y285" s="1034"/>
      <c r="Z285" s="1034"/>
      <c r="AA285" s="1044"/>
      <c r="AB285" s="229"/>
      <c r="AC285" s="229"/>
      <c r="AD285" s="229"/>
      <c r="AE285" s="705"/>
      <c r="AF285" s="705"/>
      <c r="AG285" s="705"/>
      <c r="AH285" s="705"/>
      <c r="AI285" s="705"/>
      <c r="AJ285" s="703"/>
      <c r="AK285" s="703"/>
      <c r="AL285" s="703"/>
      <c r="AM285" s="703"/>
      <c r="AN285" s="703"/>
      <c r="AO285" s="703"/>
      <c r="AP285" s="703"/>
      <c r="AQ285" s="703"/>
      <c r="AR285" s="703"/>
      <c r="AS285" s="1045"/>
      <c r="AT285" s="1045"/>
      <c r="AU285" s="1045"/>
      <c r="AV285" s="1045"/>
      <c r="AW285" s="1045"/>
      <c r="AX285" s="1045"/>
      <c r="AY285" s="1043"/>
      <c r="AZ285" s="1043"/>
      <c r="BA285" s="1043"/>
      <c r="BB285" s="1043"/>
      <c r="BC285" s="1043"/>
      <c r="BD285" s="1043"/>
      <c r="BE285" s="1043"/>
      <c r="BF285" s="1043"/>
      <c r="BG285" s="1043"/>
    </row>
    <row r="286" spans="1:59">
      <c r="B286" s="1154" t="s">
        <v>464</v>
      </c>
      <c r="C286" s="790" t="s">
        <v>463</v>
      </c>
      <c r="D286" s="67"/>
      <c r="E286" s="1019">
        <v>1</v>
      </c>
      <c r="F286" s="1019">
        <v>1</v>
      </c>
      <c r="G286" s="1019">
        <v>1000</v>
      </c>
      <c r="H286" s="1019">
        <v>1000</v>
      </c>
      <c r="I286" s="1019">
        <v>1</v>
      </c>
      <c r="J286" s="1019">
        <v>1</v>
      </c>
      <c r="K286" s="711"/>
      <c r="L286" s="711"/>
      <c r="M286" s="711"/>
      <c r="N286" s="1019">
        <v>1</v>
      </c>
      <c r="O286" s="1019">
        <v>1</v>
      </c>
      <c r="P286" s="1019">
        <v>1</v>
      </c>
      <c r="Q286" s="1019">
        <v>1</v>
      </c>
      <c r="R286" s="1019">
        <v>1</v>
      </c>
      <c r="S286" s="1019">
        <v>1</v>
      </c>
      <c r="T286" s="703"/>
      <c r="U286" s="229"/>
      <c r="V286" s="229"/>
      <c r="W286" s="1019">
        <v>1</v>
      </c>
      <c r="X286" s="1019">
        <v>1</v>
      </c>
      <c r="Y286" s="878"/>
      <c r="Z286" s="878"/>
      <c r="AA286" s="229"/>
      <c r="AB286" s="229"/>
      <c r="AC286" s="229"/>
      <c r="AD286" s="229"/>
      <c r="AE286" s="705"/>
      <c r="AF286" s="705"/>
      <c r="AG286" s="705"/>
      <c r="AH286" s="705"/>
      <c r="AI286" s="705"/>
      <c r="AJ286" s="703"/>
      <c r="AK286" s="703"/>
      <c r="AL286" s="703"/>
      <c r="AM286" s="703"/>
      <c r="AN286" s="703"/>
      <c r="AO286" s="703"/>
      <c r="AP286" s="703"/>
      <c r="AQ286" s="703"/>
      <c r="AR286" s="703"/>
      <c r="AS286" s="703"/>
      <c r="AT286" s="703"/>
      <c r="AU286" s="703"/>
      <c r="AV286" s="703"/>
      <c r="AW286" s="703"/>
      <c r="AX286" s="703"/>
      <c r="AY286" s="703"/>
      <c r="AZ286" s="703"/>
      <c r="BA286" s="703"/>
    </row>
    <row r="287" spans="1:59">
      <c r="B287" s="1154" t="s">
        <v>406</v>
      </c>
      <c r="C287" s="292" t="s">
        <v>465</v>
      </c>
      <c r="D287" s="67"/>
      <c r="E287" s="94">
        <v>1</v>
      </c>
      <c r="F287" s="94">
        <v>1</v>
      </c>
      <c r="G287" s="94">
        <v>1000</v>
      </c>
      <c r="H287" s="94">
        <v>1000</v>
      </c>
      <c r="I287" s="94">
        <v>1</v>
      </c>
      <c r="J287" s="94">
        <v>1</v>
      </c>
      <c r="K287" s="711"/>
      <c r="L287" s="711"/>
      <c r="M287" s="711"/>
      <c r="N287" s="94">
        <v>1</v>
      </c>
      <c r="O287" s="94">
        <v>1</v>
      </c>
      <c r="P287" s="94">
        <v>1</v>
      </c>
      <c r="Q287" s="94">
        <v>1</v>
      </c>
      <c r="R287" s="94">
        <v>1</v>
      </c>
      <c r="S287" s="94">
        <v>1</v>
      </c>
      <c r="T287" s="703"/>
      <c r="U287" s="229"/>
      <c r="V287" s="229"/>
      <c r="W287" s="94">
        <v>1</v>
      </c>
      <c r="X287" s="94">
        <v>1</v>
      </c>
      <c r="Y287" s="288"/>
      <c r="Z287" s="288"/>
      <c r="AA287" s="229"/>
      <c r="AB287" s="229"/>
      <c r="AC287" s="229"/>
      <c r="AD287" s="229"/>
      <c r="AE287" s="705"/>
      <c r="AF287" s="705"/>
      <c r="AG287" s="705"/>
      <c r="AH287" s="705"/>
      <c r="AI287" s="705"/>
      <c r="AJ287" s="703"/>
      <c r="AK287" s="703"/>
      <c r="AL287" s="703"/>
      <c r="AM287" s="703"/>
      <c r="AN287" s="703"/>
      <c r="AO287" s="703"/>
      <c r="AP287" s="703"/>
      <c r="AQ287" s="703"/>
      <c r="AR287" s="703"/>
      <c r="AS287" s="703"/>
      <c r="AT287" s="703"/>
      <c r="AU287" s="703"/>
      <c r="AV287" s="703"/>
      <c r="AW287" s="703"/>
      <c r="AX287" s="703"/>
      <c r="AY287" s="703"/>
      <c r="AZ287" s="703"/>
      <c r="BA287" s="703"/>
    </row>
    <row r="288" spans="1:59">
      <c r="B288" s="1154" t="s">
        <v>406</v>
      </c>
      <c r="C288" s="292" t="s">
        <v>466</v>
      </c>
      <c r="D288" s="67"/>
      <c r="E288" s="94">
        <v>1</v>
      </c>
      <c r="F288" s="94">
        <v>1</v>
      </c>
      <c r="G288" s="94">
        <v>1000</v>
      </c>
      <c r="H288" s="94">
        <v>1000</v>
      </c>
      <c r="I288" s="94">
        <v>1</v>
      </c>
      <c r="J288" s="94">
        <v>1</v>
      </c>
      <c r="K288" s="711"/>
      <c r="L288" s="711"/>
      <c r="M288" s="711"/>
      <c r="N288" s="94">
        <v>1</v>
      </c>
      <c r="O288" s="94">
        <v>1</v>
      </c>
      <c r="P288" s="94">
        <v>1</v>
      </c>
      <c r="Q288" s="94">
        <v>1</v>
      </c>
      <c r="R288" s="94">
        <v>1</v>
      </c>
      <c r="S288" s="94">
        <v>1</v>
      </c>
      <c r="T288" s="703"/>
      <c r="U288" s="229"/>
      <c r="V288" s="229"/>
      <c r="W288" s="94">
        <v>1</v>
      </c>
      <c r="X288" s="94">
        <v>1</v>
      </c>
      <c r="Y288" s="288"/>
      <c r="Z288" s="288"/>
      <c r="AA288" s="229"/>
      <c r="AB288" s="229"/>
      <c r="AC288" s="229"/>
      <c r="AD288" s="229"/>
      <c r="AE288" s="705"/>
      <c r="AF288" s="705"/>
      <c r="AG288" s="705"/>
      <c r="AH288" s="705"/>
      <c r="AI288" s="705"/>
      <c r="AJ288" s="703"/>
      <c r="AK288" s="703"/>
      <c r="AL288" s="703"/>
      <c r="AM288" s="703"/>
      <c r="AN288" s="703"/>
      <c r="AO288" s="703"/>
      <c r="AP288" s="703"/>
      <c r="AQ288" s="703"/>
      <c r="AR288" s="703"/>
      <c r="AS288" s="703"/>
      <c r="AT288" s="703"/>
      <c r="AU288" s="703"/>
      <c r="AV288" s="703"/>
      <c r="AW288" s="703"/>
      <c r="AX288" s="703"/>
      <c r="AY288" s="703"/>
      <c r="AZ288" s="703"/>
      <c r="BA288" s="703"/>
    </row>
    <row r="289" spans="1:59">
      <c r="B289" s="1154" t="s">
        <v>469</v>
      </c>
      <c r="C289" s="327" t="s">
        <v>1539</v>
      </c>
      <c r="D289" s="67"/>
      <c r="E289" s="1017">
        <v>1</v>
      </c>
      <c r="F289" s="1017">
        <v>1</v>
      </c>
      <c r="G289" s="1017">
        <v>1</v>
      </c>
      <c r="H289" s="1017">
        <v>1</v>
      </c>
      <c r="I289" s="1017">
        <v>1</v>
      </c>
      <c r="J289" s="1017">
        <v>1</v>
      </c>
      <c r="K289" s="711"/>
      <c r="L289" s="711"/>
      <c r="M289" s="711"/>
      <c r="N289" s="1017">
        <v>1</v>
      </c>
      <c r="O289" s="1017">
        <v>1</v>
      </c>
      <c r="P289" s="1017">
        <v>1</v>
      </c>
      <c r="Q289" s="1017">
        <v>1</v>
      </c>
      <c r="R289" s="1017">
        <v>1</v>
      </c>
      <c r="S289" s="1017">
        <v>1</v>
      </c>
      <c r="T289" s="703"/>
      <c r="U289" s="229"/>
      <c r="V289" s="229"/>
      <c r="W289" s="1017">
        <v>1</v>
      </c>
      <c r="X289" s="1017">
        <v>1</v>
      </c>
      <c r="Y289" s="288"/>
      <c r="Z289" s="288"/>
      <c r="AA289" s="229"/>
      <c r="AB289" s="229"/>
      <c r="AC289" s="229"/>
      <c r="AD289" s="229"/>
      <c r="AE289" s="705"/>
      <c r="AF289" s="705"/>
      <c r="AG289" s="705"/>
      <c r="AH289" s="705"/>
      <c r="AI289" s="705"/>
      <c r="AJ289" s="703"/>
      <c r="AK289" s="703"/>
      <c r="AL289" s="703"/>
      <c r="AM289" s="703"/>
      <c r="AN289" s="703"/>
      <c r="AO289" s="703"/>
      <c r="AP289" s="703"/>
      <c r="AQ289" s="703"/>
      <c r="AR289" s="703"/>
      <c r="AS289" s="703"/>
      <c r="AT289" s="703"/>
      <c r="AU289" s="703"/>
      <c r="AV289" s="703"/>
      <c r="AW289" s="703"/>
      <c r="AX289" s="703"/>
      <c r="AY289" s="703"/>
      <c r="AZ289" s="703"/>
      <c r="BA289" s="703"/>
    </row>
    <row r="290" spans="1:59">
      <c r="B290" s="1154" t="s">
        <v>468</v>
      </c>
      <c r="C290" s="292" t="s">
        <v>467</v>
      </c>
      <c r="D290" s="67"/>
      <c r="E290" s="94">
        <v>1</v>
      </c>
      <c r="F290" s="94">
        <v>1</v>
      </c>
      <c r="G290" s="94">
        <v>1</v>
      </c>
      <c r="H290" s="94">
        <v>1</v>
      </c>
      <c r="I290" s="94">
        <v>15</v>
      </c>
      <c r="J290" s="1012">
        <f>15/3.6</f>
        <v>4.166666666666667</v>
      </c>
      <c r="K290" s="711"/>
      <c r="L290" s="711"/>
      <c r="M290" s="711"/>
      <c r="N290" s="94">
        <v>15</v>
      </c>
      <c r="O290" s="1012">
        <f>15/3.6</f>
        <v>4.166666666666667</v>
      </c>
      <c r="P290" s="94">
        <v>15</v>
      </c>
      <c r="Q290" s="1012">
        <f>15/3.6</f>
        <v>4.166666666666667</v>
      </c>
      <c r="R290" s="94">
        <v>15</v>
      </c>
      <c r="S290" s="1012">
        <f>15/3.6</f>
        <v>4.166666666666667</v>
      </c>
      <c r="T290" s="703"/>
      <c r="U290" s="229"/>
      <c r="V290" s="229"/>
      <c r="W290" s="94">
        <v>15</v>
      </c>
      <c r="X290" s="94">
        <v>15</v>
      </c>
      <c r="Y290" s="288"/>
      <c r="Z290" s="288"/>
      <c r="AA290" s="229"/>
      <c r="AB290" s="703"/>
      <c r="AC290" s="703"/>
      <c r="AD290" s="229"/>
      <c r="AE290" s="705"/>
      <c r="AF290" s="705"/>
      <c r="AG290" s="705"/>
      <c r="AH290" s="705"/>
      <c r="AI290" s="705"/>
      <c r="AJ290" s="703"/>
      <c r="AK290" s="703"/>
      <c r="AL290" s="703"/>
      <c r="AM290" s="703"/>
      <c r="AN290" s="703"/>
      <c r="AO290" s="703"/>
      <c r="AP290" s="703"/>
      <c r="AQ290" s="703"/>
      <c r="AR290" s="703"/>
      <c r="AS290" s="703"/>
      <c r="AT290" s="703"/>
      <c r="AU290" s="703"/>
      <c r="AV290" s="703"/>
      <c r="AW290" s="703"/>
      <c r="AX290" s="703"/>
      <c r="AY290" s="703"/>
      <c r="AZ290" s="703"/>
      <c r="BA290" s="703"/>
    </row>
    <row r="291" spans="1:59">
      <c r="B291" s="21"/>
      <c r="C291" s="18"/>
      <c r="D291" s="18"/>
      <c r="E291" s="18"/>
      <c r="F291" s="18"/>
      <c r="G291" s="18"/>
      <c r="H291" s="18"/>
      <c r="I291" s="18"/>
      <c r="J291" s="18"/>
      <c r="K291" s="18"/>
      <c r="M291" s="703"/>
      <c r="N291" s="703"/>
      <c r="O291" s="703"/>
      <c r="P291" s="703"/>
      <c r="Q291" s="703"/>
      <c r="R291" s="703"/>
      <c r="S291" s="703"/>
      <c r="T291" s="703"/>
      <c r="U291" s="703"/>
      <c r="V291" s="703"/>
      <c r="W291" s="703"/>
      <c r="X291" s="703"/>
      <c r="Y291" s="703"/>
      <c r="Z291" s="703"/>
      <c r="AA291" s="703"/>
      <c r="AB291" s="703"/>
      <c r="AC291" s="703"/>
      <c r="AD291" s="703"/>
      <c r="AE291" s="705"/>
      <c r="AF291" s="705"/>
      <c r="AG291" s="705"/>
      <c r="AH291" s="705"/>
      <c r="AI291" s="705"/>
      <c r="AJ291" s="703"/>
      <c r="AK291" s="703"/>
      <c r="AL291" s="703"/>
      <c r="AM291" s="703"/>
      <c r="AN291" s="703"/>
      <c r="AO291" s="703"/>
      <c r="AP291" s="703"/>
      <c r="AQ291" s="703"/>
      <c r="AR291" s="703"/>
      <c r="AS291" s="703"/>
      <c r="AT291" s="703"/>
      <c r="AU291" s="703"/>
      <c r="AV291" s="703"/>
      <c r="AW291" s="703"/>
      <c r="AX291" s="703"/>
      <c r="AY291" s="703"/>
      <c r="AZ291" s="703"/>
      <c r="BA291" s="703"/>
    </row>
    <row r="292" spans="1:59">
      <c r="A292" s="19"/>
      <c r="B292" s="88">
        <f ca="1">MAX($B$1:OFFSET(B292,-1,0))+1</f>
        <v>28</v>
      </c>
      <c r="C292" s="122" t="s">
        <v>1610</v>
      </c>
      <c r="D292" s="122"/>
      <c r="E292" s="155"/>
      <c r="F292" s="14"/>
      <c r="G292" s="14"/>
      <c r="H292" s="14"/>
      <c r="I292" s="14"/>
      <c r="J292" s="14"/>
      <c r="K292" s="14"/>
      <c r="L292" s="14"/>
      <c r="M292" s="14"/>
      <c r="N292" s="14"/>
      <c r="O292" s="14"/>
      <c r="P292" s="14"/>
      <c r="Q292" s="14"/>
      <c r="R292" s="14"/>
      <c r="S292" s="14"/>
      <c r="T292" s="14"/>
      <c r="U292" s="14"/>
      <c r="V292" s="14"/>
      <c r="W292" s="14"/>
      <c r="X292" s="14"/>
      <c r="Y292" s="14"/>
      <c r="Z292" s="14"/>
      <c r="AA292" s="14"/>
      <c r="AB292" s="210"/>
      <c r="AC292" s="210"/>
      <c r="AD292" s="210"/>
      <c r="AE292" s="705"/>
      <c r="AF292" s="705"/>
      <c r="AG292" s="705"/>
      <c r="AH292" s="705"/>
      <c r="AI292" s="705"/>
      <c r="AJ292" s="703"/>
      <c r="AK292" s="703"/>
      <c r="AL292" s="703"/>
      <c r="AM292" s="703"/>
      <c r="AN292" s="703"/>
      <c r="AO292" s="703"/>
      <c r="AP292" s="703"/>
      <c r="AQ292" s="703"/>
      <c r="AR292" s="703"/>
      <c r="AS292" s="703"/>
      <c r="AT292" s="703"/>
      <c r="AU292" s="703"/>
      <c r="AV292" s="703"/>
      <c r="AW292" s="703"/>
      <c r="AX292" s="703"/>
      <c r="AY292" s="703"/>
      <c r="AZ292" s="703"/>
      <c r="BA292" s="703"/>
    </row>
    <row r="293" spans="1:59" s="119" customFormat="1" ht="48">
      <c r="A293" s="116"/>
      <c r="B293" s="1031"/>
      <c r="C293" s="1032" t="s">
        <v>458</v>
      </c>
      <c r="D293" s="1033"/>
      <c r="E293" s="1034" t="str">
        <f t="shared" ref="E293:J293" si="259">E277</f>
        <v>GPR 4.3 | nieuwbouw | woningbouw | NEN 7120</v>
      </c>
      <c r="F293" s="1034" t="str">
        <f t="shared" si="259"/>
        <v>GPR 4.3 | bestaande bouw | woningbouw | NEN 7120</v>
      </c>
      <c r="G293" s="1034" t="str">
        <f t="shared" si="259"/>
        <v>GPR 4.3 | nieuwbouw | utiliteitsbouw | NEN 7120</v>
      </c>
      <c r="H293" s="1034" t="str">
        <f t="shared" si="259"/>
        <v>GPR 4.3 | bestaande bouw | utiliteitsbouw | ISSO 75.3</v>
      </c>
      <c r="I293" s="1034" t="str">
        <f t="shared" si="259"/>
        <v>GPR 4.4 | nieuwbouw | woningbouw | NEN 7120</v>
      </c>
      <c r="J293" s="1034" t="str">
        <f t="shared" si="259"/>
        <v>GPR 4.4 | nieuwbouw | woningbouw | NTA 8800</v>
      </c>
      <c r="K293" s="1035"/>
      <c r="L293" s="1035"/>
      <c r="M293" s="1035"/>
      <c r="N293" s="1034" t="str">
        <f t="shared" ref="N293:S293" si="260">N277</f>
        <v>GPR 4.4 | bestaande bouw | woningbouw | NEN 7120</v>
      </c>
      <c r="O293" s="1034" t="str">
        <f t="shared" si="260"/>
        <v>GPR 4.4 | bestaande bouw | woningbouw | NTA 8800</v>
      </c>
      <c r="P293" s="1034" t="str">
        <f t="shared" si="260"/>
        <v>GPR 4.4 | nieuwbouw | utiliteitsbouw | NEN 7120</v>
      </c>
      <c r="Q293" s="1034" t="str">
        <f t="shared" si="260"/>
        <v>GPR 4.4 | nieuwbouw | utiliteitsbouw | NTA 8800</v>
      </c>
      <c r="R293" s="1034" t="str">
        <f t="shared" si="260"/>
        <v>GPR 4.4 | bestaande bouw | woningbouw | NEN 7120</v>
      </c>
      <c r="S293" s="1034" t="str">
        <f t="shared" si="260"/>
        <v>GPR 4.4 | bestaande bouw | utiliteitsbouw | NTA 8800</v>
      </c>
      <c r="T293" s="704"/>
      <c r="U293" s="1036"/>
      <c r="V293" s="1036"/>
      <c r="W293" s="1034" t="str">
        <f>W277</f>
        <v>GPR 4.4 | bestaande bouw | utiliteitsbouw | NEN 7120</v>
      </c>
      <c r="X293" s="1034" t="str">
        <f>X277</f>
        <v>GPR 4.4 | bestaande bouw | utiliteitsbouw | ISSO 75.3</v>
      </c>
      <c r="Y293" s="1037"/>
      <c r="Z293" s="1037"/>
      <c r="AA293" s="1036"/>
      <c r="AB293" s="1019"/>
      <c r="AC293" s="229"/>
      <c r="AD293" s="229"/>
      <c r="AE293" s="705"/>
      <c r="AF293" s="705"/>
      <c r="AG293" s="705"/>
      <c r="AH293" s="705"/>
      <c r="AI293" s="705"/>
      <c r="AJ293" s="703"/>
      <c r="AK293" s="703"/>
      <c r="AL293" s="703"/>
      <c r="AM293" s="703"/>
      <c r="AN293" s="703"/>
      <c r="AO293" s="703"/>
      <c r="AP293" s="703"/>
      <c r="AQ293" s="703"/>
      <c r="AR293" s="703"/>
      <c r="AS293" s="1038"/>
      <c r="AT293" s="1038"/>
      <c r="AU293" s="1038"/>
      <c r="AV293" s="1038"/>
      <c r="AW293" s="1038"/>
      <c r="AX293" s="1038"/>
      <c r="AY293" s="704"/>
      <c r="AZ293" s="704"/>
      <c r="BA293" s="704"/>
      <c r="BB293" s="704"/>
      <c r="BC293" s="704"/>
      <c r="BD293" s="704"/>
      <c r="BE293" s="704"/>
      <c r="BF293" s="704"/>
      <c r="BG293" s="704"/>
    </row>
    <row r="294" spans="1:59">
      <c r="B294" s="21"/>
      <c r="C294" s="790" t="s">
        <v>463</v>
      </c>
      <c r="D294" s="67"/>
      <c r="E294" s="1019">
        <v>0</v>
      </c>
      <c r="F294" s="1019">
        <v>0</v>
      </c>
      <c r="G294" s="1019">
        <v>0</v>
      </c>
      <c r="H294" s="1019">
        <v>0</v>
      </c>
      <c r="I294" s="1019">
        <v>0</v>
      </c>
      <c r="J294" s="1019">
        <v>0</v>
      </c>
      <c r="K294" s="711"/>
      <c r="L294" s="711"/>
      <c r="M294" s="711"/>
      <c r="N294" s="1019">
        <v>0</v>
      </c>
      <c r="O294" s="1019">
        <v>0</v>
      </c>
      <c r="P294" s="1019">
        <v>0</v>
      </c>
      <c r="Q294" s="1019">
        <v>0</v>
      </c>
      <c r="R294" s="1019">
        <v>0</v>
      </c>
      <c r="S294" s="1019">
        <v>0</v>
      </c>
      <c r="T294" s="703"/>
      <c r="U294" s="229"/>
      <c r="V294" s="229"/>
      <c r="W294" s="1019">
        <v>0</v>
      </c>
      <c r="X294" s="1019">
        <v>0</v>
      </c>
      <c r="Y294" s="1019"/>
      <c r="Z294" s="1019"/>
      <c r="AA294" s="1019"/>
      <c r="AB294" s="94"/>
      <c r="AC294" s="229"/>
      <c r="AD294" s="229"/>
      <c r="AE294" s="705"/>
      <c r="AF294" s="705"/>
      <c r="AG294" s="705"/>
      <c r="AH294" s="705"/>
      <c r="AI294" s="705"/>
      <c r="AJ294" s="703"/>
      <c r="AK294" s="703"/>
      <c r="AL294" s="703"/>
      <c r="AM294" s="703"/>
      <c r="AN294" s="703"/>
      <c r="AO294" s="703"/>
      <c r="AP294" s="703"/>
      <c r="AQ294" s="703"/>
      <c r="AR294" s="703"/>
      <c r="AS294" s="703"/>
      <c r="AT294" s="703"/>
      <c r="AU294" s="703"/>
      <c r="AV294" s="703"/>
      <c r="AW294" s="703"/>
      <c r="AX294" s="703"/>
      <c r="AY294" s="703"/>
      <c r="AZ294" s="703"/>
      <c r="BA294" s="703"/>
    </row>
    <row r="295" spans="1:59">
      <c r="B295" s="21"/>
      <c r="C295" s="292" t="s">
        <v>465</v>
      </c>
      <c r="D295" s="67"/>
      <c r="E295" s="94">
        <v>0</v>
      </c>
      <c r="F295" s="94">
        <v>0</v>
      </c>
      <c r="G295" s="94">
        <v>0</v>
      </c>
      <c r="H295" s="94">
        <v>0</v>
      </c>
      <c r="I295" s="94">
        <v>0</v>
      </c>
      <c r="J295" s="94">
        <v>0</v>
      </c>
      <c r="K295" s="711"/>
      <c r="L295" s="711"/>
      <c r="M295" s="711"/>
      <c r="N295" s="94">
        <v>0</v>
      </c>
      <c r="O295" s="94">
        <v>0</v>
      </c>
      <c r="P295" s="94">
        <v>0</v>
      </c>
      <c r="Q295" s="94">
        <v>0</v>
      </c>
      <c r="R295" s="94">
        <v>0</v>
      </c>
      <c r="S295" s="94">
        <v>0</v>
      </c>
      <c r="T295" s="703"/>
      <c r="U295" s="229"/>
      <c r="V295" s="229"/>
      <c r="W295" s="94">
        <v>0</v>
      </c>
      <c r="X295" s="94">
        <v>0</v>
      </c>
      <c r="Y295" s="94"/>
      <c r="Z295" s="94"/>
      <c r="AA295" s="94"/>
      <c r="AB295" s="94"/>
      <c r="AC295" s="229"/>
      <c r="AD295" s="229"/>
      <c r="AE295" s="705"/>
      <c r="AF295" s="705"/>
      <c r="AG295" s="705"/>
      <c r="AH295" s="705"/>
      <c r="AI295" s="705"/>
      <c r="AJ295" s="703"/>
      <c r="AK295" s="703"/>
      <c r="AL295" s="703"/>
      <c r="AM295" s="703"/>
      <c r="AN295" s="703"/>
      <c r="AO295" s="703"/>
      <c r="AP295" s="703"/>
      <c r="AQ295" s="703"/>
      <c r="AR295" s="703"/>
      <c r="AS295" s="703"/>
      <c r="AT295" s="703"/>
      <c r="AU295" s="703"/>
      <c r="AV295" s="703"/>
      <c r="AW295" s="703"/>
      <c r="AX295" s="703"/>
      <c r="AY295" s="703"/>
      <c r="AZ295" s="703"/>
      <c r="BA295" s="703"/>
    </row>
    <row r="296" spans="1:59">
      <c r="B296" s="21"/>
      <c r="C296" s="292" t="s">
        <v>466</v>
      </c>
      <c r="D296" s="67"/>
      <c r="E296" s="94">
        <v>0</v>
      </c>
      <c r="F296" s="94">
        <v>0</v>
      </c>
      <c r="G296" s="94">
        <v>0</v>
      </c>
      <c r="H296" s="94">
        <v>0</v>
      </c>
      <c r="I296" s="94">
        <v>0</v>
      </c>
      <c r="J296" s="94">
        <v>0</v>
      </c>
      <c r="K296" s="711"/>
      <c r="L296" s="711"/>
      <c r="M296" s="711"/>
      <c r="N296" s="94">
        <v>0</v>
      </c>
      <c r="O296" s="94">
        <v>0</v>
      </c>
      <c r="P296" s="94">
        <v>0</v>
      </c>
      <c r="Q296" s="94">
        <v>0</v>
      </c>
      <c r="R296" s="94">
        <v>0</v>
      </c>
      <c r="S296" s="94">
        <v>0</v>
      </c>
      <c r="T296" s="703"/>
      <c r="U296" s="229"/>
      <c r="V296" s="229"/>
      <c r="W296" s="94">
        <v>0</v>
      </c>
      <c r="X296" s="94">
        <v>0</v>
      </c>
      <c r="Y296" s="94"/>
      <c r="Z296" s="94"/>
      <c r="AA296" s="94"/>
      <c r="AB296" s="1018"/>
      <c r="AC296" s="229"/>
      <c r="AD296" s="229"/>
      <c r="AE296" s="705"/>
      <c r="AF296" s="705"/>
      <c r="AG296" s="705"/>
      <c r="AH296" s="705"/>
      <c r="AI296" s="705"/>
      <c r="AJ296" s="703"/>
      <c r="AK296" s="703"/>
      <c r="AL296" s="703"/>
      <c r="AM296" s="703"/>
      <c r="AN296" s="703"/>
      <c r="AO296" s="703"/>
      <c r="AP296" s="703"/>
      <c r="AQ296" s="703"/>
      <c r="AR296" s="703"/>
      <c r="AS296" s="703"/>
      <c r="AT296" s="703"/>
      <c r="AU296" s="703"/>
      <c r="AV296" s="703"/>
      <c r="AW296" s="703"/>
      <c r="AX296" s="703"/>
      <c r="AY296" s="703"/>
      <c r="AZ296" s="703"/>
      <c r="BA296" s="703"/>
    </row>
    <row r="297" spans="1:59">
      <c r="B297" s="21"/>
      <c r="C297" s="293" t="s">
        <v>1539</v>
      </c>
      <c r="D297" s="446"/>
      <c r="E297" s="1017">
        <v>0</v>
      </c>
      <c r="F297" s="1017">
        <v>0</v>
      </c>
      <c r="G297" s="1017">
        <v>0</v>
      </c>
      <c r="H297" s="1017">
        <v>0</v>
      </c>
      <c r="I297" s="1017">
        <v>1</v>
      </c>
      <c r="J297" s="1017">
        <v>1</v>
      </c>
      <c r="K297" s="711"/>
      <c r="L297" s="711"/>
      <c r="M297" s="711"/>
      <c r="N297" s="1017">
        <v>1</v>
      </c>
      <c r="O297" s="1017">
        <v>1</v>
      </c>
      <c r="P297" s="1017">
        <v>1</v>
      </c>
      <c r="Q297" s="1017">
        <v>1</v>
      </c>
      <c r="R297" s="1017">
        <v>1</v>
      </c>
      <c r="S297" s="1017">
        <v>1</v>
      </c>
      <c r="T297" s="703"/>
      <c r="U297" s="229"/>
      <c r="V297" s="229"/>
      <c r="W297" s="1017">
        <v>1</v>
      </c>
      <c r="X297" s="1017">
        <v>1</v>
      </c>
      <c r="Y297" s="1018"/>
      <c r="Z297" s="1018"/>
      <c r="AA297" s="1018"/>
      <c r="AB297" s="94"/>
      <c r="AC297" s="229"/>
      <c r="AD297" s="229"/>
      <c r="AE297" s="705"/>
      <c r="AF297" s="705"/>
      <c r="AG297" s="705"/>
      <c r="AH297" s="705"/>
      <c r="AI297" s="705"/>
      <c r="AJ297" s="703"/>
      <c r="AK297" s="703"/>
      <c r="AL297" s="703"/>
      <c r="AM297" s="703"/>
      <c r="AN297" s="703"/>
      <c r="AO297" s="703"/>
      <c r="AP297" s="703"/>
      <c r="AQ297" s="703"/>
      <c r="AR297" s="703"/>
      <c r="AS297" s="703"/>
      <c r="AT297" s="703"/>
      <c r="AU297" s="703"/>
      <c r="AV297" s="703"/>
      <c r="AW297" s="703"/>
      <c r="AX297" s="703"/>
      <c r="AY297" s="703"/>
      <c r="AZ297" s="703"/>
      <c r="BA297" s="703"/>
    </row>
    <row r="298" spans="1:59">
      <c r="B298" s="21"/>
      <c r="C298" s="292" t="s">
        <v>467</v>
      </c>
      <c r="D298" s="67"/>
      <c r="E298" s="94">
        <v>0</v>
      </c>
      <c r="F298" s="94">
        <v>0</v>
      </c>
      <c r="G298" s="94">
        <v>0</v>
      </c>
      <c r="H298" s="94">
        <v>0</v>
      </c>
      <c r="I298" s="94">
        <v>0</v>
      </c>
      <c r="J298" s="94">
        <v>0</v>
      </c>
      <c r="K298" s="711"/>
      <c r="L298" s="711"/>
      <c r="M298" s="711"/>
      <c r="N298" s="94">
        <v>0</v>
      </c>
      <c r="O298" s="94">
        <v>0</v>
      </c>
      <c r="P298" s="94">
        <v>0</v>
      </c>
      <c r="Q298" s="94">
        <v>0</v>
      </c>
      <c r="R298" s="94">
        <v>0</v>
      </c>
      <c r="S298" s="94">
        <v>0</v>
      </c>
      <c r="T298" s="703"/>
      <c r="U298" s="229"/>
      <c r="V298" s="229"/>
      <c r="W298" s="94">
        <v>0</v>
      </c>
      <c r="X298" s="94">
        <v>0</v>
      </c>
      <c r="Y298" s="94"/>
      <c r="Z298" s="94"/>
      <c r="AA298" s="94"/>
      <c r="AB298" s="703"/>
      <c r="AC298" s="703"/>
      <c r="AD298" s="229"/>
      <c r="AE298" s="705"/>
      <c r="AF298" s="705"/>
      <c r="AG298" s="705"/>
      <c r="AH298" s="705"/>
      <c r="AI298" s="705"/>
      <c r="AJ298" s="703"/>
      <c r="AK298" s="703"/>
      <c r="AL298" s="703"/>
      <c r="AM298" s="703"/>
      <c r="AN298" s="703"/>
      <c r="AO298" s="703"/>
      <c r="AP298" s="703"/>
      <c r="AQ298" s="703"/>
      <c r="AR298" s="703"/>
      <c r="AS298" s="703"/>
      <c r="AT298" s="703"/>
      <c r="AU298" s="703"/>
      <c r="AV298" s="703"/>
      <c r="AW298" s="703"/>
      <c r="AX298" s="703"/>
      <c r="AY298" s="703"/>
      <c r="AZ298" s="703"/>
      <c r="BA298" s="703"/>
    </row>
    <row r="299" spans="1:59">
      <c r="B299" s="21"/>
      <c r="C299" s="18"/>
      <c r="D299" s="18"/>
      <c r="E299" s="18"/>
      <c r="F299" s="18"/>
      <c r="G299" s="18"/>
      <c r="H299" s="18"/>
      <c r="I299" s="18"/>
      <c r="J299" s="18"/>
      <c r="K299" s="18"/>
      <c r="M299" s="703"/>
      <c r="N299" s="703"/>
      <c r="O299" s="703"/>
      <c r="P299" s="703"/>
      <c r="Q299" s="703"/>
      <c r="R299" s="703"/>
      <c r="S299" s="703"/>
      <c r="T299" s="703"/>
      <c r="U299" s="703"/>
      <c r="V299" s="703"/>
      <c r="W299" s="703"/>
      <c r="X299" s="703"/>
      <c r="Y299" s="703"/>
      <c r="Z299" s="703"/>
      <c r="AA299" s="703"/>
      <c r="AB299" s="703"/>
      <c r="AC299" s="703"/>
      <c r="AD299" s="703"/>
      <c r="AE299" s="705"/>
      <c r="AF299" s="705"/>
      <c r="AG299" s="705"/>
      <c r="AH299" s="705"/>
      <c r="AI299" s="705"/>
      <c r="AJ299" s="8"/>
      <c r="AK299" s="703"/>
      <c r="AL299" s="703"/>
      <c r="AM299" s="703"/>
      <c r="AN299" s="703"/>
      <c r="AO299" s="703"/>
      <c r="AP299" s="703"/>
      <c r="AQ299" s="703"/>
      <c r="AR299" s="703"/>
      <c r="AS299" s="703"/>
      <c r="AT299" s="703"/>
      <c r="AU299" s="703"/>
      <c r="AV299" s="703"/>
      <c r="AW299" s="703"/>
      <c r="AX299" s="703"/>
      <c r="AY299" s="703"/>
      <c r="AZ299" s="703"/>
      <c r="BA299" s="703"/>
    </row>
    <row r="300" spans="1:59">
      <c r="A300" s="19"/>
      <c r="B300" s="88">
        <f ca="1">MAX($B$1:OFFSET(B300,-1,0))+1</f>
        <v>29</v>
      </c>
      <c r="C300" s="122" t="s">
        <v>1551</v>
      </c>
      <c r="D300" s="122"/>
      <c r="E300" s="155" t="s">
        <v>456</v>
      </c>
      <c r="F300" s="14"/>
      <c r="G300" s="14"/>
      <c r="H300" s="14"/>
      <c r="I300" s="14"/>
      <c r="J300" s="14"/>
      <c r="K300" s="14"/>
      <c r="L300" s="14"/>
      <c r="M300" s="14"/>
      <c r="N300" s="155" t="s">
        <v>511</v>
      </c>
      <c r="O300" s="14"/>
      <c r="P300" s="14"/>
      <c r="Q300" s="14"/>
      <c r="R300" s="41"/>
      <c r="S300" s="14"/>
      <c r="T300" s="14"/>
      <c r="U300" s="14"/>
      <c r="V300" s="14"/>
      <c r="W300" s="14"/>
      <c r="X300" s="14"/>
      <c r="Y300" s="14"/>
      <c r="Z300" s="14"/>
      <c r="AA300" s="14"/>
      <c r="AB300" s="14"/>
      <c r="AC300" s="14"/>
      <c r="AD300" s="14"/>
      <c r="AE300" s="705"/>
      <c r="AF300" s="705"/>
      <c r="AG300" s="705"/>
      <c r="AH300" s="705"/>
      <c r="AI300" s="705"/>
      <c r="AJ300" s="14"/>
      <c r="AK300" s="703"/>
      <c r="AL300" s="703"/>
      <c r="AM300" s="703"/>
      <c r="AN300" s="703"/>
      <c r="AO300" s="703"/>
      <c r="AP300" s="703"/>
      <c r="AQ300" s="703"/>
      <c r="AR300" s="703"/>
      <c r="AS300" s="703"/>
      <c r="AT300" s="703"/>
      <c r="AU300" s="703"/>
      <c r="AV300" s="703"/>
      <c r="AW300" s="703"/>
      <c r="AX300" s="703"/>
      <c r="AY300" s="703"/>
      <c r="AZ300" s="703"/>
      <c r="BA300" s="703"/>
    </row>
    <row r="301" spans="1:59">
      <c r="B301" s="21"/>
      <c r="C301" s="296" t="s">
        <v>458</v>
      </c>
      <c r="D301" s="297"/>
      <c r="E301" s="1010" t="s">
        <v>394</v>
      </c>
      <c r="F301" s="1030" t="s">
        <v>1552</v>
      </c>
      <c r="G301" s="1010" t="s">
        <v>395</v>
      </c>
      <c r="H301" s="1030" t="s">
        <v>1553</v>
      </c>
      <c r="I301" s="709" t="s">
        <v>459</v>
      </c>
      <c r="J301" s="709" t="s">
        <v>460</v>
      </c>
      <c r="K301" s="710"/>
      <c r="L301" s="710"/>
      <c r="M301" s="710"/>
      <c r="N301" s="1010" t="s">
        <v>1646</v>
      </c>
      <c r="O301" s="1010" t="s">
        <v>1647</v>
      </c>
      <c r="P301" s="1010" t="s">
        <v>461</v>
      </c>
      <c r="Q301" s="1138" t="s">
        <v>462</v>
      </c>
      <c r="R301" s="1143" t="s">
        <v>1648</v>
      </c>
      <c r="S301" s="1143" t="s">
        <v>1649</v>
      </c>
      <c r="T301" s="703"/>
      <c r="U301" s="229"/>
      <c r="V301" s="229"/>
      <c r="W301" s="298"/>
      <c r="X301" s="298"/>
      <c r="Y301" s="298"/>
      <c r="Z301" s="298"/>
      <c r="AA301" s="229"/>
      <c r="AB301" s="229"/>
      <c r="AC301" s="229"/>
      <c r="AD301" s="229"/>
      <c r="AE301" s="705"/>
      <c r="AF301" s="705"/>
      <c r="AG301" s="705"/>
      <c r="AH301" s="705"/>
      <c r="AI301" s="705"/>
      <c r="AJ301" s="703"/>
      <c r="AK301" s="703"/>
      <c r="AL301" s="703"/>
      <c r="AM301" s="703"/>
      <c r="AN301" s="703"/>
      <c r="AO301" s="703"/>
      <c r="AP301" s="703"/>
      <c r="AQ301" s="703"/>
      <c r="AR301" s="703"/>
      <c r="AS301" s="8"/>
      <c r="AT301" s="8"/>
      <c r="AU301" s="8"/>
      <c r="AV301" s="8"/>
      <c r="AW301" s="8"/>
      <c r="AX301" s="8"/>
      <c r="AY301" s="705"/>
      <c r="AZ301" s="705"/>
      <c r="BA301" s="705"/>
      <c r="BB301" s="705"/>
      <c r="BC301" s="705"/>
      <c r="BD301" s="705"/>
      <c r="BE301" s="705"/>
      <c r="BF301" s="705"/>
      <c r="BG301" s="705"/>
    </row>
    <row r="302" spans="1:59">
      <c r="B302" s="21"/>
      <c r="C302" s="790" t="s">
        <v>463</v>
      </c>
      <c r="D302" s="67"/>
      <c r="E302" s="1020">
        <v>0.21038159433600001</v>
      </c>
      <c r="F302" s="1026" t="str">
        <f>_xlfn.CONCAT("euro/",INDEX($C$251:$J$256,MATCH($C302,$C$251:$C$256,0),MATCH(E$301,$C$251:$J$251,0)))</f>
        <v>euro/m3</v>
      </c>
      <c r="G302" s="1020">
        <v>0.12266000000000001</v>
      </c>
      <c r="H302" s="1026" t="str">
        <f>_xlfn.CONCAT("euro/",INDEX($C$251:$J$256,MATCH($C302,$C$251:$C$256,0),MATCH(G$301,$C$251:$J$251,0)))</f>
        <v>euro/m3</v>
      </c>
      <c r="I302" s="711">
        <f>G302/E302</f>
        <v>0.58303579449112819</v>
      </c>
      <c r="J302" s="711">
        <f>O302/N302</f>
        <v>0.80229007633587779</v>
      </c>
      <c r="K302" s="711"/>
      <c r="L302" s="711"/>
      <c r="M302" s="711"/>
      <c r="N302" s="1020">
        <v>2.62</v>
      </c>
      <c r="O302" s="1020">
        <v>2.1019999999999999</v>
      </c>
      <c r="P302" s="1020">
        <v>0.16300000000000001</v>
      </c>
      <c r="Q302" s="1139">
        <f>P302</f>
        <v>0.16300000000000001</v>
      </c>
      <c r="R302" s="1026" t="str">
        <f>_xlfn.CONCAT("kg/",INDEX($C$251:$J$256,MATCH($C302,$C$251:$C$256,0),MATCH(GPR4.3,$C$251:$J$251,0)))</f>
        <v>kg/m3</v>
      </c>
      <c r="S302" s="1026" t="str">
        <f>_xlfn.CONCAT("kg/",INDEX($C$251:$J$256,MATCH($C302,$C$251:$C$256,0),MATCH(GPR4.4,$C$251:$J$251,0)))</f>
        <v>kg/m3</v>
      </c>
      <c r="T302" s="703"/>
      <c r="U302" s="229"/>
      <c r="V302" s="229"/>
      <c r="W302" s="878"/>
      <c r="X302" s="878"/>
      <c r="Y302" s="878"/>
      <c r="Z302" s="878"/>
      <c r="AA302" s="229"/>
      <c r="AB302" s="229"/>
      <c r="AC302" s="229"/>
      <c r="AD302" s="229"/>
      <c r="AE302" s="705"/>
      <c r="AF302" s="705"/>
      <c r="AG302" s="705"/>
      <c r="AH302" s="705"/>
      <c r="AI302" s="705"/>
      <c r="AJ302" s="703"/>
      <c r="AK302" s="703"/>
      <c r="AL302" s="703"/>
      <c r="AM302" s="703"/>
      <c r="AN302" s="703"/>
      <c r="AO302" s="703"/>
      <c r="AP302" s="703"/>
      <c r="AQ302" s="703"/>
      <c r="AR302" s="703"/>
      <c r="AS302" s="703"/>
      <c r="AT302" s="703"/>
      <c r="AU302" s="703"/>
      <c r="AV302" s="703"/>
      <c r="AW302" s="703"/>
      <c r="AX302" s="703"/>
      <c r="AY302" s="703"/>
      <c r="AZ302" s="703"/>
      <c r="BA302" s="703"/>
    </row>
    <row r="303" spans="1:59">
      <c r="B303" s="21"/>
      <c r="C303" s="292" t="s">
        <v>465</v>
      </c>
      <c r="D303" s="67"/>
      <c r="E303" s="1022">
        <v>6.0922484120000009E-2</v>
      </c>
      <c r="F303" s="972" t="str">
        <f>_xlfn.CONCAT("euro/",INDEX($C$251:$J$256,MATCH($C303,$C$251:$C$256,0),MATCH(E$301,$C$251:$J$251,0)))</f>
        <v>euro/kWh</v>
      </c>
      <c r="G303" s="1022">
        <v>3.6199000000000002E-2</v>
      </c>
      <c r="H303" s="972" t="str">
        <f>_xlfn.CONCAT("euro/",INDEX($C$251:$J$256,MATCH($C303,$C$251:$C$256,0),MATCH(G$301,$C$251:$J$251,0)))</f>
        <v>euro/kWh</v>
      </c>
      <c r="I303" s="418">
        <f>G303/E303</f>
        <v>0.5941812866444881</v>
      </c>
      <c r="J303" s="711">
        <f>O303/N303</f>
        <v>0.71262800232957646</v>
      </c>
      <c r="K303" s="711"/>
      <c r="L303" s="711"/>
      <c r="M303" s="711"/>
      <c r="N303" s="1022">
        <v>0.68338600000000005</v>
      </c>
      <c r="O303" s="1022">
        <v>0.48699999999999999</v>
      </c>
      <c r="P303" s="1022">
        <v>6.0000000000000001E-3</v>
      </c>
      <c r="Q303" s="1140">
        <f>P303</f>
        <v>6.0000000000000001E-3</v>
      </c>
      <c r="R303" s="972" t="str">
        <f>_xlfn.CONCAT("kg/",INDEX($C$251:$J$256,MATCH($C303,$C$251:$C$256,0),MATCH(GPR4.3,$C$251:$J$251,0)))</f>
        <v>kg/kWh</v>
      </c>
      <c r="S303" s="972" t="str">
        <f>_xlfn.CONCAT("kg/",INDEX($C$251:$J$256,MATCH($C303,$C$251:$C$256,0),MATCH(GPR4.4,$C$251:$J$251,0)))</f>
        <v>kg/kWh</v>
      </c>
      <c r="T303" s="703"/>
      <c r="U303" s="229"/>
      <c r="V303" s="229"/>
      <c r="W303" s="288"/>
      <c r="X303" s="288"/>
      <c r="Y303" s="288"/>
      <c r="Z303" s="288"/>
      <c r="AA303" s="229"/>
      <c r="AB303" s="229"/>
      <c r="AC303" s="229"/>
      <c r="AD303" s="229"/>
      <c r="AE303" s="705"/>
      <c r="AF303" s="705"/>
      <c r="AG303" s="705"/>
      <c r="AH303" s="705"/>
      <c r="AI303" s="705"/>
      <c r="AJ303" s="703"/>
      <c r="AK303" s="703"/>
      <c r="AL303" s="703"/>
      <c r="AM303" s="703"/>
      <c r="AN303" s="703"/>
      <c r="AO303" s="703"/>
      <c r="AP303" s="703"/>
      <c r="AQ303" s="703"/>
      <c r="AR303" s="703"/>
      <c r="AS303" s="703"/>
      <c r="AT303" s="703"/>
      <c r="AU303" s="703"/>
      <c r="AV303" s="703"/>
      <c r="AW303" s="703"/>
      <c r="AX303" s="703"/>
      <c r="AY303" s="703"/>
      <c r="AZ303" s="703"/>
      <c r="BA303" s="703"/>
    </row>
    <row r="304" spans="1:59">
      <c r="B304" s="21"/>
      <c r="C304" s="292" t="s">
        <v>466</v>
      </c>
      <c r="D304" s="67"/>
      <c r="E304" s="1022">
        <v>-6.0922484120000002E-2</v>
      </c>
      <c r="F304" s="972" t="str">
        <f>_xlfn.CONCAT("euro/",INDEX($C$251:$J$256,MATCH($C304,$C$251:$C$256,0),MATCH(E$301,$C$251:$J$251,0)))</f>
        <v>euro/kWh</v>
      </c>
      <c r="G304" s="1022">
        <f>-G303</f>
        <v>-3.6199000000000002E-2</v>
      </c>
      <c r="H304" s="972" t="str">
        <f>_xlfn.CONCAT("euro/",INDEX($C$251:$J$256,MATCH($C304,$C$251:$C$256,0),MATCH(G$301,$C$251:$J$251,0)))</f>
        <v>euro/kWh</v>
      </c>
      <c r="I304" s="711"/>
      <c r="J304" s="711"/>
      <c r="K304" s="711"/>
      <c r="L304" s="711"/>
      <c r="M304" s="711"/>
      <c r="N304" s="1022">
        <f t="shared" ref="N304:Q304" si="261">-N303</f>
        <v>-0.68338600000000005</v>
      </c>
      <c r="O304" s="1022">
        <f t="shared" si="261"/>
        <v>-0.48699999999999999</v>
      </c>
      <c r="P304" s="1022">
        <f t="shared" si="261"/>
        <v>-6.0000000000000001E-3</v>
      </c>
      <c r="Q304" s="1140">
        <f t="shared" si="261"/>
        <v>-6.0000000000000001E-3</v>
      </c>
      <c r="R304" s="972" t="str">
        <f>_xlfn.CONCAT("kg/",INDEX($C$251:$J$256,MATCH($C304,$C$251:$C$256,0),MATCH(GPR4.3,$C$251:$J$251,0)))</f>
        <v>kg/kWh</v>
      </c>
      <c r="S304" s="972" t="str">
        <f>_xlfn.CONCAT("kg/",INDEX($C$251:$J$256,MATCH($C304,$C$251:$C$256,0),MATCH(GPR4.4,$C$251:$J$251,0)))</f>
        <v>kg/kWh</v>
      </c>
      <c r="T304" s="703"/>
      <c r="U304" s="229"/>
      <c r="V304" s="229"/>
      <c r="W304" s="288"/>
      <c r="X304" s="288"/>
      <c r="Y304" s="288"/>
      <c r="Z304" s="288"/>
      <c r="AA304" s="229"/>
      <c r="AB304" s="229"/>
      <c r="AC304" s="229"/>
      <c r="AD304" s="229"/>
      <c r="AE304" s="705"/>
      <c r="AF304" s="705"/>
      <c r="AG304" s="705"/>
      <c r="AH304" s="705"/>
      <c r="AI304" s="705"/>
      <c r="AJ304" s="703"/>
      <c r="AK304" s="703"/>
      <c r="AL304" s="703"/>
      <c r="AM304" s="703"/>
      <c r="AN304" s="703"/>
      <c r="AO304" s="703"/>
      <c r="AP304" s="703"/>
      <c r="AQ304" s="703"/>
      <c r="AR304" s="703"/>
      <c r="AS304" s="703"/>
      <c r="AT304" s="703"/>
      <c r="AU304" s="703"/>
      <c r="AV304" s="703"/>
      <c r="AW304" s="703"/>
      <c r="AX304" s="703"/>
      <c r="AY304" s="703"/>
      <c r="AZ304" s="703"/>
      <c r="BA304" s="703"/>
    </row>
    <row r="305" spans="1:59">
      <c r="B305" s="21"/>
      <c r="C305" s="327" t="s">
        <v>1539</v>
      </c>
      <c r="D305" s="67"/>
      <c r="E305" s="1024">
        <v>7.57313154557235</v>
      </c>
      <c r="F305" s="974" t="str">
        <f>_xlfn.CONCAT("euro/",INDEX($C$251:$J$256,MATCH($C305,$C$251:$C$256,0),MATCH(E$301,$C$251:$J$251,0)))</f>
        <v>euro/GJ</v>
      </c>
      <c r="G305" s="1024">
        <f>1.5*G302/35.17*1000</f>
        <v>5.2314472561842482</v>
      </c>
      <c r="H305" s="974" t="str">
        <f>_xlfn.CONCAT("euro/",INDEX($C$251:$J$256,MATCH($C305,$C$251:$C$256,0),MATCH(G$301,$C$251:$J$251,0)))</f>
        <v>euro/GJ</v>
      </c>
      <c r="I305" s="711">
        <f>G305/E305</f>
        <v>0.69079049065809861</v>
      </c>
      <c r="J305" s="711">
        <f>O305/N305</f>
        <v>0.95069215394036699</v>
      </c>
      <c r="K305" s="711"/>
      <c r="L305" s="711"/>
      <c r="M305" s="711"/>
      <c r="N305" s="1024">
        <f>94.3</f>
        <v>94.3</v>
      </c>
      <c r="O305" s="1024">
        <f>1.5*O302/35.17*1000</f>
        <v>89.650270116576607</v>
      </c>
      <c r="P305" s="1141">
        <f>0.846</f>
        <v>0.84599999999999997</v>
      </c>
      <c r="Q305" s="1142">
        <f>P305</f>
        <v>0.84599999999999997</v>
      </c>
      <c r="R305" s="974" t="str">
        <f>_xlfn.CONCAT("kg/",INDEX($C$251:$J$256,MATCH($C305,$C$251:$C$256,0),MATCH(GPR4.3,$C$251:$J$251,0)))</f>
        <v>kg/GJ</v>
      </c>
      <c r="S305" s="974" t="str">
        <f>_xlfn.CONCAT("kg/",INDEX($C$251:$J$256,MATCH($C305,$C$251:$C$256,0),MATCH(GPR4.4,$C$251:$J$251,0)))</f>
        <v>kg/GJ</v>
      </c>
      <c r="T305" s="703"/>
      <c r="U305" s="229"/>
      <c r="V305" s="229"/>
      <c r="W305" s="288"/>
      <c r="X305" s="288"/>
      <c r="Y305" s="288"/>
      <c r="Z305" s="288"/>
      <c r="AA305" s="229"/>
      <c r="AB305" s="229"/>
      <c r="AC305" s="229"/>
      <c r="AD305" s="229"/>
      <c r="AE305" s="705"/>
      <c r="AF305" s="705"/>
      <c r="AG305" s="705"/>
      <c r="AH305" s="705"/>
      <c r="AI305" s="705"/>
      <c r="AJ305" s="703"/>
      <c r="AK305" s="703"/>
      <c r="AL305" s="703"/>
      <c r="AM305" s="703"/>
      <c r="AN305" s="703"/>
      <c r="AO305" s="703"/>
      <c r="AP305" s="703"/>
      <c r="AQ305" s="703"/>
      <c r="AR305" s="703"/>
      <c r="AS305" s="703"/>
      <c r="AT305" s="703"/>
      <c r="AU305" s="703"/>
      <c r="AV305" s="703"/>
      <c r="AW305" s="703"/>
      <c r="AX305" s="703"/>
      <c r="AY305" s="703"/>
      <c r="AZ305" s="703"/>
      <c r="BA305" s="703"/>
    </row>
    <row r="306" spans="1:59">
      <c r="B306" s="21"/>
      <c r="C306" s="292" t="s">
        <v>467</v>
      </c>
      <c r="D306" s="67"/>
      <c r="E306" s="1025">
        <f>0.0045973</f>
        <v>4.5973000000000003E-3</v>
      </c>
      <c r="F306" s="1027" t="str">
        <f>_xlfn.CONCAT("euro/",INDEX($C$251:$J$256,MATCH($C306,$C$251:$C$256,0),MATCH(E$301,$C$251:$J$251,0)))</f>
        <v>euro/kg</v>
      </c>
      <c r="G306" s="1025">
        <f>0.002018*3.6</f>
        <v>7.2647999999999992E-3</v>
      </c>
      <c r="H306" s="1027" t="str">
        <f>_xlfn.CONCAT("euro/",INDEX($C$251:$J$256,MATCH($C306,$C$251:$C$256,0),MATCH(G$301,$C$251:$J$251,0)))</f>
        <v>euro/kg</v>
      </c>
      <c r="I306" s="711">
        <f>(G306/3.6)/(E306)</f>
        <v>0.43895329867530936</v>
      </c>
      <c r="J306" s="711">
        <f>(O306/3.6)/(N306)</f>
        <v>0.65583059946316735</v>
      </c>
      <c r="K306" s="711"/>
      <c r="L306" s="711"/>
      <c r="M306" s="711"/>
      <c r="N306" s="1029">
        <f>0.016765</f>
        <v>1.6764999999999999E-2</v>
      </c>
      <c r="O306" s="1029">
        <f>0.010995*3.6</f>
        <v>3.9581999999999999E-2</v>
      </c>
      <c r="P306" s="1022"/>
      <c r="Q306" s="1140"/>
      <c r="R306" s="1027" t="str">
        <f>_xlfn.CONCAT("kg/",INDEX($C$251:$J$256,MATCH($C306,$C$251:$C$256,0),MATCH(GPR4.3,$C$251:$J$251,0)))</f>
        <v>kg/kg</v>
      </c>
      <c r="S306" s="1027" t="str">
        <f>_xlfn.CONCAT("kg/",INDEX($C$251:$J$256,MATCH($C306,$C$251:$C$256,0),MATCH(GPR4.4,$C$251:$J$251,0)))</f>
        <v>kg/kg</v>
      </c>
      <c r="T306" s="703"/>
      <c r="U306" s="229"/>
      <c r="V306" s="229"/>
      <c r="W306" s="288"/>
      <c r="X306" s="288"/>
      <c r="Y306" s="288"/>
      <c r="Z306" s="288"/>
      <c r="AA306" s="229"/>
      <c r="AB306" s="229"/>
      <c r="AC306" s="229"/>
      <c r="AD306" s="229"/>
      <c r="AE306" s="705"/>
      <c r="AF306" s="705"/>
      <c r="AG306" s="705"/>
      <c r="AH306" s="705"/>
      <c r="AI306" s="705"/>
      <c r="AJ306" s="703"/>
      <c r="AK306" s="703"/>
      <c r="AL306" s="703"/>
      <c r="AM306" s="703"/>
      <c r="AN306" s="703"/>
      <c r="AO306" s="703"/>
      <c r="AP306" s="703"/>
      <c r="AQ306" s="703"/>
      <c r="AR306" s="703"/>
      <c r="AS306" s="703"/>
      <c r="AT306" s="703"/>
      <c r="AU306" s="703"/>
      <c r="AV306" s="703"/>
      <c r="AW306" s="703"/>
      <c r="AX306" s="703"/>
      <c r="AY306" s="703"/>
      <c r="AZ306" s="703"/>
      <c r="BA306" s="703"/>
    </row>
    <row r="307" spans="1:59">
      <c r="B307" s="21"/>
      <c r="C307" s="18"/>
      <c r="D307" s="18"/>
      <c r="E307" s="18"/>
      <c r="F307" s="18"/>
      <c r="G307" s="18"/>
      <c r="H307" s="18"/>
      <c r="I307" s="18"/>
      <c r="J307" s="18"/>
      <c r="K307" s="18"/>
      <c r="M307" s="703"/>
      <c r="N307" s="703"/>
      <c r="O307" s="703"/>
      <c r="P307" s="703"/>
      <c r="Q307" s="703"/>
      <c r="R307" s="703"/>
      <c r="S307" s="703"/>
      <c r="T307" s="703"/>
      <c r="U307" s="703"/>
      <c r="V307" s="703"/>
      <c r="W307" s="879"/>
      <c r="X307" s="879"/>
      <c r="Y307" s="879"/>
      <c r="Z307" s="879"/>
      <c r="AA307" s="703"/>
      <c r="AB307" s="224"/>
      <c r="AC307" s="703"/>
      <c r="AD307" s="703"/>
      <c r="AE307" s="705"/>
      <c r="AF307" s="705"/>
      <c r="AG307" s="705"/>
      <c r="AH307" s="705"/>
      <c r="AI307" s="705"/>
      <c r="AJ307" s="703"/>
      <c r="AK307" s="703"/>
      <c r="AL307" s="703"/>
      <c r="AM307" s="703"/>
      <c r="AN307" s="703"/>
      <c r="AO307" s="703"/>
      <c r="AP307" s="703"/>
      <c r="AQ307" s="703"/>
      <c r="AR307" s="703"/>
      <c r="AS307" s="703"/>
      <c r="AT307" s="703"/>
      <c r="AU307" s="703"/>
      <c r="AV307" s="703"/>
      <c r="AW307" s="703"/>
      <c r="AX307" s="703"/>
      <c r="AY307" s="703"/>
      <c r="AZ307" s="703"/>
      <c r="BA307" s="703"/>
    </row>
    <row r="308" spans="1:59">
      <c r="A308" s="19"/>
      <c r="B308" s="88">
        <f ca="1">MAX($B$1:OFFSET(B308,-1,0))+1</f>
        <v>30</v>
      </c>
      <c r="C308" s="122" t="s">
        <v>1736</v>
      </c>
      <c r="D308" s="122"/>
      <c r="E308" s="155"/>
      <c r="F308" s="14"/>
      <c r="G308" s="14"/>
      <c r="H308" s="14"/>
      <c r="I308" s="14"/>
      <c r="J308" s="14"/>
      <c r="K308" s="14"/>
      <c r="L308" s="14"/>
      <c r="M308" s="14"/>
      <c r="N308" s="155" t="s">
        <v>511</v>
      </c>
      <c r="O308" s="14"/>
      <c r="P308" s="14"/>
      <c r="Q308" s="14"/>
      <c r="R308" s="41"/>
      <c r="S308" s="14"/>
      <c r="T308" s="14"/>
      <c r="U308" s="14"/>
      <c r="V308" s="14"/>
      <c r="W308" s="14"/>
      <c r="X308" s="14"/>
      <c r="Y308" s="14"/>
      <c r="Z308" s="14"/>
      <c r="AA308" s="14"/>
      <c r="AB308" s="14"/>
      <c r="AC308" s="14"/>
      <c r="AD308" s="14"/>
      <c r="AE308" s="705"/>
      <c r="AF308" s="705"/>
      <c r="AG308" s="705"/>
      <c r="AH308" s="705"/>
      <c r="AI308" s="705"/>
      <c r="AJ308" s="14"/>
      <c r="AK308" s="703"/>
      <c r="AL308" s="703"/>
      <c r="AM308" s="703"/>
      <c r="AN308" s="703"/>
      <c r="AO308" s="703"/>
      <c r="AP308" s="703"/>
      <c r="AQ308" s="703"/>
      <c r="AR308" s="703"/>
      <c r="AS308" s="703"/>
      <c r="AT308" s="703"/>
      <c r="AU308" s="703"/>
      <c r="AV308" s="703"/>
      <c r="AW308" s="703"/>
      <c r="AX308" s="703"/>
      <c r="AY308" s="703"/>
      <c r="AZ308" s="703"/>
      <c r="BA308" s="703"/>
    </row>
    <row r="309" spans="1:59">
      <c r="B309" s="21"/>
      <c r="C309" s="296" t="s">
        <v>458</v>
      </c>
      <c r="D309" s="297"/>
      <c r="E309" s="1010" t="s">
        <v>1787</v>
      </c>
      <c r="F309" s="1030" t="s">
        <v>1788</v>
      </c>
      <c r="G309" s="1010" t="s">
        <v>1789</v>
      </c>
      <c r="H309" s="1030" t="s">
        <v>1790</v>
      </c>
      <c r="I309" s="709" t="s">
        <v>459</v>
      </c>
      <c r="J309" s="709" t="s">
        <v>460</v>
      </c>
      <c r="K309" s="710"/>
      <c r="L309" s="710"/>
      <c r="M309" s="710"/>
      <c r="N309" s="1010" t="s">
        <v>1646</v>
      </c>
      <c r="O309" s="1010" t="s">
        <v>1647</v>
      </c>
      <c r="P309" s="1010" t="s">
        <v>461</v>
      </c>
      <c r="Q309" s="1138" t="s">
        <v>462</v>
      </c>
      <c r="R309" s="1143" t="s">
        <v>1648</v>
      </c>
      <c r="S309" s="1143" t="s">
        <v>1649</v>
      </c>
      <c r="T309" s="703"/>
      <c r="U309" s="229"/>
      <c r="V309" s="229"/>
      <c r="W309" s="298"/>
      <c r="X309" s="298"/>
      <c r="Y309" s="298"/>
      <c r="Z309" s="298"/>
      <c r="AA309" s="229"/>
      <c r="AB309" s="229"/>
      <c r="AC309" s="229"/>
      <c r="AD309" s="229"/>
      <c r="AE309" s="705"/>
      <c r="AF309" s="705"/>
      <c r="AG309" s="705"/>
      <c r="AH309" s="705"/>
      <c r="AI309" s="705"/>
      <c r="AJ309" s="703"/>
      <c r="AK309" s="703"/>
      <c r="AL309" s="703"/>
      <c r="AM309" s="703"/>
      <c r="AN309" s="703"/>
      <c r="AO309" s="703"/>
      <c r="AP309" s="703"/>
      <c r="AQ309" s="703"/>
      <c r="AR309" s="703"/>
      <c r="AS309" s="8"/>
      <c r="AT309" s="8"/>
      <c r="AU309" s="8"/>
      <c r="AV309" s="8"/>
      <c r="AW309" s="8"/>
      <c r="AX309" s="8"/>
      <c r="AY309" s="705"/>
      <c r="AZ309" s="705"/>
      <c r="BA309" s="705"/>
      <c r="BB309" s="705"/>
      <c r="BC309" s="705"/>
      <c r="BD309" s="705"/>
      <c r="BE309" s="705"/>
      <c r="BF309" s="705"/>
      <c r="BG309" s="705"/>
    </row>
    <row r="310" spans="1:59">
      <c r="B310" s="21"/>
      <c r="C310" s="790" t="s">
        <v>1732</v>
      </c>
      <c r="D310" s="67"/>
      <c r="E310" s="1020"/>
      <c r="F310" s="1026"/>
      <c r="G310" s="1020"/>
      <c r="H310" s="1026" t="s">
        <v>406</v>
      </c>
      <c r="I310" s="711"/>
      <c r="J310" s="711"/>
      <c r="K310" s="711"/>
      <c r="L310" s="711"/>
      <c r="M310" s="711"/>
      <c r="N310" s="1020"/>
      <c r="O310" s="1020"/>
      <c r="P310" s="1020"/>
      <c r="Q310" s="1139"/>
      <c r="R310" s="1026"/>
      <c r="S310" s="1026"/>
      <c r="T310" s="703"/>
      <c r="U310" s="229"/>
      <c r="V310" s="229"/>
      <c r="W310" s="878"/>
      <c r="X310" s="878"/>
      <c r="Y310" s="878"/>
      <c r="Z310" s="878"/>
      <c r="AA310" s="229"/>
      <c r="AB310" s="229"/>
      <c r="AC310" s="229"/>
      <c r="AD310" s="229"/>
      <c r="AE310" s="705"/>
      <c r="AF310" s="705"/>
      <c r="AG310" s="705"/>
      <c r="AH310" s="705"/>
      <c r="AI310" s="705"/>
      <c r="AJ310" s="703"/>
      <c r="AK310" s="703"/>
      <c r="AL310" s="703"/>
      <c r="AM310" s="703"/>
      <c r="AN310" s="703"/>
      <c r="AO310" s="703"/>
      <c r="AP310" s="703"/>
      <c r="AQ310" s="703"/>
      <c r="AR310" s="703"/>
      <c r="AS310" s="703"/>
      <c r="AT310" s="703"/>
      <c r="AU310" s="703"/>
      <c r="AV310" s="703"/>
      <c r="AW310" s="703"/>
      <c r="AX310" s="703"/>
      <c r="AY310" s="703"/>
      <c r="AZ310" s="703"/>
      <c r="BA310" s="703"/>
    </row>
    <row r="311" spans="1:59">
      <c r="B311" s="21"/>
      <c r="C311" s="292" t="s">
        <v>1733</v>
      </c>
      <c r="D311" s="67"/>
      <c r="E311" s="1022"/>
      <c r="F311" s="972"/>
      <c r="G311" s="1022"/>
      <c r="H311" s="972" t="s">
        <v>405</v>
      </c>
      <c r="I311" s="418"/>
      <c r="J311" s="711"/>
      <c r="K311" s="711"/>
      <c r="L311" s="711"/>
      <c r="M311" s="711"/>
      <c r="N311" s="1022"/>
      <c r="O311" s="1022"/>
      <c r="P311" s="1022"/>
      <c r="Q311" s="1140"/>
      <c r="R311" s="972"/>
      <c r="S311" s="972"/>
      <c r="T311" s="703"/>
      <c r="U311" s="229"/>
      <c r="V311" s="229"/>
      <c r="W311" s="288"/>
      <c r="X311" s="288"/>
      <c r="Y311" s="288"/>
      <c r="Z311" s="288"/>
      <c r="AA311" s="229"/>
      <c r="AB311" s="229"/>
      <c r="AC311" s="229"/>
      <c r="AD311" s="229"/>
      <c r="AE311" s="705"/>
      <c r="AF311" s="705"/>
      <c r="AG311" s="705"/>
      <c r="AH311" s="705"/>
      <c r="AI311" s="705"/>
      <c r="AJ311" s="703"/>
      <c r="AK311" s="703"/>
      <c r="AL311" s="703"/>
      <c r="AM311" s="703"/>
      <c r="AN311" s="703"/>
      <c r="AO311" s="703"/>
      <c r="AP311" s="703"/>
      <c r="AQ311" s="703"/>
      <c r="AR311" s="703"/>
      <c r="AS311" s="703"/>
      <c r="AT311" s="703"/>
      <c r="AU311" s="703"/>
      <c r="AV311" s="703"/>
      <c r="AW311" s="703"/>
      <c r="AX311" s="703"/>
      <c r="AY311" s="703"/>
      <c r="AZ311" s="703"/>
      <c r="BA311" s="703"/>
    </row>
    <row r="312" spans="1:59">
      <c r="B312" s="21"/>
      <c r="C312" s="292" t="s">
        <v>1734</v>
      </c>
      <c r="D312" s="67"/>
      <c r="E312" s="1022"/>
      <c r="F312" s="972"/>
      <c r="G312" s="1022"/>
      <c r="H312" s="972" t="s">
        <v>405</v>
      </c>
      <c r="I312" s="711"/>
      <c r="J312" s="711"/>
      <c r="K312" s="711"/>
      <c r="L312" s="711"/>
      <c r="M312" s="711"/>
      <c r="N312" s="1022"/>
      <c r="O312" s="1022"/>
      <c r="P312" s="1022"/>
      <c r="Q312" s="1140"/>
      <c r="R312" s="972"/>
      <c r="S312" s="972"/>
      <c r="T312" s="703"/>
      <c r="U312" s="229"/>
      <c r="V312" s="229"/>
      <c r="W312" s="288"/>
      <c r="X312" s="288"/>
      <c r="Y312" s="288"/>
      <c r="Z312" s="288"/>
      <c r="AA312" s="229"/>
      <c r="AB312" s="229"/>
      <c r="AC312" s="229"/>
      <c r="AD312" s="229"/>
      <c r="AE312" s="705"/>
      <c r="AF312" s="705"/>
      <c r="AG312" s="705"/>
      <c r="AH312" s="705"/>
      <c r="AI312" s="705"/>
      <c r="AJ312" s="703"/>
      <c r="AK312" s="703"/>
      <c r="AL312" s="703"/>
      <c r="AM312" s="703"/>
      <c r="AN312" s="703"/>
      <c r="AO312" s="703"/>
      <c r="AP312" s="703"/>
      <c r="AQ312" s="703"/>
      <c r="AR312" s="703"/>
      <c r="AS312" s="703"/>
      <c r="AT312" s="703"/>
      <c r="AU312" s="703"/>
      <c r="AV312" s="703"/>
      <c r="AW312" s="703"/>
      <c r="AX312" s="703"/>
      <c r="AY312" s="703"/>
      <c r="AZ312" s="703"/>
      <c r="BA312" s="703"/>
    </row>
    <row r="313" spans="1:59">
      <c r="B313" s="21"/>
      <c r="C313" s="327" t="s">
        <v>1735</v>
      </c>
      <c r="D313" s="67"/>
      <c r="E313" s="1024"/>
      <c r="F313" s="974"/>
      <c r="G313" s="1024"/>
      <c r="H313" s="974" t="s">
        <v>464</v>
      </c>
      <c r="I313" s="711"/>
      <c r="J313" s="711"/>
      <c r="K313" s="711"/>
      <c r="L313" s="711"/>
      <c r="M313" s="711"/>
      <c r="N313" s="1024"/>
      <c r="O313" s="1024"/>
      <c r="P313" s="1141"/>
      <c r="Q313" s="1142"/>
      <c r="R313" s="974"/>
      <c r="S313" s="974"/>
      <c r="T313" s="703"/>
      <c r="U313" s="229"/>
      <c r="V313" s="229"/>
      <c r="W313" s="288"/>
      <c r="X313" s="288"/>
      <c r="Y313" s="288"/>
      <c r="Z313" s="288"/>
      <c r="AA313" s="229"/>
      <c r="AB313" s="229"/>
      <c r="AC313" s="229"/>
      <c r="AD313" s="229"/>
      <c r="AE313" s="705"/>
      <c r="AF313" s="705"/>
      <c r="AG313" s="705"/>
      <c r="AH313" s="705"/>
      <c r="AI313" s="705"/>
      <c r="AJ313" s="703"/>
      <c r="AK313" s="703"/>
      <c r="AL313" s="703"/>
      <c r="AM313" s="703"/>
      <c r="AN313" s="703"/>
      <c r="AO313" s="703"/>
      <c r="AP313" s="703"/>
      <c r="AQ313" s="703"/>
      <c r="AR313" s="703"/>
      <c r="AS313" s="703"/>
      <c r="AT313" s="703"/>
      <c r="AU313" s="703"/>
      <c r="AV313" s="703"/>
      <c r="AW313" s="703"/>
      <c r="AX313" s="703"/>
      <c r="AY313" s="703"/>
      <c r="AZ313" s="703"/>
      <c r="BA313" s="703"/>
    </row>
    <row r="314" spans="1:59">
      <c r="B314" s="18"/>
      <c r="C314" s="18"/>
      <c r="D314" s="18"/>
      <c r="E314" s="18"/>
      <c r="F314" s="18"/>
      <c r="G314" s="18"/>
      <c r="N314" s="703"/>
      <c r="O314" s="703"/>
      <c r="P314" s="703"/>
      <c r="Q314" s="703"/>
      <c r="R314" s="703"/>
      <c r="S314" s="703"/>
      <c r="T314" s="703"/>
      <c r="U314" s="703"/>
      <c r="V314" s="703"/>
      <c r="W314" s="703"/>
      <c r="X314" s="703"/>
      <c r="Y314" s="703"/>
      <c r="Z314" s="703"/>
      <c r="AA314" s="703"/>
      <c r="AB314" s="703"/>
      <c r="AC314" s="703"/>
      <c r="AD314" s="703"/>
      <c r="AE314" s="703"/>
      <c r="AF314" s="703"/>
      <c r="AG314" s="703"/>
      <c r="AH314" s="703"/>
      <c r="AI314" s="703"/>
      <c r="AJ314" s="703"/>
      <c r="AK314" s="703"/>
      <c r="AL314" s="703"/>
      <c r="AM314" s="703"/>
      <c r="AN314" s="703"/>
      <c r="AO314" s="703"/>
      <c r="AP314" s="703"/>
      <c r="AQ314" s="18"/>
    </row>
    <row r="315" spans="1:59">
      <c r="B315" s="18"/>
      <c r="C315" s="18"/>
      <c r="D315" s="18"/>
      <c r="E315" s="18"/>
      <c r="F315" s="18"/>
      <c r="G315" s="18"/>
      <c r="N315" s="703"/>
      <c r="O315" s="703"/>
      <c r="P315" s="703"/>
      <c r="Q315" s="703"/>
      <c r="R315" s="703"/>
      <c r="S315" s="703"/>
      <c r="T315" s="703"/>
      <c r="U315" s="703"/>
      <c r="V315" s="703"/>
      <c r="W315" s="703"/>
      <c r="X315" s="703"/>
      <c r="Y315" s="703"/>
      <c r="Z315" s="703"/>
      <c r="AA315" s="703"/>
      <c r="AB315" s="703"/>
      <c r="AC315" s="703"/>
      <c r="AD315" s="703"/>
      <c r="AE315" s="703"/>
      <c r="AF315" s="703"/>
      <c r="AG315" s="703"/>
      <c r="AH315" s="703"/>
      <c r="AI315" s="703"/>
      <c r="AJ315" s="703"/>
      <c r="AK315" s="703"/>
      <c r="AL315" s="703"/>
      <c r="AM315" s="703"/>
      <c r="AN315" s="703"/>
      <c r="AO315" s="703"/>
      <c r="AP315" s="703"/>
      <c r="AQ315" s="18"/>
    </row>
    <row r="316" spans="1:59">
      <c r="B316" s="18"/>
      <c r="C316" s="18"/>
      <c r="D316" s="18"/>
      <c r="E316" s="18"/>
      <c r="F316" s="18"/>
      <c r="G316" s="18"/>
      <c r="N316" s="703"/>
      <c r="O316" s="703"/>
      <c r="P316" s="703"/>
      <c r="Q316" s="703"/>
      <c r="R316" s="703"/>
      <c r="S316" s="703"/>
      <c r="T316" s="703"/>
      <c r="U316" s="703"/>
      <c r="V316" s="703"/>
      <c r="W316" s="703"/>
      <c r="X316" s="703"/>
      <c r="Y316" s="703"/>
      <c r="Z316" s="703"/>
      <c r="AA316" s="703"/>
      <c r="AB316" s="703"/>
      <c r="AC316" s="703"/>
      <c r="AD316" s="703"/>
      <c r="AE316" s="703"/>
      <c r="AF316" s="703"/>
      <c r="AG316" s="703"/>
      <c r="AH316" s="703"/>
      <c r="AI316" s="703"/>
      <c r="AJ316" s="703"/>
      <c r="AK316" s="703"/>
      <c r="AL316" s="703"/>
      <c r="AM316" s="703"/>
      <c r="AN316" s="703"/>
      <c r="AO316" s="703"/>
      <c r="AP316" s="703"/>
      <c r="AQ316" s="18"/>
    </row>
    <row r="317" spans="1:59">
      <c r="B317" s="18"/>
      <c r="C317" s="18"/>
      <c r="D317" s="18"/>
      <c r="E317" s="18"/>
      <c r="F317" s="18"/>
      <c r="G317" s="18"/>
      <c r="N317" s="703"/>
      <c r="O317" s="703"/>
      <c r="P317" s="703"/>
      <c r="Q317" s="703"/>
      <c r="R317" s="703"/>
      <c r="S317" s="703"/>
      <c r="T317" s="703"/>
      <c r="U317" s="703"/>
      <c r="V317" s="703"/>
      <c r="W317" s="703"/>
      <c r="X317" s="703"/>
      <c r="Y317" s="703"/>
      <c r="Z317" s="703"/>
      <c r="AA317" s="703"/>
      <c r="AB317" s="703"/>
      <c r="AC317" s="703"/>
      <c r="AD317" s="703"/>
      <c r="AE317" s="703"/>
      <c r="AF317" s="703"/>
      <c r="AG317" s="703"/>
      <c r="AH317" s="703"/>
      <c r="AI317" s="703"/>
      <c r="AJ317" s="703"/>
      <c r="AK317" s="703"/>
      <c r="AL317" s="703"/>
      <c r="AM317" s="703"/>
      <c r="AN317" s="703"/>
      <c r="AO317" s="703"/>
      <c r="AP317" s="703"/>
      <c r="AQ317" s="18"/>
    </row>
    <row r="318" spans="1:59">
      <c r="B318" s="18"/>
      <c r="C318" s="18"/>
      <c r="D318" s="18"/>
      <c r="E318" s="18"/>
      <c r="F318" s="18"/>
      <c r="G318" s="18"/>
      <c r="N318" s="703"/>
      <c r="O318" s="703"/>
      <c r="P318" s="703"/>
      <c r="Q318" s="703"/>
      <c r="R318" s="703"/>
      <c r="S318" s="703"/>
      <c r="T318" s="703"/>
      <c r="U318" s="703"/>
      <c r="V318" s="703"/>
      <c r="W318" s="703"/>
      <c r="X318" s="703"/>
      <c r="Y318" s="703"/>
      <c r="Z318" s="703"/>
      <c r="AA318" s="703"/>
      <c r="AB318" s="703"/>
      <c r="AC318" s="703"/>
      <c r="AD318" s="703"/>
      <c r="AE318" s="703"/>
      <c r="AF318" s="703"/>
      <c r="AG318" s="703"/>
      <c r="AH318" s="703"/>
      <c r="AI318" s="703"/>
      <c r="AJ318" s="703"/>
      <c r="AK318" s="703"/>
      <c r="AL318" s="703"/>
      <c r="AM318" s="703"/>
      <c r="AN318" s="703"/>
      <c r="AO318" s="703"/>
      <c r="AP318" s="703"/>
      <c r="AQ318" s="18"/>
    </row>
    <row r="319" spans="1:59">
      <c r="B319" s="18"/>
      <c r="C319" s="18"/>
      <c r="D319" s="18"/>
      <c r="E319" s="18"/>
      <c r="F319" s="18"/>
      <c r="G319" s="18"/>
      <c r="N319" s="703"/>
      <c r="O319" s="703"/>
      <c r="P319" s="703"/>
      <c r="Q319" s="703"/>
      <c r="R319" s="703"/>
      <c r="S319" s="703"/>
      <c r="T319" s="703"/>
      <c r="U319" s="703"/>
      <c r="V319" s="703"/>
      <c r="W319" s="703"/>
      <c r="X319" s="703"/>
      <c r="Y319" s="703"/>
      <c r="Z319" s="703"/>
      <c r="AA319" s="703"/>
      <c r="AB319" s="703"/>
      <c r="AC319" s="703"/>
      <c r="AD319" s="703"/>
      <c r="AE319" s="703"/>
      <c r="AF319" s="703"/>
      <c r="AG319" s="703"/>
      <c r="AH319" s="703"/>
      <c r="AI319" s="703"/>
      <c r="AJ319" s="703"/>
      <c r="AK319" s="703"/>
      <c r="AL319" s="703"/>
      <c r="AM319" s="703"/>
      <c r="AN319" s="703"/>
      <c r="AO319" s="703"/>
      <c r="AP319" s="703"/>
      <c r="AQ319" s="18"/>
    </row>
    <row r="320" spans="1:59">
      <c r="B320" s="18"/>
      <c r="C320" s="18"/>
      <c r="D320" s="18"/>
      <c r="E320" s="18"/>
      <c r="F320" s="18"/>
      <c r="G320" s="18"/>
      <c r="N320" s="703"/>
      <c r="O320" s="703"/>
      <c r="P320" s="703"/>
      <c r="Q320" s="703"/>
      <c r="R320" s="703"/>
      <c r="S320" s="703"/>
      <c r="T320" s="703"/>
      <c r="U320" s="703"/>
      <c r="V320" s="703"/>
      <c r="W320" s="703"/>
      <c r="X320" s="703"/>
      <c r="Y320" s="703"/>
      <c r="Z320" s="703"/>
      <c r="AA320" s="703"/>
      <c r="AB320" s="703"/>
      <c r="AC320" s="703"/>
      <c r="AD320" s="703"/>
      <c r="AE320" s="703"/>
      <c r="AF320" s="703"/>
      <c r="AG320" s="703"/>
      <c r="AH320" s="703"/>
      <c r="AI320" s="703"/>
      <c r="AJ320" s="703"/>
      <c r="AK320" s="703"/>
      <c r="AL320" s="703"/>
      <c r="AM320" s="703"/>
      <c r="AN320" s="703"/>
      <c r="AO320" s="703"/>
      <c r="AP320" s="703"/>
      <c r="AQ320" s="18"/>
    </row>
    <row r="321" spans="2:43">
      <c r="B321" s="18"/>
      <c r="C321" s="18"/>
      <c r="D321" s="18"/>
      <c r="E321" s="18"/>
      <c r="F321" s="18"/>
      <c r="G321" s="18"/>
      <c r="N321" s="703"/>
      <c r="O321" s="703"/>
      <c r="P321" s="703"/>
      <c r="Q321" s="703"/>
      <c r="R321" s="703"/>
      <c r="S321" s="703"/>
      <c r="T321" s="703"/>
      <c r="U321" s="703"/>
      <c r="V321" s="703"/>
      <c r="W321" s="703"/>
      <c r="X321" s="703"/>
      <c r="Y321" s="703"/>
      <c r="Z321" s="703"/>
      <c r="AA321" s="703"/>
      <c r="AB321" s="703"/>
      <c r="AC321" s="703"/>
      <c r="AD321" s="703"/>
      <c r="AE321" s="703"/>
      <c r="AF321" s="703"/>
      <c r="AG321" s="703"/>
      <c r="AH321" s="703"/>
      <c r="AI321" s="703"/>
      <c r="AJ321" s="703"/>
      <c r="AK321" s="703"/>
      <c r="AL321" s="703"/>
      <c r="AM321" s="703"/>
      <c r="AN321" s="703"/>
      <c r="AO321" s="703"/>
      <c r="AP321" s="703"/>
      <c r="AQ321" s="18"/>
    </row>
    <row r="322" spans="2:43">
      <c r="B322" s="18"/>
      <c r="C322" s="18"/>
      <c r="D322" s="18"/>
      <c r="E322" s="18"/>
      <c r="F322" s="18"/>
      <c r="G322" s="18"/>
      <c r="N322" s="703"/>
      <c r="O322" s="703"/>
      <c r="P322" s="703"/>
      <c r="Q322" s="703"/>
      <c r="R322" s="703"/>
      <c r="S322" s="703"/>
      <c r="T322" s="703"/>
      <c r="U322" s="703"/>
      <c r="V322" s="703"/>
      <c r="W322" s="703"/>
      <c r="X322" s="703"/>
      <c r="Y322" s="703"/>
      <c r="Z322" s="703"/>
      <c r="AA322" s="703"/>
      <c r="AB322" s="703"/>
      <c r="AC322" s="703"/>
      <c r="AD322" s="703"/>
      <c r="AE322" s="703"/>
      <c r="AF322" s="703"/>
      <c r="AG322" s="703"/>
      <c r="AH322" s="703"/>
      <c r="AI322" s="703"/>
      <c r="AJ322" s="703"/>
      <c r="AK322" s="703"/>
      <c r="AL322" s="703"/>
      <c r="AM322" s="703"/>
      <c r="AN322" s="703"/>
      <c r="AO322" s="703"/>
      <c r="AP322" s="703"/>
      <c r="AQ322" s="18"/>
    </row>
    <row r="323" spans="2:43">
      <c r="N323" s="703"/>
      <c r="O323" s="703"/>
      <c r="P323" s="703"/>
      <c r="Q323" s="703"/>
      <c r="R323" s="703"/>
      <c r="S323" s="703"/>
      <c r="T323" s="703"/>
      <c r="U323" s="703"/>
      <c r="V323" s="703"/>
      <c r="W323" s="703"/>
      <c r="X323" s="703"/>
      <c r="Y323" s="703"/>
      <c r="Z323" s="703"/>
      <c r="AA323" s="703"/>
      <c r="AB323" s="703"/>
      <c r="AC323" s="703"/>
      <c r="AD323" s="703"/>
      <c r="AE323" s="703"/>
      <c r="AF323" s="703"/>
      <c r="AG323" s="703"/>
      <c r="AH323" s="703"/>
      <c r="AI323" s="703"/>
      <c r="AJ323" s="703"/>
      <c r="AK323" s="703"/>
      <c r="AL323" s="703"/>
      <c r="AM323" s="703"/>
      <c r="AN323" s="703"/>
      <c r="AO323" s="703"/>
      <c r="AP323" s="703"/>
      <c r="AQ323" s="18"/>
    </row>
    <row r="324" spans="2:43">
      <c r="N324" s="703"/>
      <c r="O324" s="703"/>
      <c r="P324" s="703"/>
      <c r="Q324" s="703"/>
      <c r="R324" s="703"/>
      <c r="S324" s="703"/>
      <c r="T324" s="703"/>
      <c r="U324" s="703"/>
      <c r="V324" s="703"/>
      <c r="W324" s="703"/>
      <c r="X324" s="703"/>
      <c r="Y324" s="703"/>
      <c r="Z324" s="703"/>
      <c r="AA324" s="703"/>
      <c r="AB324" s="703"/>
      <c r="AC324" s="703"/>
      <c r="AD324" s="703"/>
      <c r="AE324" s="703"/>
      <c r="AF324" s="703"/>
      <c r="AG324" s="703"/>
      <c r="AH324" s="703"/>
      <c r="AI324" s="703"/>
      <c r="AJ324" s="703"/>
      <c r="AK324" s="703"/>
      <c r="AL324" s="703"/>
      <c r="AM324" s="703"/>
      <c r="AN324" s="703"/>
      <c r="AO324" s="703"/>
      <c r="AP324" s="703"/>
      <c r="AQ324" s="18"/>
    </row>
    <row r="325" spans="2:43">
      <c r="N325" s="703"/>
      <c r="O325" s="703"/>
      <c r="P325" s="703"/>
      <c r="Q325" s="703"/>
      <c r="R325" s="703"/>
      <c r="S325" s="703"/>
      <c r="T325" s="703"/>
      <c r="U325" s="703"/>
      <c r="V325" s="703"/>
      <c r="W325" s="703"/>
      <c r="X325" s="703"/>
      <c r="Y325" s="703"/>
      <c r="Z325" s="703"/>
      <c r="AA325" s="703"/>
      <c r="AB325" s="703"/>
      <c r="AC325" s="703"/>
      <c r="AD325" s="703"/>
      <c r="AE325" s="703"/>
      <c r="AF325" s="703"/>
      <c r="AG325" s="703"/>
      <c r="AH325" s="703"/>
      <c r="AI325" s="703"/>
      <c r="AJ325" s="703"/>
      <c r="AK325" s="703"/>
      <c r="AL325" s="703"/>
      <c r="AM325" s="703"/>
      <c r="AN325" s="703"/>
      <c r="AO325" s="703"/>
      <c r="AP325" s="703"/>
      <c r="AQ325" s="18"/>
    </row>
    <row r="326" spans="2:43">
      <c r="N326" s="703"/>
      <c r="O326" s="703"/>
      <c r="P326" s="703"/>
      <c r="Q326" s="703"/>
      <c r="R326" s="703"/>
      <c r="S326" s="703"/>
      <c r="T326" s="703"/>
      <c r="U326" s="703"/>
      <c r="V326" s="703"/>
      <c r="W326" s="703"/>
      <c r="X326" s="703"/>
      <c r="Y326" s="703"/>
      <c r="Z326" s="703"/>
      <c r="AA326" s="703"/>
      <c r="AB326" s="703"/>
      <c r="AC326" s="703"/>
      <c r="AD326" s="703"/>
      <c r="AE326" s="703"/>
      <c r="AF326" s="703"/>
      <c r="AG326" s="703"/>
      <c r="AH326" s="703"/>
      <c r="AI326" s="703"/>
      <c r="AJ326" s="703"/>
      <c r="AK326" s="703"/>
      <c r="AL326" s="703"/>
      <c r="AM326" s="703"/>
      <c r="AN326" s="703"/>
      <c r="AO326" s="703"/>
      <c r="AP326" s="703"/>
      <c r="AQ326" s="18"/>
    </row>
    <row r="327" spans="2:43">
      <c r="N327" s="703"/>
      <c r="O327" s="703"/>
      <c r="P327" s="703"/>
      <c r="Q327" s="703"/>
      <c r="R327" s="703"/>
      <c r="S327" s="703"/>
      <c r="T327" s="703"/>
      <c r="U327" s="703"/>
      <c r="V327" s="703"/>
      <c r="W327" s="703"/>
      <c r="X327" s="703"/>
      <c r="Y327" s="703"/>
      <c r="Z327" s="703"/>
      <c r="AA327" s="703"/>
      <c r="AB327" s="703"/>
      <c r="AC327" s="703"/>
      <c r="AD327" s="703"/>
      <c r="AE327" s="703"/>
      <c r="AF327" s="703"/>
      <c r="AG327" s="703"/>
      <c r="AH327" s="703"/>
      <c r="AI327" s="703"/>
      <c r="AJ327" s="703"/>
      <c r="AK327" s="703"/>
      <c r="AL327" s="703"/>
      <c r="AM327" s="703"/>
      <c r="AN327" s="703"/>
      <c r="AO327" s="703"/>
      <c r="AP327" s="703"/>
      <c r="AQ327" s="18"/>
    </row>
    <row r="328" spans="2:43">
      <c r="N328" s="703"/>
      <c r="O328" s="703"/>
      <c r="P328" s="703"/>
      <c r="Q328" s="703"/>
      <c r="R328" s="703"/>
      <c r="S328" s="703"/>
      <c r="T328" s="703"/>
      <c r="U328" s="703"/>
      <c r="V328" s="703"/>
      <c r="W328" s="703"/>
      <c r="X328" s="703"/>
      <c r="Y328" s="703"/>
      <c r="Z328" s="703"/>
      <c r="AA328" s="703"/>
      <c r="AB328" s="703"/>
      <c r="AC328" s="703"/>
      <c r="AD328" s="703"/>
      <c r="AE328" s="703"/>
      <c r="AF328" s="703"/>
      <c r="AG328" s="703"/>
      <c r="AH328" s="703"/>
      <c r="AI328" s="703"/>
      <c r="AJ328" s="703"/>
      <c r="AK328" s="703"/>
      <c r="AL328" s="703"/>
      <c r="AM328" s="703"/>
      <c r="AN328" s="703"/>
      <c r="AO328" s="703"/>
      <c r="AP328" s="703"/>
      <c r="AQ328" s="18"/>
    </row>
    <row r="329" spans="2:43">
      <c r="N329" s="703"/>
      <c r="O329" s="703"/>
      <c r="P329" s="703"/>
      <c r="Q329" s="703"/>
      <c r="R329" s="703"/>
      <c r="S329" s="703"/>
      <c r="T329" s="703"/>
      <c r="U329" s="703"/>
      <c r="V329" s="703"/>
      <c r="W329" s="703"/>
      <c r="X329" s="703"/>
      <c r="Y329" s="703"/>
      <c r="Z329" s="703"/>
      <c r="AA329" s="703"/>
      <c r="AB329" s="703"/>
      <c r="AC329" s="703"/>
      <c r="AD329" s="703"/>
      <c r="AE329" s="703"/>
      <c r="AF329" s="703"/>
      <c r="AG329" s="703"/>
      <c r="AH329" s="703"/>
      <c r="AI329" s="703"/>
      <c r="AJ329" s="703"/>
      <c r="AK329" s="703"/>
      <c r="AL329" s="703"/>
      <c r="AM329" s="703"/>
      <c r="AN329" s="703"/>
      <c r="AO329" s="703"/>
      <c r="AP329" s="703"/>
      <c r="AQ329" s="18"/>
    </row>
    <row r="330" spans="2:43">
      <c r="N330" s="703"/>
      <c r="O330" s="703"/>
      <c r="P330" s="703"/>
      <c r="Q330" s="703"/>
      <c r="R330" s="703"/>
      <c r="S330" s="703"/>
      <c r="T330" s="703"/>
      <c r="U330" s="703"/>
      <c r="V330" s="703"/>
      <c r="W330" s="703"/>
      <c r="X330" s="703"/>
      <c r="Y330" s="703"/>
      <c r="Z330" s="703"/>
      <c r="AA330" s="703"/>
      <c r="AB330" s="703"/>
      <c r="AC330" s="703"/>
      <c r="AD330" s="703"/>
      <c r="AE330" s="703"/>
      <c r="AF330" s="703"/>
      <c r="AG330" s="703"/>
      <c r="AH330" s="703"/>
      <c r="AI330" s="703"/>
      <c r="AJ330" s="703"/>
      <c r="AK330" s="703"/>
      <c r="AL330" s="703"/>
      <c r="AM330" s="703"/>
      <c r="AN330" s="703"/>
      <c r="AO330" s="703"/>
      <c r="AP330" s="703"/>
      <c r="AQ330" s="18"/>
    </row>
    <row r="331" spans="2:43">
      <c r="N331" s="703"/>
      <c r="O331" s="703"/>
      <c r="P331" s="703"/>
      <c r="Q331" s="703"/>
      <c r="R331" s="703"/>
      <c r="S331" s="703"/>
      <c r="T331" s="703"/>
      <c r="U331" s="703"/>
      <c r="V331" s="703"/>
      <c r="W331" s="703"/>
      <c r="X331" s="703"/>
      <c r="Y331" s="703"/>
      <c r="Z331" s="703"/>
      <c r="AA331" s="703"/>
      <c r="AB331" s="703"/>
      <c r="AC331" s="703"/>
      <c r="AD331" s="703"/>
      <c r="AE331" s="703"/>
      <c r="AF331" s="703"/>
      <c r="AG331" s="703"/>
      <c r="AH331" s="703"/>
      <c r="AI331" s="703"/>
      <c r="AJ331" s="703"/>
      <c r="AK331" s="703"/>
      <c r="AL331" s="703"/>
      <c r="AM331" s="703"/>
      <c r="AN331" s="703"/>
      <c r="AO331" s="703"/>
      <c r="AP331" s="703"/>
      <c r="AQ331" s="18"/>
    </row>
    <row r="332" spans="2:43">
      <c r="N332" s="703"/>
      <c r="O332" s="703"/>
      <c r="P332" s="703"/>
      <c r="Q332" s="703"/>
      <c r="R332" s="703"/>
      <c r="S332" s="703"/>
      <c r="T332" s="703"/>
      <c r="U332" s="703"/>
      <c r="V332" s="703"/>
      <c r="W332" s="703"/>
      <c r="X332" s="703"/>
      <c r="Y332" s="703"/>
      <c r="Z332" s="703"/>
      <c r="AA332" s="703"/>
      <c r="AB332" s="703"/>
      <c r="AC332" s="703"/>
      <c r="AD332" s="703"/>
      <c r="AE332" s="703"/>
      <c r="AF332" s="703"/>
      <c r="AG332" s="703"/>
      <c r="AH332" s="703"/>
      <c r="AI332" s="703"/>
      <c r="AJ332" s="703"/>
      <c r="AK332" s="703"/>
      <c r="AL332" s="703"/>
      <c r="AM332" s="703"/>
      <c r="AN332" s="703"/>
      <c r="AO332" s="703"/>
      <c r="AP332" s="703"/>
      <c r="AQ332" s="18"/>
    </row>
    <row r="333" spans="2:43">
      <c r="N333" s="703"/>
      <c r="O333" s="703"/>
      <c r="P333" s="703"/>
      <c r="Q333" s="703"/>
      <c r="R333" s="703"/>
      <c r="S333" s="703"/>
      <c r="T333" s="703"/>
      <c r="U333" s="703"/>
      <c r="V333" s="703"/>
      <c r="W333" s="703"/>
      <c r="X333" s="703"/>
      <c r="Y333" s="703"/>
      <c r="Z333" s="703"/>
      <c r="AA333" s="703"/>
      <c r="AB333" s="703"/>
      <c r="AC333" s="703"/>
      <c r="AD333" s="703"/>
      <c r="AE333" s="703"/>
      <c r="AF333" s="703"/>
      <c r="AG333" s="703"/>
      <c r="AH333" s="703"/>
      <c r="AI333" s="703"/>
      <c r="AJ333" s="703"/>
      <c r="AK333" s="703"/>
      <c r="AL333" s="703"/>
      <c r="AM333" s="703"/>
      <c r="AN333" s="703"/>
      <c r="AO333" s="703"/>
      <c r="AP333" s="703"/>
      <c r="AQ333" s="18"/>
    </row>
    <row r="334" spans="2:43">
      <c r="N334" s="703"/>
      <c r="O334" s="703"/>
      <c r="P334" s="703"/>
      <c r="Q334" s="703"/>
      <c r="R334" s="703"/>
      <c r="S334" s="703"/>
      <c r="T334" s="703"/>
      <c r="U334" s="703"/>
      <c r="V334" s="703"/>
      <c r="W334" s="703"/>
      <c r="X334" s="703"/>
      <c r="Y334" s="703"/>
      <c r="Z334" s="703"/>
      <c r="AA334" s="703"/>
      <c r="AB334" s="703"/>
      <c r="AC334" s="703"/>
      <c r="AD334" s="703"/>
      <c r="AE334" s="703"/>
      <c r="AF334" s="703"/>
      <c r="AG334" s="703"/>
      <c r="AH334" s="703"/>
      <c r="AI334" s="703"/>
      <c r="AJ334" s="703"/>
      <c r="AK334" s="703"/>
      <c r="AL334" s="703"/>
      <c r="AM334" s="703"/>
      <c r="AN334" s="703"/>
      <c r="AO334" s="703"/>
      <c r="AP334" s="703"/>
      <c r="AQ334" s="18"/>
    </row>
    <row r="335" spans="2:43">
      <c r="N335" s="703"/>
      <c r="O335" s="703"/>
      <c r="P335" s="703"/>
      <c r="Q335" s="703"/>
      <c r="R335" s="703"/>
      <c r="S335" s="703"/>
      <c r="T335" s="703"/>
      <c r="U335" s="703"/>
      <c r="V335" s="703"/>
      <c r="W335" s="703"/>
      <c r="X335" s="703"/>
      <c r="Y335" s="703"/>
      <c r="Z335" s="703"/>
      <c r="AA335" s="703"/>
      <c r="AB335" s="703"/>
      <c r="AC335" s="703"/>
      <c r="AD335" s="703"/>
      <c r="AE335" s="703"/>
      <c r="AF335" s="703"/>
      <c r="AG335" s="703"/>
      <c r="AH335" s="703"/>
      <c r="AI335" s="703"/>
      <c r="AJ335" s="703"/>
      <c r="AK335" s="703"/>
      <c r="AL335" s="703"/>
      <c r="AM335" s="703"/>
      <c r="AN335" s="703"/>
      <c r="AO335" s="703"/>
      <c r="AP335" s="703"/>
      <c r="AQ335" s="18"/>
    </row>
    <row r="336" spans="2:43">
      <c r="N336" s="703"/>
      <c r="O336" s="703"/>
      <c r="P336" s="703"/>
      <c r="Q336" s="703"/>
      <c r="R336" s="703"/>
      <c r="S336" s="703"/>
      <c r="T336" s="703"/>
      <c r="U336" s="703"/>
      <c r="V336" s="703"/>
      <c r="W336" s="703"/>
      <c r="X336" s="703"/>
      <c r="Y336" s="703"/>
      <c r="Z336" s="703"/>
      <c r="AA336" s="703"/>
      <c r="AB336" s="703"/>
      <c r="AC336" s="703"/>
      <c r="AD336" s="703"/>
      <c r="AE336" s="703"/>
      <c r="AF336" s="703"/>
      <c r="AG336" s="703"/>
      <c r="AH336" s="703"/>
      <c r="AI336" s="703"/>
      <c r="AJ336" s="703"/>
      <c r="AK336" s="703"/>
      <c r="AL336" s="703"/>
      <c r="AM336" s="703"/>
      <c r="AN336" s="703"/>
      <c r="AO336" s="703"/>
      <c r="AP336" s="703"/>
      <c r="AQ336" s="18"/>
    </row>
    <row r="337" spans="14:43">
      <c r="N337" s="703"/>
      <c r="O337" s="703"/>
      <c r="P337" s="703"/>
      <c r="Q337" s="703"/>
      <c r="R337" s="703"/>
      <c r="S337" s="703"/>
      <c r="T337" s="703"/>
      <c r="U337" s="703"/>
      <c r="V337" s="703"/>
      <c r="W337" s="703"/>
      <c r="X337" s="703"/>
      <c r="Y337" s="703"/>
      <c r="Z337" s="703"/>
      <c r="AA337" s="703"/>
      <c r="AB337" s="703"/>
      <c r="AC337" s="703"/>
      <c r="AD337" s="703"/>
      <c r="AE337" s="703"/>
      <c r="AF337" s="703"/>
      <c r="AG337" s="703"/>
      <c r="AH337" s="703"/>
      <c r="AI337" s="703"/>
      <c r="AJ337" s="703"/>
      <c r="AK337" s="703"/>
      <c r="AL337" s="703"/>
      <c r="AM337" s="703"/>
      <c r="AN337" s="703"/>
      <c r="AO337" s="703"/>
      <c r="AP337" s="703"/>
      <c r="AQ337" s="18"/>
    </row>
    <row r="338" spans="14:43">
      <c r="N338" s="703"/>
      <c r="O338" s="703"/>
      <c r="P338" s="703"/>
      <c r="Q338" s="703"/>
      <c r="R338" s="703"/>
      <c r="S338" s="703"/>
      <c r="T338" s="703"/>
      <c r="U338" s="703"/>
      <c r="V338" s="703"/>
      <c r="W338" s="703"/>
      <c r="X338" s="703"/>
      <c r="Y338" s="703"/>
      <c r="Z338" s="703"/>
      <c r="AA338" s="703"/>
      <c r="AB338" s="703"/>
      <c r="AC338" s="703"/>
      <c r="AD338" s="703"/>
      <c r="AE338" s="703"/>
      <c r="AF338" s="703"/>
      <c r="AG338" s="703"/>
      <c r="AH338" s="703"/>
      <c r="AI338" s="703"/>
      <c r="AJ338" s="703"/>
      <c r="AK338" s="703"/>
      <c r="AL338" s="703"/>
      <c r="AM338" s="703"/>
      <c r="AN338" s="703"/>
      <c r="AO338" s="703"/>
      <c r="AP338" s="703"/>
      <c r="AQ338" s="18"/>
    </row>
    <row r="339" spans="14:43">
      <c r="N339" s="703"/>
      <c r="O339" s="703"/>
      <c r="P339" s="703"/>
      <c r="Q339" s="703"/>
      <c r="R339" s="703"/>
      <c r="S339" s="703"/>
      <c r="T339" s="703"/>
      <c r="U339" s="703"/>
      <c r="V339" s="703"/>
      <c r="W339" s="703"/>
      <c r="X339" s="703"/>
      <c r="Y339" s="703"/>
      <c r="Z339" s="703"/>
      <c r="AA339" s="703"/>
      <c r="AB339" s="703"/>
      <c r="AC339" s="703"/>
      <c r="AD339" s="703"/>
      <c r="AE339" s="703"/>
      <c r="AF339" s="703"/>
      <c r="AG339" s="703"/>
      <c r="AH339" s="703"/>
      <c r="AI339" s="703"/>
      <c r="AJ339" s="703"/>
      <c r="AK339" s="703"/>
      <c r="AL339" s="703"/>
      <c r="AM339" s="703"/>
      <c r="AN339" s="703"/>
      <c r="AO339" s="703"/>
      <c r="AP339" s="703"/>
      <c r="AQ339" s="18"/>
    </row>
    <row r="340" spans="14:43">
      <c r="N340" s="703"/>
      <c r="O340" s="703"/>
      <c r="P340" s="703"/>
      <c r="Q340" s="703"/>
      <c r="R340" s="703"/>
      <c r="S340" s="703"/>
      <c r="T340" s="703"/>
      <c r="U340" s="703"/>
      <c r="V340" s="703"/>
      <c r="W340" s="703"/>
      <c r="X340" s="703"/>
      <c r="Y340" s="703"/>
      <c r="Z340" s="703"/>
      <c r="AA340" s="703"/>
      <c r="AB340" s="703"/>
      <c r="AC340" s="703"/>
      <c r="AD340" s="703"/>
      <c r="AE340" s="703"/>
      <c r="AF340" s="703"/>
      <c r="AG340" s="703"/>
      <c r="AH340" s="703"/>
      <c r="AI340" s="703"/>
      <c r="AJ340" s="703"/>
      <c r="AK340" s="703"/>
      <c r="AL340" s="703"/>
      <c r="AM340" s="703"/>
      <c r="AN340" s="703"/>
      <c r="AO340" s="703"/>
      <c r="AP340" s="703"/>
      <c r="AQ340" s="18"/>
    </row>
    <row r="341" spans="14:43">
      <c r="N341" s="703"/>
      <c r="O341" s="703"/>
      <c r="P341" s="703"/>
      <c r="Q341" s="703"/>
      <c r="R341" s="703"/>
      <c r="S341" s="703"/>
      <c r="T341" s="703"/>
      <c r="U341" s="703"/>
      <c r="V341" s="703"/>
      <c r="W341" s="703"/>
      <c r="X341" s="703"/>
      <c r="Y341" s="703"/>
      <c r="Z341" s="703"/>
      <c r="AA341" s="703"/>
      <c r="AB341" s="703"/>
      <c r="AC341" s="703"/>
      <c r="AD341" s="703"/>
      <c r="AE341" s="703"/>
      <c r="AF341" s="703"/>
      <c r="AG341" s="703"/>
      <c r="AH341" s="703"/>
      <c r="AI341" s="703"/>
      <c r="AJ341" s="703"/>
      <c r="AK341" s="703"/>
      <c r="AL341" s="703"/>
      <c r="AM341" s="703"/>
      <c r="AN341" s="703"/>
      <c r="AO341" s="703"/>
      <c r="AP341" s="703"/>
      <c r="AQ341" s="18"/>
    </row>
    <row r="342" spans="14:43">
      <c r="N342" s="703"/>
      <c r="O342" s="703"/>
      <c r="P342" s="703"/>
      <c r="Q342" s="703"/>
      <c r="R342" s="703"/>
      <c r="S342" s="703"/>
      <c r="T342" s="703"/>
      <c r="U342" s="703"/>
      <c r="V342" s="703"/>
      <c r="W342" s="703"/>
      <c r="X342" s="703"/>
      <c r="Y342" s="703"/>
      <c r="Z342" s="703"/>
      <c r="AA342" s="703"/>
      <c r="AB342" s="703"/>
      <c r="AC342" s="703"/>
      <c r="AD342" s="703"/>
      <c r="AE342" s="703"/>
      <c r="AF342" s="703"/>
      <c r="AG342" s="703"/>
      <c r="AH342" s="703"/>
      <c r="AI342" s="703"/>
      <c r="AJ342" s="703"/>
      <c r="AK342" s="703"/>
      <c r="AL342" s="703"/>
      <c r="AM342" s="703"/>
      <c r="AN342" s="703"/>
      <c r="AO342" s="703"/>
      <c r="AP342" s="703"/>
      <c r="AQ342" s="18"/>
    </row>
    <row r="343" spans="14:43">
      <c r="N343" s="703"/>
      <c r="O343" s="703"/>
      <c r="P343" s="703"/>
      <c r="Q343" s="703"/>
      <c r="R343" s="703"/>
      <c r="S343" s="703"/>
      <c r="T343" s="703"/>
      <c r="U343" s="703"/>
      <c r="V343" s="703"/>
      <c r="W343" s="703"/>
      <c r="X343" s="703"/>
      <c r="Y343" s="703"/>
      <c r="Z343" s="703"/>
      <c r="AA343" s="703"/>
      <c r="AB343" s="703"/>
      <c r="AC343" s="703"/>
      <c r="AD343" s="703"/>
      <c r="AE343" s="703"/>
      <c r="AF343" s="703"/>
      <c r="AG343" s="703"/>
      <c r="AH343" s="703"/>
      <c r="AI343" s="703"/>
      <c r="AJ343" s="703"/>
      <c r="AK343" s="703"/>
      <c r="AL343" s="703"/>
      <c r="AM343" s="703"/>
      <c r="AN343" s="703"/>
      <c r="AO343" s="703"/>
      <c r="AP343" s="703"/>
      <c r="AQ343" s="18"/>
    </row>
    <row r="344" spans="14:43">
      <c r="N344" s="703"/>
      <c r="O344" s="703"/>
      <c r="P344" s="703"/>
      <c r="Q344" s="703"/>
      <c r="R344" s="703"/>
      <c r="S344" s="703"/>
      <c r="T344" s="703"/>
      <c r="U344" s="703"/>
      <c r="V344" s="703"/>
      <c r="W344" s="703"/>
      <c r="X344" s="703"/>
      <c r="Y344" s="703"/>
      <c r="Z344" s="703"/>
      <c r="AA344" s="703"/>
      <c r="AB344" s="703"/>
      <c r="AC344" s="703"/>
      <c r="AD344" s="703"/>
      <c r="AE344" s="703"/>
      <c r="AF344" s="703"/>
      <c r="AG344" s="703"/>
      <c r="AH344" s="703"/>
      <c r="AI344" s="703"/>
      <c r="AJ344" s="703"/>
      <c r="AK344" s="703"/>
      <c r="AL344" s="703"/>
      <c r="AM344" s="703"/>
      <c r="AN344" s="703"/>
      <c r="AO344" s="703"/>
      <c r="AP344" s="703"/>
      <c r="AQ344" s="18"/>
    </row>
    <row r="345" spans="14:43">
      <c r="N345" s="703"/>
      <c r="O345" s="703"/>
      <c r="P345" s="703"/>
      <c r="Q345" s="703"/>
      <c r="R345" s="703"/>
      <c r="S345" s="703"/>
      <c r="T345" s="703"/>
      <c r="U345" s="703"/>
      <c r="V345" s="703"/>
      <c r="W345" s="703"/>
      <c r="X345" s="703"/>
      <c r="Y345" s="703"/>
      <c r="Z345" s="703"/>
      <c r="AA345" s="703"/>
      <c r="AB345" s="703"/>
      <c r="AC345" s="703"/>
      <c r="AD345" s="703"/>
      <c r="AE345" s="703"/>
      <c r="AF345" s="703"/>
      <c r="AG345" s="703"/>
      <c r="AH345" s="703"/>
      <c r="AI345" s="703"/>
      <c r="AJ345" s="703"/>
      <c r="AK345" s="703"/>
      <c r="AL345" s="703"/>
      <c r="AM345" s="703"/>
      <c r="AN345" s="703"/>
      <c r="AO345" s="703"/>
      <c r="AP345" s="703"/>
      <c r="AQ345" s="18"/>
    </row>
    <row r="346" spans="14:43">
      <c r="N346" s="703"/>
      <c r="O346" s="703"/>
      <c r="P346" s="703"/>
      <c r="Q346" s="703"/>
      <c r="R346" s="703"/>
      <c r="S346" s="703"/>
      <c r="T346" s="703"/>
      <c r="U346" s="703"/>
      <c r="V346" s="703"/>
      <c r="W346" s="703"/>
      <c r="X346" s="703"/>
      <c r="Y346" s="703"/>
      <c r="Z346" s="703"/>
      <c r="AA346" s="703"/>
      <c r="AB346" s="703"/>
      <c r="AC346" s="703"/>
      <c r="AD346" s="703"/>
      <c r="AE346" s="703"/>
      <c r="AF346" s="703"/>
      <c r="AG346" s="703"/>
      <c r="AH346" s="703"/>
      <c r="AI346" s="703"/>
      <c r="AJ346" s="703"/>
      <c r="AK346" s="703"/>
      <c r="AL346" s="703"/>
      <c r="AM346" s="703"/>
      <c r="AN346" s="703"/>
      <c r="AO346" s="703"/>
      <c r="AP346" s="703"/>
      <c r="AQ346" s="18"/>
    </row>
    <row r="347" spans="14:43">
      <c r="N347" s="703"/>
      <c r="O347" s="703"/>
      <c r="P347" s="703"/>
      <c r="Q347" s="703"/>
      <c r="R347" s="703"/>
      <c r="S347" s="703"/>
      <c r="T347" s="703"/>
      <c r="U347" s="703"/>
      <c r="V347" s="703"/>
      <c r="W347" s="703"/>
      <c r="X347" s="703"/>
      <c r="Y347" s="703"/>
      <c r="Z347" s="703"/>
      <c r="AA347" s="703"/>
      <c r="AB347" s="703"/>
      <c r="AC347" s="703"/>
      <c r="AD347" s="703"/>
      <c r="AE347" s="703"/>
      <c r="AF347" s="703"/>
      <c r="AG347" s="703"/>
      <c r="AH347" s="703"/>
      <c r="AI347" s="703"/>
      <c r="AJ347" s="703"/>
      <c r="AK347" s="703"/>
      <c r="AL347" s="703"/>
      <c r="AM347" s="703"/>
      <c r="AN347" s="703"/>
      <c r="AO347" s="703"/>
      <c r="AP347" s="703"/>
      <c r="AQ347" s="18"/>
    </row>
    <row r="348" spans="14:43">
      <c r="N348" s="703"/>
      <c r="O348" s="703"/>
      <c r="P348" s="703"/>
      <c r="Q348" s="703"/>
      <c r="R348" s="703"/>
      <c r="S348" s="703"/>
      <c r="T348" s="703"/>
      <c r="U348" s="703"/>
      <c r="V348" s="703"/>
      <c r="W348" s="703"/>
      <c r="X348" s="703"/>
      <c r="Y348" s="703"/>
      <c r="Z348" s="703"/>
      <c r="AA348" s="703"/>
      <c r="AB348" s="703"/>
      <c r="AC348" s="703"/>
      <c r="AD348" s="703"/>
      <c r="AE348" s="703"/>
      <c r="AF348" s="703"/>
      <c r="AG348" s="703"/>
      <c r="AH348" s="703"/>
      <c r="AI348" s="703"/>
      <c r="AJ348" s="703"/>
      <c r="AK348" s="703"/>
      <c r="AL348" s="703"/>
      <c r="AM348" s="703"/>
      <c r="AN348" s="703"/>
      <c r="AO348" s="703"/>
      <c r="AP348" s="703"/>
      <c r="AQ348" s="18"/>
    </row>
    <row r="349" spans="14:43">
      <c r="N349" s="703"/>
      <c r="O349" s="703"/>
      <c r="P349" s="703"/>
      <c r="Q349" s="703"/>
      <c r="R349" s="703"/>
      <c r="S349" s="703"/>
      <c r="T349" s="703"/>
      <c r="U349" s="703"/>
      <c r="V349" s="703"/>
      <c r="W349" s="703"/>
      <c r="X349" s="703"/>
      <c r="Y349" s="703"/>
      <c r="Z349" s="703"/>
      <c r="AA349" s="703"/>
      <c r="AB349" s="703"/>
      <c r="AC349" s="703"/>
      <c r="AD349" s="703"/>
      <c r="AE349" s="703"/>
      <c r="AF349" s="703"/>
      <c r="AG349" s="703"/>
      <c r="AH349" s="703"/>
      <c r="AI349" s="703"/>
      <c r="AJ349" s="703"/>
      <c r="AK349" s="703"/>
      <c r="AL349" s="703"/>
      <c r="AM349" s="703"/>
      <c r="AN349" s="703"/>
      <c r="AO349" s="703"/>
      <c r="AP349" s="703"/>
      <c r="AQ349" s="18"/>
    </row>
    <row r="350" spans="14:43">
      <c r="N350" s="703"/>
      <c r="O350" s="703"/>
      <c r="P350" s="703"/>
      <c r="Q350" s="703"/>
      <c r="R350" s="703"/>
      <c r="S350" s="703"/>
      <c r="T350" s="703"/>
      <c r="U350" s="703"/>
      <c r="V350" s="703"/>
      <c r="W350" s="703"/>
      <c r="X350" s="703"/>
      <c r="Y350" s="703"/>
      <c r="Z350" s="703"/>
      <c r="AA350" s="703"/>
      <c r="AB350" s="703"/>
      <c r="AC350" s="703"/>
      <c r="AD350" s="703"/>
      <c r="AE350" s="703"/>
      <c r="AF350" s="703"/>
      <c r="AG350" s="703"/>
      <c r="AH350" s="703"/>
      <c r="AI350" s="703"/>
      <c r="AJ350" s="703"/>
      <c r="AK350" s="703"/>
      <c r="AL350" s="703"/>
      <c r="AM350" s="703"/>
      <c r="AN350" s="703"/>
      <c r="AO350" s="703"/>
      <c r="AP350" s="703"/>
      <c r="AQ350" s="18"/>
    </row>
    <row r="351" spans="14:43">
      <c r="N351" s="703"/>
      <c r="O351" s="703"/>
      <c r="P351" s="703"/>
      <c r="Q351" s="703"/>
      <c r="R351" s="703"/>
      <c r="S351" s="703"/>
      <c r="T351" s="703"/>
      <c r="U351" s="703"/>
      <c r="V351" s="703"/>
      <c r="W351" s="703"/>
      <c r="X351" s="703"/>
      <c r="Y351" s="703"/>
      <c r="Z351" s="703"/>
      <c r="AA351" s="703"/>
      <c r="AB351" s="703"/>
      <c r="AC351" s="703"/>
      <c r="AD351" s="703"/>
      <c r="AE351" s="703"/>
      <c r="AF351" s="703"/>
      <c r="AG351" s="703"/>
      <c r="AH351" s="703"/>
      <c r="AI351" s="703"/>
      <c r="AJ351" s="703"/>
      <c r="AK351" s="703"/>
      <c r="AL351" s="703"/>
      <c r="AM351" s="703"/>
      <c r="AN351" s="703"/>
      <c r="AO351" s="703"/>
      <c r="AP351" s="703"/>
      <c r="AQ351" s="18"/>
    </row>
    <row r="352" spans="14:43">
      <c r="N352" s="703"/>
      <c r="O352" s="703"/>
      <c r="P352" s="703"/>
      <c r="Q352" s="703"/>
      <c r="R352" s="703"/>
      <c r="S352" s="703"/>
      <c r="T352" s="703"/>
      <c r="U352" s="703"/>
      <c r="V352" s="703"/>
      <c r="W352" s="703"/>
      <c r="X352" s="703"/>
      <c r="Y352" s="703"/>
      <c r="Z352" s="703"/>
      <c r="AA352" s="703"/>
      <c r="AB352" s="703"/>
      <c r="AC352" s="703"/>
      <c r="AD352" s="703"/>
      <c r="AE352" s="703"/>
      <c r="AF352" s="703"/>
      <c r="AG352" s="703"/>
      <c r="AH352" s="703"/>
      <c r="AI352" s="703"/>
      <c r="AJ352" s="703"/>
      <c r="AK352" s="703"/>
      <c r="AL352" s="703"/>
      <c r="AM352" s="703"/>
      <c r="AN352" s="703"/>
      <c r="AO352" s="703"/>
      <c r="AP352" s="703"/>
      <c r="AQ352" s="18"/>
    </row>
    <row r="353" spans="14:43">
      <c r="N353" s="703"/>
      <c r="O353" s="703"/>
      <c r="P353" s="703"/>
      <c r="Q353" s="703"/>
      <c r="R353" s="703"/>
      <c r="S353" s="703"/>
      <c r="T353" s="703"/>
      <c r="U353" s="703"/>
      <c r="V353" s="703"/>
      <c r="W353" s="703"/>
      <c r="X353" s="703"/>
      <c r="Y353" s="703"/>
      <c r="Z353" s="703"/>
      <c r="AA353" s="703"/>
      <c r="AB353" s="703"/>
      <c r="AC353" s="703"/>
      <c r="AD353" s="703"/>
      <c r="AE353" s="703"/>
      <c r="AF353" s="703"/>
      <c r="AG353" s="703"/>
      <c r="AH353" s="703"/>
      <c r="AI353" s="703"/>
      <c r="AJ353" s="703"/>
      <c r="AK353" s="703"/>
      <c r="AL353" s="703"/>
      <c r="AM353" s="703"/>
      <c r="AN353" s="703"/>
      <c r="AO353" s="703"/>
      <c r="AP353" s="703"/>
      <c r="AQ353" s="18"/>
    </row>
    <row r="354" spans="14:43">
      <c r="N354" s="703"/>
      <c r="O354" s="703"/>
      <c r="P354" s="703"/>
      <c r="Q354" s="703"/>
      <c r="R354" s="703"/>
      <c r="S354" s="703"/>
      <c r="T354" s="703"/>
      <c r="U354" s="703"/>
      <c r="V354" s="703"/>
      <c r="W354" s="703"/>
      <c r="X354" s="703"/>
      <c r="Y354" s="703"/>
      <c r="Z354" s="703"/>
      <c r="AA354" s="703"/>
      <c r="AB354" s="703"/>
      <c r="AC354" s="703"/>
      <c r="AD354" s="703"/>
      <c r="AE354" s="703"/>
      <c r="AF354" s="703"/>
      <c r="AG354" s="703"/>
      <c r="AH354" s="703"/>
      <c r="AI354" s="703"/>
      <c r="AJ354" s="703"/>
      <c r="AK354" s="703"/>
      <c r="AL354" s="703"/>
      <c r="AM354" s="703"/>
      <c r="AN354" s="703"/>
      <c r="AO354" s="703"/>
      <c r="AP354" s="703"/>
      <c r="AQ354" s="18"/>
    </row>
    <row r="355" spans="14:43">
      <c r="N355" s="703"/>
      <c r="O355" s="703"/>
      <c r="P355" s="703"/>
      <c r="Q355" s="703"/>
      <c r="R355" s="703"/>
      <c r="S355" s="703"/>
      <c r="T355" s="703"/>
      <c r="U355" s="703"/>
      <c r="V355" s="703"/>
      <c r="W355" s="703"/>
      <c r="X355" s="703"/>
      <c r="Y355" s="703"/>
      <c r="Z355" s="703"/>
      <c r="AA355" s="703"/>
      <c r="AB355" s="703"/>
      <c r="AC355" s="703"/>
      <c r="AD355" s="703"/>
      <c r="AE355" s="703"/>
      <c r="AF355" s="703"/>
      <c r="AG355" s="703"/>
      <c r="AH355" s="703"/>
      <c r="AI355" s="703"/>
      <c r="AJ355" s="703"/>
      <c r="AK355" s="703"/>
      <c r="AL355" s="703"/>
      <c r="AM355" s="703"/>
      <c r="AN355" s="703"/>
      <c r="AO355" s="703"/>
      <c r="AP355" s="703"/>
      <c r="AQ355" s="18"/>
    </row>
    <row r="356" spans="14:43">
      <c r="N356" s="703"/>
      <c r="O356" s="703"/>
      <c r="P356" s="703"/>
      <c r="Q356" s="703"/>
      <c r="R356" s="703"/>
      <c r="S356" s="703"/>
      <c r="T356" s="703"/>
      <c r="U356" s="703"/>
      <c r="V356" s="703"/>
      <c r="W356" s="703"/>
      <c r="X356" s="703"/>
      <c r="Y356" s="703"/>
      <c r="Z356" s="703"/>
      <c r="AA356" s="703"/>
      <c r="AB356" s="703"/>
      <c r="AC356" s="703"/>
      <c r="AD356" s="703"/>
      <c r="AE356" s="703"/>
      <c r="AF356" s="703"/>
      <c r="AG356" s="703"/>
      <c r="AH356" s="703"/>
      <c r="AI356" s="703"/>
      <c r="AJ356" s="703"/>
      <c r="AK356" s="703"/>
      <c r="AL356" s="703"/>
      <c r="AM356" s="703"/>
      <c r="AN356" s="703"/>
      <c r="AO356" s="703"/>
      <c r="AP356" s="703"/>
      <c r="AQ356" s="18"/>
    </row>
    <row r="357" spans="14:43">
      <c r="N357" s="703"/>
      <c r="O357" s="703"/>
      <c r="P357" s="703"/>
      <c r="Q357" s="703"/>
      <c r="R357" s="703"/>
      <c r="S357" s="703"/>
      <c r="T357" s="703"/>
      <c r="U357" s="703"/>
      <c r="V357" s="703"/>
      <c r="W357" s="703"/>
      <c r="X357" s="703"/>
      <c r="Y357" s="703"/>
      <c r="Z357" s="703"/>
      <c r="AA357" s="703"/>
      <c r="AB357" s="703"/>
      <c r="AC357" s="703"/>
      <c r="AD357" s="703"/>
      <c r="AE357" s="703"/>
      <c r="AF357" s="703"/>
      <c r="AG357" s="703"/>
      <c r="AH357" s="703"/>
      <c r="AI357" s="703"/>
      <c r="AJ357" s="703"/>
      <c r="AK357" s="703"/>
      <c r="AL357" s="703"/>
      <c r="AM357" s="703"/>
      <c r="AN357" s="703"/>
      <c r="AO357" s="703"/>
      <c r="AP357" s="703"/>
      <c r="AQ357" s="18"/>
    </row>
    <row r="358" spans="14:43">
      <c r="N358" s="703"/>
      <c r="O358" s="703"/>
      <c r="P358" s="703"/>
      <c r="Q358" s="703"/>
      <c r="R358" s="703"/>
      <c r="S358" s="703"/>
      <c r="T358" s="703"/>
      <c r="U358" s="703"/>
      <c r="V358" s="703"/>
      <c r="W358" s="703"/>
      <c r="X358" s="703"/>
      <c r="Y358" s="703"/>
      <c r="Z358" s="703"/>
      <c r="AA358" s="703"/>
      <c r="AB358" s="703"/>
      <c r="AC358" s="703"/>
      <c r="AD358" s="703"/>
      <c r="AE358" s="703"/>
      <c r="AF358" s="703"/>
      <c r="AG358" s="703"/>
      <c r="AH358" s="703"/>
      <c r="AI358" s="703"/>
      <c r="AJ358" s="703"/>
      <c r="AK358" s="703"/>
      <c r="AL358" s="703"/>
      <c r="AM358" s="703"/>
      <c r="AN358" s="703"/>
      <c r="AO358" s="703"/>
      <c r="AP358" s="703"/>
      <c r="AQ358" s="18"/>
    </row>
    <row r="359" spans="14:43">
      <c r="N359" s="703"/>
      <c r="O359" s="703"/>
      <c r="P359" s="703"/>
      <c r="Q359" s="703"/>
      <c r="R359" s="703"/>
      <c r="S359" s="703"/>
      <c r="T359" s="703"/>
      <c r="U359" s="703"/>
      <c r="V359" s="703"/>
      <c r="W359" s="703"/>
      <c r="X359" s="703"/>
      <c r="Y359" s="703"/>
      <c r="Z359" s="703"/>
      <c r="AA359" s="703"/>
      <c r="AB359" s="703"/>
      <c r="AC359" s="703"/>
      <c r="AD359" s="703"/>
      <c r="AE359" s="703"/>
      <c r="AF359" s="703"/>
      <c r="AG359" s="703"/>
      <c r="AH359" s="703"/>
      <c r="AI359" s="703"/>
      <c r="AJ359" s="703"/>
      <c r="AK359" s="703"/>
      <c r="AL359" s="703"/>
      <c r="AM359" s="703"/>
      <c r="AN359" s="703"/>
      <c r="AO359" s="703"/>
      <c r="AP359" s="703"/>
      <c r="AQ359" s="18"/>
    </row>
    <row r="360" spans="14:43">
      <c r="N360" s="703"/>
      <c r="O360" s="703"/>
      <c r="P360" s="703"/>
      <c r="Q360" s="703"/>
      <c r="R360" s="703"/>
      <c r="S360" s="703"/>
      <c r="T360" s="703"/>
      <c r="U360" s="703"/>
      <c r="V360" s="703"/>
      <c r="W360" s="703"/>
      <c r="X360" s="703"/>
      <c r="Y360" s="703"/>
      <c r="Z360" s="703"/>
      <c r="AA360" s="703"/>
      <c r="AB360" s="703"/>
      <c r="AC360" s="703"/>
      <c r="AD360" s="703"/>
      <c r="AE360" s="703"/>
      <c r="AF360" s="703"/>
      <c r="AG360" s="703"/>
      <c r="AH360" s="703"/>
      <c r="AI360" s="703"/>
      <c r="AJ360" s="703"/>
      <c r="AK360" s="703"/>
      <c r="AL360" s="703"/>
      <c r="AM360" s="703"/>
      <c r="AN360" s="703"/>
      <c r="AO360" s="703"/>
      <c r="AP360" s="703"/>
      <c r="AQ360" s="18"/>
    </row>
    <row r="361" spans="14:43">
      <c r="N361" s="703"/>
      <c r="O361" s="703"/>
      <c r="P361" s="703"/>
      <c r="Q361" s="703"/>
      <c r="R361" s="703"/>
      <c r="S361" s="703"/>
      <c r="T361" s="703"/>
      <c r="U361" s="703"/>
      <c r="V361" s="703"/>
      <c r="W361" s="703"/>
      <c r="X361" s="703"/>
      <c r="Y361" s="703"/>
      <c r="Z361" s="703"/>
      <c r="AA361" s="703"/>
      <c r="AB361" s="703"/>
      <c r="AC361" s="703"/>
      <c r="AD361" s="703"/>
      <c r="AE361" s="703"/>
      <c r="AF361" s="703"/>
      <c r="AG361" s="703"/>
      <c r="AH361" s="703"/>
      <c r="AI361" s="703"/>
      <c r="AJ361" s="703"/>
      <c r="AK361" s="703"/>
      <c r="AL361" s="703"/>
      <c r="AM361" s="703"/>
      <c r="AN361" s="703"/>
      <c r="AO361" s="703"/>
      <c r="AP361" s="703"/>
      <c r="AQ361" s="18"/>
    </row>
    <row r="362" spans="14:43">
      <c r="N362" s="703"/>
      <c r="O362" s="703"/>
      <c r="P362" s="703"/>
      <c r="Q362" s="703"/>
      <c r="R362" s="703"/>
      <c r="S362" s="703"/>
      <c r="T362" s="703"/>
      <c r="U362" s="703"/>
      <c r="V362" s="703"/>
      <c r="W362" s="703"/>
      <c r="X362" s="703"/>
      <c r="Y362" s="703"/>
      <c r="Z362" s="703"/>
      <c r="AA362" s="703"/>
      <c r="AB362" s="703"/>
      <c r="AC362" s="703"/>
      <c r="AD362" s="703"/>
      <c r="AE362" s="703"/>
      <c r="AF362" s="703"/>
      <c r="AG362" s="703"/>
      <c r="AH362" s="703"/>
      <c r="AI362" s="703"/>
      <c r="AJ362" s="703"/>
      <c r="AK362" s="703"/>
      <c r="AL362" s="703"/>
      <c r="AM362" s="703"/>
      <c r="AN362" s="703"/>
      <c r="AO362" s="703"/>
      <c r="AP362" s="703"/>
      <c r="AQ362" s="18"/>
    </row>
    <row r="363" spans="14:43">
      <c r="N363" s="703"/>
      <c r="O363" s="703"/>
      <c r="P363" s="703"/>
      <c r="Q363" s="703"/>
      <c r="R363" s="703"/>
      <c r="S363" s="703"/>
      <c r="T363" s="703"/>
      <c r="U363" s="703"/>
      <c r="V363" s="703"/>
      <c r="W363" s="703"/>
      <c r="X363" s="703"/>
      <c r="Y363" s="703"/>
      <c r="Z363" s="703"/>
      <c r="AA363" s="703"/>
      <c r="AB363" s="703"/>
      <c r="AC363" s="703"/>
      <c r="AD363" s="703"/>
      <c r="AE363" s="703"/>
      <c r="AF363" s="703"/>
      <c r="AG363" s="703"/>
      <c r="AH363" s="703"/>
      <c r="AI363" s="703"/>
      <c r="AJ363" s="703"/>
      <c r="AK363" s="703"/>
      <c r="AL363" s="703"/>
      <c r="AM363" s="703"/>
      <c r="AN363" s="703"/>
      <c r="AO363" s="703"/>
      <c r="AP363" s="703"/>
      <c r="AQ363" s="18"/>
    </row>
    <row r="364" spans="14:43">
      <c r="N364" s="703"/>
      <c r="O364" s="703"/>
      <c r="P364" s="703"/>
      <c r="Q364" s="703"/>
      <c r="R364" s="703"/>
      <c r="S364" s="703"/>
      <c r="T364" s="703"/>
      <c r="U364" s="703"/>
      <c r="V364" s="703"/>
      <c r="W364" s="703"/>
      <c r="X364" s="703"/>
      <c r="Y364" s="703"/>
      <c r="Z364" s="703"/>
      <c r="AA364" s="703"/>
      <c r="AB364" s="703"/>
      <c r="AC364" s="703"/>
      <c r="AD364" s="703"/>
      <c r="AE364" s="703"/>
      <c r="AF364" s="703"/>
      <c r="AG364" s="703"/>
      <c r="AH364" s="703"/>
      <c r="AI364" s="703"/>
      <c r="AJ364" s="703"/>
      <c r="AK364" s="703"/>
      <c r="AL364" s="703"/>
      <c r="AM364" s="703"/>
      <c r="AN364" s="703"/>
      <c r="AO364" s="703"/>
      <c r="AP364" s="703"/>
      <c r="AQ364" s="18"/>
    </row>
    <row r="365" spans="14:43">
      <c r="N365" s="703"/>
      <c r="O365" s="703"/>
      <c r="P365" s="703"/>
      <c r="Q365" s="703"/>
      <c r="R365" s="703"/>
      <c r="S365" s="703"/>
      <c r="T365" s="703"/>
      <c r="U365" s="703"/>
      <c r="V365" s="703"/>
      <c r="W365" s="703"/>
      <c r="X365" s="703"/>
      <c r="Y365" s="703"/>
      <c r="Z365" s="703"/>
      <c r="AA365" s="703"/>
      <c r="AB365" s="703"/>
      <c r="AC365" s="703"/>
      <c r="AD365" s="703"/>
      <c r="AE365" s="703"/>
      <c r="AF365" s="703"/>
      <c r="AG365" s="703"/>
      <c r="AH365" s="703"/>
      <c r="AI365" s="703"/>
      <c r="AJ365" s="703"/>
      <c r="AK365" s="703"/>
      <c r="AL365" s="703"/>
      <c r="AM365" s="703"/>
      <c r="AN365" s="703"/>
      <c r="AO365" s="703"/>
      <c r="AP365" s="703"/>
      <c r="AQ365" s="18"/>
    </row>
    <row r="366" spans="14:43">
      <c r="N366" s="703"/>
      <c r="O366" s="703"/>
      <c r="P366" s="703"/>
      <c r="Q366" s="703"/>
      <c r="R366" s="703"/>
      <c r="S366" s="703"/>
      <c r="T366" s="703"/>
      <c r="U366" s="703"/>
      <c r="V366" s="703"/>
      <c r="W366" s="703"/>
      <c r="X366" s="703"/>
      <c r="Y366" s="703"/>
      <c r="Z366" s="703"/>
      <c r="AA366" s="703"/>
      <c r="AB366" s="703"/>
      <c r="AC366" s="703"/>
      <c r="AD366" s="703"/>
      <c r="AE366" s="703"/>
      <c r="AF366" s="703"/>
      <c r="AG366" s="703"/>
      <c r="AH366" s="703"/>
      <c r="AI366" s="703"/>
      <c r="AJ366" s="703"/>
      <c r="AK366" s="703"/>
      <c r="AL366" s="703"/>
      <c r="AM366" s="703"/>
      <c r="AN366" s="703"/>
      <c r="AO366" s="703"/>
      <c r="AP366" s="703"/>
      <c r="AQ366" s="18"/>
    </row>
    <row r="367" spans="14:43">
      <c r="N367" s="703"/>
      <c r="O367" s="703"/>
      <c r="P367" s="703"/>
      <c r="Q367" s="703"/>
      <c r="R367" s="703"/>
      <c r="S367" s="703"/>
      <c r="T367" s="703"/>
      <c r="U367" s="703"/>
      <c r="V367" s="703"/>
      <c r="W367" s="703"/>
      <c r="X367" s="703"/>
      <c r="Y367" s="703"/>
      <c r="Z367" s="703"/>
      <c r="AA367" s="703"/>
      <c r="AB367" s="703"/>
      <c r="AC367" s="703"/>
      <c r="AD367" s="703"/>
      <c r="AE367" s="703"/>
      <c r="AF367" s="703"/>
      <c r="AG367" s="703"/>
      <c r="AH367" s="703"/>
      <c r="AI367" s="703"/>
      <c r="AJ367" s="703"/>
      <c r="AK367" s="703"/>
      <c r="AL367" s="703"/>
      <c r="AM367" s="703"/>
      <c r="AN367" s="703"/>
      <c r="AO367" s="703"/>
      <c r="AP367" s="703"/>
      <c r="AQ367" s="18"/>
    </row>
    <row r="368" spans="14:43">
      <c r="N368" s="703"/>
      <c r="O368" s="703"/>
      <c r="P368" s="703"/>
      <c r="Q368" s="703"/>
      <c r="R368" s="703"/>
      <c r="S368" s="703"/>
      <c r="T368" s="703"/>
      <c r="U368" s="703"/>
      <c r="V368" s="703"/>
      <c r="W368" s="703"/>
      <c r="X368" s="703"/>
      <c r="Y368" s="703"/>
      <c r="Z368" s="703"/>
      <c r="AA368" s="703"/>
      <c r="AB368" s="703"/>
      <c r="AC368" s="703"/>
      <c r="AD368" s="703"/>
      <c r="AE368" s="703"/>
      <c r="AF368" s="703"/>
      <c r="AG368" s="703"/>
      <c r="AH368" s="703"/>
      <c r="AI368" s="703"/>
      <c r="AJ368" s="703"/>
      <c r="AK368" s="703"/>
      <c r="AL368" s="703"/>
      <c r="AM368" s="703"/>
      <c r="AN368" s="703"/>
      <c r="AO368" s="703"/>
      <c r="AP368" s="703"/>
      <c r="AQ368" s="18"/>
    </row>
    <row r="369" spans="14:43">
      <c r="N369" s="703"/>
      <c r="O369" s="703"/>
      <c r="P369" s="703"/>
      <c r="Q369" s="703"/>
      <c r="R369" s="703"/>
      <c r="S369" s="703"/>
      <c r="T369" s="703"/>
      <c r="U369" s="703"/>
      <c r="V369" s="703"/>
      <c r="W369" s="703"/>
      <c r="X369" s="703"/>
      <c r="Y369" s="703"/>
      <c r="Z369" s="703"/>
      <c r="AA369" s="703"/>
      <c r="AB369" s="703"/>
      <c r="AC369" s="703"/>
      <c r="AD369" s="703"/>
      <c r="AE369" s="703"/>
      <c r="AF369" s="703"/>
      <c r="AG369" s="703"/>
      <c r="AH369" s="703"/>
      <c r="AI369" s="703"/>
      <c r="AJ369" s="703"/>
      <c r="AK369" s="703"/>
      <c r="AL369" s="703"/>
      <c r="AM369" s="703"/>
      <c r="AN369" s="703"/>
      <c r="AO369" s="703"/>
      <c r="AP369" s="703"/>
      <c r="AQ369" s="18"/>
    </row>
    <row r="370" spans="14:43">
      <c r="N370" s="703"/>
      <c r="O370" s="703"/>
      <c r="P370" s="703"/>
      <c r="Q370" s="703"/>
      <c r="R370" s="703"/>
      <c r="S370" s="703"/>
      <c r="T370" s="703"/>
      <c r="U370" s="703"/>
      <c r="V370" s="703"/>
      <c r="W370" s="703"/>
      <c r="X370" s="703"/>
      <c r="Y370" s="703"/>
      <c r="Z370" s="703"/>
      <c r="AB370" s="703"/>
      <c r="AC370" s="703"/>
      <c r="AD370" s="703"/>
      <c r="AE370" s="703"/>
      <c r="AF370" s="703"/>
      <c r="AG370" s="703"/>
      <c r="AH370" s="703"/>
      <c r="AI370" s="703"/>
      <c r="AJ370" s="703"/>
      <c r="AK370" s="703"/>
      <c r="AL370" s="703"/>
      <c r="AM370" s="703"/>
      <c r="AN370" s="703"/>
      <c r="AO370" s="703"/>
      <c r="AP370" s="703"/>
      <c r="AQ370" s="18"/>
    </row>
    <row r="371" spans="14:43">
      <c r="AB371" s="703"/>
      <c r="AC371" s="703"/>
      <c r="AD371" s="703"/>
      <c r="AE371" s="703"/>
      <c r="AF371" s="703"/>
      <c r="AG371" s="703"/>
      <c r="AH371" s="703"/>
      <c r="AI371" s="703"/>
      <c r="AJ371" s="703"/>
      <c r="AK371" s="703"/>
      <c r="AL371" s="703"/>
      <c r="AM371" s="703"/>
      <c r="AN371" s="703"/>
      <c r="AO371" s="703"/>
      <c r="AP371" s="703"/>
      <c r="AQ371" s="18"/>
    </row>
    <row r="372" spans="14:43">
      <c r="AB372" s="703"/>
      <c r="AC372" s="703"/>
      <c r="AD372" s="703"/>
      <c r="AE372" s="703"/>
      <c r="AF372" s="703"/>
      <c r="AG372" s="703"/>
      <c r="AH372" s="703"/>
      <c r="AI372" s="703"/>
      <c r="AJ372" s="703"/>
      <c r="AK372" s="703"/>
      <c r="AL372" s="703"/>
      <c r="AM372" s="703"/>
      <c r="AN372" s="703"/>
      <c r="AO372" s="703"/>
      <c r="AP372" s="703"/>
      <c r="AQ372" s="18"/>
    </row>
    <row r="373" spans="14:43">
      <c r="AB373" s="703"/>
      <c r="AC373" s="703"/>
      <c r="AD373" s="703"/>
      <c r="AE373" s="703"/>
      <c r="AF373" s="703"/>
      <c r="AG373" s="703"/>
      <c r="AH373" s="703"/>
      <c r="AI373" s="703"/>
      <c r="AJ373" s="703"/>
      <c r="AK373" s="703"/>
      <c r="AL373" s="703"/>
      <c r="AM373" s="703"/>
      <c r="AN373" s="703"/>
      <c r="AO373" s="703"/>
      <c r="AP373" s="703"/>
      <c r="AQ373" s="18"/>
    </row>
    <row r="374" spans="14:43">
      <c r="AB374" s="703"/>
      <c r="AC374" s="703"/>
      <c r="AD374" s="703"/>
      <c r="AE374" s="703"/>
      <c r="AF374" s="703"/>
      <c r="AG374" s="703"/>
      <c r="AH374" s="703"/>
      <c r="AI374" s="703"/>
      <c r="AJ374" s="703"/>
      <c r="AK374" s="703"/>
      <c r="AL374" s="703"/>
      <c r="AM374" s="703"/>
      <c r="AN374" s="703"/>
      <c r="AO374" s="703"/>
      <c r="AP374" s="703"/>
      <c r="AQ374" s="18"/>
    </row>
    <row r="375" spans="14:43">
      <c r="AB375" s="703"/>
      <c r="AC375" s="703"/>
      <c r="AD375" s="703"/>
      <c r="AE375" s="703"/>
      <c r="AF375" s="703"/>
      <c r="AG375" s="703"/>
      <c r="AH375" s="703"/>
      <c r="AI375" s="703"/>
      <c r="AJ375" s="703"/>
      <c r="AK375" s="703"/>
      <c r="AL375" s="703"/>
      <c r="AM375" s="703"/>
      <c r="AN375" s="703"/>
      <c r="AO375" s="703"/>
      <c r="AP375" s="703"/>
      <c r="AQ375" s="18"/>
    </row>
    <row r="376" spans="14:43">
      <c r="AB376" s="703"/>
      <c r="AC376" s="703"/>
      <c r="AD376" s="703"/>
      <c r="AE376" s="703"/>
      <c r="AF376" s="703"/>
      <c r="AG376" s="703"/>
      <c r="AH376" s="703"/>
      <c r="AI376" s="703"/>
      <c r="AJ376" s="703"/>
      <c r="AK376" s="703"/>
      <c r="AL376" s="703"/>
      <c r="AM376" s="703"/>
      <c r="AN376" s="703"/>
      <c r="AO376" s="703"/>
      <c r="AP376" s="703"/>
      <c r="AQ376" s="18"/>
    </row>
    <row r="377" spans="14:43">
      <c r="AB377" s="703"/>
      <c r="AC377" s="703"/>
      <c r="AD377" s="703"/>
      <c r="AE377" s="703"/>
      <c r="AF377" s="703"/>
      <c r="AG377" s="703"/>
      <c r="AH377" s="703"/>
      <c r="AI377" s="703"/>
      <c r="AJ377" s="703"/>
      <c r="AK377" s="703"/>
      <c r="AL377" s="703"/>
      <c r="AM377" s="703"/>
      <c r="AN377" s="703"/>
      <c r="AO377" s="703"/>
      <c r="AP377" s="703"/>
      <c r="AQ377" s="18"/>
    </row>
    <row r="378" spans="14:43">
      <c r="AB378" s="703"/>
      <c r="AC378" s="703"/>
      <c r="AD378" s="703"/>
      <c r="AE378" s="703"/>
      <c r="AF378" s="703"/>
      <c r="AG378" s="703"/>
      <c r="AH378" s="703"/>
      <c r="AI378" s="703"/>
      <c r="AJ378" s="703"/>
      <c r="AK378" s="703"/>
      <c r="AL378" s="703"/>
      <c r="AM378" s="703"/>
      <c r="AN378" s="703"/>
      <c r="AO378" s="703"/>
      <c r="AP378" s="703"/>
      <c r="AQ378" s="18"/>
    </row>
    <row r="379" spans="14:43">
      <c r="AB379" s="703"/>
      <c r="AC379" s="703"/>
      <c r="AD379" s="703"/>
      <c r="AE379" s="703"/>
      <c r="AF379" s="703"/>
      <c r="AG379" s="703"/>
      <c r="AH379" s="703"/>
      <c r="AI379" s="703"/>
      <c r="AJ379" s="703"/>
      <c r="AK379" s="703"/>
      <c r="AL379" s="703"/>
      <c r="AM379" s="703"/>
      <c r="AN379" s="703"/>
      <c r="AO379" s="703"/>
      <c r="AP379" s="703"/>
      <c r="AQ379" s="18"/>
    </row>
    <row r="380" spans="14:43">
      <c r="AQ380" s="703"/>
    </row>
  </sheetData>
  <sheetProtection sheet="1" objects="1" scenarios="1"/>
  <mergeCells count="1">
    <mergeCell ref="C3:D3"/>
  </mergeCells>
  <conditionalFormatting sqref="G58:G59 J58:J59 AF58:AI69 AE222:AI225 AM233:AP236 AQ234:AQ237">
    <cfRule type="expression" dxfId="217" priority="20">
      <formula>ISERROR(G58)</formula>
    </cfRule>
  </conditionalFormatting>
  <conditionalFormatting sqref="G74:G75 J74:J75">
    <cfRule type="expression" dxfId="216" priority="21">
      <formula>ISERROR(G74)</formula>
    </cfRule>
  </conditionalFormatting>
  <conditionalFormatting sqref="P58:P59">
    <cfRule type="expression" dxfId="215" priority="13">
      <formula>ISERROR(P58)</formula>
    </cfRule>
  </conditionalFormatting>
  <conditionalFormatting sqref="S58:S59">
    <cfRule type="expression" dxfId="214" priority="12">
      <formula>ISERROR(S58)</formula>
    </cfRule>
  </conditionalFormatting>
  <conditionalFormatting sqref="X123:AB125">
    <cfRule type="expression" dxfId="213" priority="4">
      <formula>ISERROR(X123)</formula>
    </cfRule>
  </conditionalFormatting>
  <conditionalFormatting sqref="X127:AB129">
    <cfRule type="expression" dxfId="212" priority="2">
      <formula>ISERROR(X127)</formula>
    </cfRule>
  </conditionalFormatting>
  <conditionalFormatting sqref="X131:AB132">
    <cfRule type="expression" dxfId="211" priority="5">
      <formula>ISERROR(X131)</formula>
    </cfRule>
  </conditionalFormatting>
  <conditionalFormatting sqref="X134:AB136">
    <cfRule type="expression" dxfId="210" priority="3">
      <formula>ISERROR(X134)</formula>
    </cfRule>
  </conditionalFormatting>
  <conditionalFormatting sqref="Z136:AB136">
    <cfRule type="expression" dxfId="209" priority="6">
      <formula>ISERROR(Z136)</formula>
    </cfRule>
  </conditionalFormatting>
  <conditionalFormatting sqref="AA134:AB134">
    <cfRule type="expression" dxfId="208" priority="7">
      <formula>ISERROR(AA134)</formula>
    </cfRule>
  </conditionalFormatting>
  <conditionalFormatting sqref="AB21:AF21">
    <cfRule type="expression" dxfId="207" priority="15">
      <formula>ISERROR(AB21)</formula>
    </cfRule>
  </conditionalFormatting>
  <conditionalFormatting sqref="AF75:AI78 N93:O94 Q93:R94 E93:J104 AF93:AI104 N95:S104 R109:R110 E109:J120 N109:Q120 R111:S120 AF111:AI120 E126:J137 N126:S137 E142:J153 N142:S153 E158:J169 N158:S169 AF158:AF169 AH158:AI169">
    <cfRule type="expression" dxfId="206" priority="43">
      <formula>ISERROR(E75)</formula>
    </cfRule>
  </conditionalFormatting>
  <conditionalFormatting sqref="AM143:AS149">
    <cfRule type="colorScale" priority="1">
      <colorScale>
        <cfvo type="min"/>
        <cfvo type="percentile" val="50"/>
        <cfvo type="max"/>
        <color rgb="FFF8696B"/>
        <color rgb="FFFCFCFF"/>
        <color rgb="FF5A8AC6"/>
      </colorScale>
    </cfRule>
  </conditionalFormatting>
  <dataValidations count="14">
    <dataValidation allowBlank="1" showInputMessage="1" showErrorMessage="1" promptTitle="Bron" prompt="https://software.gprgebouw.nl/start/versie43/maatregelHelpPopup.aspx?versieDatabase=gprgebouwdata005&amp;maatregelID=5778" sqref="B71" xr:uid="{85A6FA27-B0D6-43DD-A75D-A5E2893B35ED}"/>
    <dataValidation allowBlank="1" showInputMessage="1" showErrorMessage="1" promptTitle="Methode" prompt="Rekenmethode voor energieprestatie. Staat los van de versie van GPR Gebouw." sqref="B16" xr:uid="{0BCC7A8E-43A7-42F4-980A-EEBA1B48A480}"/>
    <dataValidation allowBlank="1" showInputMessage="1" showErrorMessage="1" promptTitle="Vormfactor" prompt="NEN7120/NTA8800 berekenen energiegebruik per m2 Ag._x000a_MPG berekent milieueffect per m2 BVO._x000a_DPG gebruikt ook m2 BVO. _x000a_In GPR 4.3 is geen rekening gehouden met verschil tussen m2 Ag en m2 BVO. In GPR 4.4 wel." sqref="B9" xr:uid="{7B1D3CBB-A367-4400-8C32-E141C98F1A57}"/>
    <dataValidation allowBlank="1" showInputMessage="1" showErrorMessage="1" promptTitle="GPR = 6" prompt="Score voor energie die hoort bij een GPR-score van 6. Niveau nieuwbouw 2006" sqref="B73 B57" xr:uid="{52CCACBF-A622-4B62-83F3-0D28BAF8DA86}"/>
    <dataValidation allowBlank="1" showInputMessage="1" showErrorMessage="1" promptTitle="EPG* / EP2* bij DPG = 6" prompt="Inijking DPG met NEN7120/NMD 2.3 gaat uit van getallen die ongeveer 6 zijn._x000a_" sqref="B125 B92" xr:uid="{59587037-22A6-4A0B-84F9-3B568FBBD602}"/>
    <dataValidation allowBlank="1" showInputMessage="1" showErrorMessage="1" promptTitle="EPG* / EP2* bij DPG = 6" prompt="x:\Inhoudelijk\GPR GEBOUW\GPR Gebouw 4\2. Onderhoud &amp; Ontwikkeling\2. Ontwikkeling thema's\0. DPG\Conversieformules rapportcijfer NMD 2.1\Bepaling formules DPG, 19-12-2017 richting GPR 4.4 en NTA8800.xlsx" sqref="E123 B123 E121 N91 W91 AE226 E89:E108 E73:E86 AE237 W130:Y130 X126" xr:uid="{01A76E14-903D-4BE7-87BE-5A3233AF3F83}"/>
    <dataValidation type="list" allowBlank="1" showInputMessage="1" showErrorMessage="1" sqref="AE55 AT231 AE156 AL219 AL125" xr:uid="{C92C8199-E42F-47FA-B714-8315D6D3BF07}">
      <formula1>GPR_Versie_En_EP_Methode</formula1>
    </dataValidation>
    <dataValidation type="list" allowBlank="1" showInputMessage="1" showErrorMessage="1" sqref="AE72 AE108 AT230 AL218 AL124" xr:uid="{11F9EA83-1CCB-448D-85F6-6B72DF9D48A3}">
      <formula1>Gebruiksfuncties</formula1>
    </dataValidation>
    <dataValidation type="list" allowBlank="1" showInputMessage="1" showErrorMessage="1" sqref="AE90" xr:uid="{5022B6A5-EAA7-4A2D-A626-8A612336061E}">
      <formula1>GPR_Versie_en_NMD</formula1>
    </dataValidation>
    <dataValidation allowBlank="1" showInputMessage="1" showErrorMessage="1" promptTitle="ISSO 75.3 / woningen" prompt="ISSO 75.3 kent geen woningen. Er zijn in GPR geen grenswaarden vastgesteld (ook niet relevant). Hier staat wel een getal omdat de berekeningen anders vastlopen. '600' is volstrekt willekeurig." sqref="B58:B59" xr:uid="{F24ADD8B-300B-4721-B05B-B83EE915BCB1}"/>
    <dataValidation allowBlank="1" showInputMessage="1" showErrorMessage="1" promptTitle="NEN 7120+C2:2012/A1:2017" prompt="Tabel 5.5 geeft emissiekentallen voor diverse soorten biomassa. " sqref="E225" xr:uid="{506725B0-CC3C-4E36-AC38-0F0CB8802BCA}"/>
    <dataValidation allowBlank="1" showInputMessage="1" showErrorMessage="1" promptTitle="Celfunctie" prompt="Celfunctie is niet beschikbaar in GPR Gebouw." sqref="B69" xr:uid="{CDD900C0-CB21-4B17-84DA-4071CB4A77D7}"/>
    <dataValidation allowBlank="1" showInputMessage="1" showErrorMessage="1" promptTitle="Bijeenkomstfunctie" prompt="Bijeenkomst 'overig' is ingebouwd in GPR Gebouw. " sqref="B61" xr:uid="{122278DC-79D5-434B-8814-48E8F50A443A}"/>
    <dataValidation type="list" allowBlank="1" showInputMessage="1" showErrorMessage="1" sqref="J11" xr:uid="{A8D629CB-FF0C-4FEC-9375-7D42EB8D8AA2}">
      <formula1>_xlfn.ANCHORARRAY(GPR_scope_keuzelijst)</formula1>
    </dataValidation>
  </dataValidations>
  <hyperlinks>
    <hyperlink ref="A1" location="'Overzicht GPR Hulpmiddelen'!A1" tooltip="naar startscherm" display="&lt;" xr:uid="{CE307DE9-C5C2-464A-A691-840C2481F888}"/>
    <hyperlink ref="B125" r:id="rId1" xr:uid="{82726BE7-5147-4900-9980-91F28CF0F602}"/>
    <hyperlink ref="B123" r:id="rId2" xr:uid="{E98FBFC2-9EBE-4F1A-A7DA-E35FA93D6664}"/>
    <hyperlink ref="Q90:R90" r:id="rId3" display="bron" xr:uid="{A7E74A3A-B690-4E54-9812-33D3E246B572}"/>
    <hyperlink ref="H90" r:id="rId4" xr:uid="{6C2BF084-0858-4C9C-A9BA-2DD5D288D33B}"/>
    <hyperlink ref="B92" r:id="rId5" xr:uid="{A60E9FAA-4301-4AA8-B33D-7D01C4117D8D}"/>
    <hyperlink ref="Q107:R107" r:id="rId6" display="bron" xr:uid="{58358AF9-A562-4287-B34A-82F23A63AADE}"/>
    <hyperlink ref="H107" r:id="rId7" display="bron" xr:uid="{3732C249-C629-418B-B9A0-F462C5B5B0DC}"/>
    <hyperlink ref="I107" r:id="rId8" display="bron" xr:uid="{07AB19A3-D619-4CD0-ABD8-AF77302A5DDF}"/>
    <hyperlink ref="I90" r:id="rId9" xr:uid="{13006AE0-A6FC-4736-98DD-9B37068A6E5E}"/>
  </hyperlinks>
  <pageMargins left="0.7" right="0.7" top="0.75" bottom="0.75" header="0.3" footer="0.3"/>
  <pageSetup paperSize="9" orientation="portrait" horizontalDpi="4294967295" verticalDpi="4294967295" r:id="rId10"/>
  <drawing r:id="rId11"/>
  <legacyDrawing r:id="rId1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BB9A1-C19F-47D9-B181-1B8D8930D4E8}">
  <sheetPr codeName="Blad22" filterMode="1">
    <tabColor rgb="FFFF0000"/>
    <pageSetUpPr autoPageBreaks="0" fitToPage="1"/>
  </sheetPr>
  <dimension ref="A1:BI424"/>
  <sheetViews>
    <sheetView showGridLines="0" showRowColHeaders="0" zoomScale="90" zoomScaleNormal="90" zoomScaleSheetLayoutView="90" workbookViewId="0">
      <pane xSplit="4" ySplit="3" topLeftCell="E4" activePane="bottomRight" state="frozen"/>
      <selection pane="topRight" activeCell="E1" sqref="E1"/>
      <selection pane="bottomLeft" activeCell="A4" sqref="A4"/>
      <selection pane="bottomRight" activeCell="G26" sqref="G26:K26"/>
    </sheetView>
  </sheetViews>
  <sheetFormatPr defaultColWidth="10.7265625" defaultRowHeight="17.5"/>
  <cols>
    <col min="1" max="1" width="10.7265625" style="29" customWidth="1"/>
    <col min="2" max="3" width="23.1796875" style="30" hidden="1" customWidth="1"/>
    <col min="4" max="4" width="2.7265625" style="30" hidden="1" customWidth="1"/>
    <col min="5" max="5" width="2.7265625" style="29" customWidth="1"/>
    <col min="6" max="6" width="35.54296875" style="30" customWidth="1"/>
    <col min="7" max="8" width="13.26953125" style="29" customWidth="1"/>
    <col min="9" max="9" width="2.7265625" style="29" customWidth="1"/>
    <col min="10" max="10" width="13.26953125" style="30" customWidth="1"/>
    <col min="11" max="11" width="13.26953125" style="29" customWidth="1"/>
    <col min="12" max="12" width="3.7265625" style="29" customWidth="1"/>
    <col min="13" max="14" width="13.26953125" style="29" customWidth="1"/>
    <col min="15" max="15" width="3.7265625" style="29" customWidth="1"/>
    <col min="16" max="17" width="13.26953125" style="29" customWidth="1"/>
    <col min="18" max="18" width="3.7265625" style="29" customWidth="1"/>
    <col min="19" max="20" width="13.26953125" style="29" customWidth="1"/>
    <col min="21" max="21" width="3.7265625" style="29" customWidth="1"/>
    <col min="22" max="24" width="13.26953125" style="29" customWidth="1"/>
    <col min="25" max="25" width="3.7265625" style="29" customWidth="1"/>
    <col min="26" max="27" width="13.26953125" style="29" customWidth="1"/>
    <col min="28" max="28" width="2.7265625" style="230" customWidth="1"/>
    <col min="29" max="29" width="5.26953125" style="29" customWidth="1"/>
    <col min="30" max="30" width="5.26953125" style="1431" customWidth="1"/>
    <col min="31" max="31" width="36.54296875" style="1403" customWidth="1"/>
    <col min="32" max="34" width="13.26953125" style="1403" customWidth="1"/>
    <col min="35" max="35" width="2.7265625" style="1403" customWidth="1"/>
    <col min="36" max="37" width="13.26953125" style="1403" customWidth="1"/>
    <col min="38" max="38" width="13.26953125" style="1404" customWidth="1"/>
    <col min="39" max="39" width="2.7265625" style="1404" customWidth="1"/>
    <col min="40" max="42" width="13.26953125" style="29" customWidth="1"/>
    <col min="43" max="43" width="2.7265625" style="29" customWidth="1"/>
    <col min="44" max="44" width="8.453125" style="29" customWidth="1"/>
    <col min="45" max="45" width="2.7265625" style="230" customWidth="1"/>
    <col min="46" max="46" width="8.453125" style="29" customWidth="1"/>
    <col min="47" max="53" width="10.7265625" style="29" hidden="1" customWidth="1"/>
    <col min="54" max="54" width="14.54296875" style="29" hidden="1" customWidth="1"/>
    <col min="55" max="55" width="14.7265625" style="29" hidden="1" customWidth="1"/>
    <col min="56" max="61" width="10.7265625" style="29" hidden="1" customWidth="1"/>
    <col min="62" max="16384" width="10.7265625" style="29"/>
  </cols>
  <sheetData>
    <row r="1" spans="1:61" s="18" customFormat="1" ht="33" customHeight="1">
      <c r="A1" s="192" t="s">
        <v>12</v>
      </c>
      <c r="B1" s="212" t="s">
        <v>493</v>
      </c>
      <c r="C1" s="212" t="s">
        <v>493</v>
      </c>
      <c r="D1" s="941"/>
      <c r="E1" s="177"/>
      <c r="F1" s="175"/>
      <c r="G1" s="31"/>
      <c r="H1" s="31"/>
      <c r="I1" s="21"/>
      <c r="J1" s="21"/>
      <c r="K1" s="21"/>
      <c r="L1" s="21"/>
      <c r="M1" s="507"/>
      <c r="N1" s="21"/>
      <c r="O1" s="21"/>
      <c r="P1" s="21"/>
      <c r="AB1" s="177"/>
      <c r="AC1" s="177"/>
      <c r="AD1" s="1430"/>
      <c r="AE1" s="1401"/>
      <c r="AF1" s="1401"/>
      <c r="AG1" s="1401"/>
      <c r="AH1" s="1401"/>
      <c r="AI1" s="1401"/>
      <c r="AJ1" s="1401"/>
      <c r="AK1" s="1401"/>
      <c r="AL1" s="1401"/>
      <c r="AM1" s="1401"/>
      <c r="AN1" s="1380"/>
      <c r="AO1" s="1380"/>
      <c r="AP1" s="1380"/>
      <c r="AQ1" s="1380"/>
      <c r="AR1" s="1380"/>
      <c r="AS1" s="177"/>
      <c r="AT1" s="1380"/>
    </row>
    <row r="2" spans="1:61" s="19" customFormat="1" ht="21">
      <c r="A2" s="87"/>
      <c r="B2" s="942"/>
      <c r="C2" s="942"/>
      <c r="D2" s="942"/>
      <c r="E2" s="28" t="str">
        <f>_xlfn.CONCAT("Van ",P22," naar GPR 4")</f>
        <v>Van ISSO 75.3 naar GPR 4</v>
      </c>
      <c r="F2" s="32"/>
      <c r="G2" s="180" t="str">
        <f>"Van "&amp;$P$23&amp;" naar "&amp; AY23</f>
        <v>Van Energielabel utiliteit naar GPR 4.4 | ISSO 75.3</v>
      </c>
      <c r="H2" s="181"/>
      <c r="I2" s="182"/>
      <c r="J2" s="180"/>
      <c r="K2" s="32"/>
      <c r="L2" s="27"/>
      <c r="M2" s="28"/>
      <c r="N2" s="28"/>
      <c r="O2" s="27"/>
      <c r="P2" s="27"/>
      <c r="Q2" s="28"/>
      <c r="R2" s="33"/>
      <c r="S2" s="33"/>
      <c r="T2" s="33"/>
      <c r="U2" s="28"/>
      <c r="V2" s="28"/>
      <c r="W2" s="28"/>
      <c r="X2" s="28"/>
      <c r="Y2" s="28"/>
      <c r="Z2" s="28"/>
      <c r="AA2" s="28"/>
      <c r="AB2" s="28"/>
      <c r="AC2" s="994"/>
      <c r="AD2" s="28" t="s">
        <v>1708</v>
      </c>
      <c r="AE2" s="1402"/>
      <c r="AF2" s="1402"/>
      <c r="AG2" s="1402"/>
      <c r="AH2" s="1402"/>
      <c r="AI2" s="1402"/>
      <c r="AJ2" s="1402"/>
      <c r="AK2" s="1402"/>
      <c r="AL2" s="1402"/>
      <c r="AM2" s="1402"/>
      <c r="AN2" s="1402"/>
      <c r="AO2" s="1402"/>
      <c r="AP2" s="1402"/>
      <c r="AQ2" s="1402"/>
      <c r="AR2" s="1402"/>
      <c r="AS2" s="28"/>
      <c r="AT2" s="994"/>
      <c r="AU2" s="28"/>
      <c r="AV2" s="28"/>
      <c r="AW2" s="28"/>
      <c r="AX2" s="28"/>
      <c r="AY2" s="28"/>
      <c r="AZ2" s="28"/>
      <c r="BA2" s="28"/>
      <c r="BB2" s="28"/>
      <c r="BC2" s="28"/>
      <c r="BD2" s="28"/>
      <c r="BE2" s="28"/>
      <c r="BF2" s="28"/>
      <c r="BG2" s="28"/>
      <c r="BH2" s="28"/>
      <c r="BI2" s="28"/>
    </row>
    <row r="3" spans="1:61">
      <c r="E3" s="1687">
        <v>45363</v>
      </c>
      <c r="F3" s="1688"/>
      <c r="G3" s="30"/>
      <c r="J3" s="29"/>
      <c r="AV3" s="898" t="s">
        <v>1400</v>
      </c>
    </row>
    <row r="4" spans="1:61" s="18" customFormat="1" ht="5.25" customHeight="1">
      <c r="B4" s="763"/>
      <c r="C4" s="763"/>
      <c r="D4" s="763"/>
      <c r="E4" s="14"/>
      <c r="F4" s="67"/>
      <c r="G4" s="67"/>
      <c r="H4" s="67"/>
      <c r="I4" s="14"/>
      <c r="J4" s="67"/>
      <c r="K4" s="14"/>
      <c r="L4" s="14"/>
      <c r="M4" s="14"/>
      <c r="N4" s="14"/>
      <c r="O4" s="14"/>
      <c r="P4" s="14"/>
      <c r="Q4" s="14"/>
      <c r="R4" s="14"/>
      <c r="S4" s="14"/>
      <c r="T4" s="14"/>
      <c r="U4" s="14"/>
      <c r="V4" s="14"/>
      <c r="W4" s="14"/>
      <c r="X4" s="14"/>
      <c r="Y4" s="14"/>
      <c r="Z4" s="14"/>
      <c r="AA4" s="14"/>
      <c r="AB4" s="67"/>
      <c r="AC4" s="995"/>
      <c r="AD4" s="1405"/>
      <c r="AE4" s="1405"/>
      <c r="AF4" s="1405"/>
      <c r="AG4" s="1405"/>
      <c r="AH4" s="1405"/>
      <c r="AI4" s="1405"/>
      <c r="AJ4" s="1405"/>
      <c r="AK4" s="1405"/>
      <c r="AL4" s="1405"/>
      <c r="AM4" s="1405"/>
      <c r="AN4" s="1405"/>
      <c r="AO4" s="1405"/>
      <c r="AP4" s="1405"/>
      <c r="AQ4" s="1405"/>
      <c r="AR4" s="1405"/>
      <c r="AS4" s="67"/>
      <c r="AT4" s="995"/>
      <c r="AU4" s="14"/>
      <c r="AV4" s="14"/>
      <c r="AW4" s="14"/>
      <c r="AX4" s="14"/>
      <c r="AY4" s="14"/>
      <c r="AZ4" s="14"/>
      <c r="BA4" s="14"/>
      <c r="BB4" s="14"/>
      <c r="BC4" s="14"/>
      <c r="BD4" s="14"/>
      <c r="BE4" s="14"/>
      <c r="BF4" s="14"/>
      <c r="BG4" s="14"/>
      <c r="BH4" s="14"/>
      <c r="BI4" s="14"/>
    </row>
    <row r="5" spans="1:61" hidden="1">
      <c r="A5" s="212" t="s">
        <v>493</v>
      </c>
      <c r="B5" s="898"/>
      <c r="C5" s="898"/>
      <c r="D5" s="898"/>
      <c r="E5" s="891"/>
      <c r="F5" s="987" t="s">
        <v>1615</v>
      </c>
      <c r="G5" s="1382"/>
      <c r="H5" s="1391" t="s">
        <v>1619</v>
      </c>
      <c r="I5" s="1382"/>
      <c r="J5" s="1382"/>
      <c r="K5" s="1382"/>
      <c r="L5" s="1382"/>
      <c r="M5" s="987"/>
      <c r="N5" s="987"/>
      <c r="O5" s="987"/>
      <c r="P5" s="1391" t="s">
        <v>1617</v>
      </c>
      <c r="Q5" s="1391" t="s">
        <v>1619</v>
      </c>
      <c r="R5" s="12"/>
      <c r="S5" s="12"/>
      <c r="T5" s="12"/>
      <c r="U5" s="12"/>
      <c r="V5" s="12"/>
      <c r="W5" s="12"/>
      <c r="X5" s="12"/>
      <c r="Y5" s="12"/>
      <c r="Z5" s="12"/>
      <c r="AA5" s="12"/>
      <c r="AB5" s="891"/>
      <c r="AC5" s="996"/>
      <c r="AD5" s="1405"/>
      <c r="AE5" s="1405"/>
      <c r="AF5" s="1405"/>
      <c r="AG5" s="1405"/>
      <c r="AH5" s="1405"/>
      <c r="AI5" s="1405"/>
      <c r="AJ5" s="1405"/>
      <c r="AK5" s="1405"/>
      <c r="AL5" s="1405"/>
      <c r="AM5" s="1405"/>
      <c r="AN5" s="1405"/>
      <c r="AO5" s="1405"/>
      <c r="AP5" s="1405"/>
      <c r="AQ5" s="1405"/>
      <c r="AR5" s="1405"/>
      <c r="AS5" s="67"/>
      <c r="AT5" s="996"/>
      <c r="AU5" s="12"/>
      <c r="AV5" s="12"/>
      <c r="AW5" s="12"/>
      <c r="AX5" s="12"/>
      <c r="AY5" s="14"/>
      <c r="AZ5" s="14"/>
      <c r="BA5" s="14"/>
      <c r="BB5" s="14"/>
      <c r="BC5" s="14"/>
      <c r="BD5" s="14"/>
      <c r="BE5" s="14"/>
      <c r="BF5" s="14"/>
      <c r="BG5" s="14"/>
      <c r="BH5" s="14"/>
      <c r="BI5" s="14"/>
    </row>
    <row r="6" spans="1:61" hidden="1">
      <c r="A6" s="212" t="s">
        <v>493</v>
      </c>
      <c r="B6" s="898"/>
      <c r="C6" s="898"/>
      <c r="D6" s="898"/>
      <c r="E6" s="891"/>
      <c r="F6" s="1383" t="s">
        <v>1620</v>
      </c>
      <c r="G6" s="1384">
        <f>AG35</f>
        <v>9.2610555239266272</v>
      </c>
      <c r="H6" s="1384"/>
      <c r="I6" s="1382"/>
      <c r="J6" s="1382"/>
      <c r="K6" s="1382"/>
      <c r="L6" s="1382"/>
      <c r="M6" s="1387" t="str">
        <f>F183</f>
        <v>aardgas</v>
      </c>
      <c r="N6" s="1387"/>
      <c r="O6" s="1387"/>
      <c r="P6" s="1384" t="str">
        <f>_xlfn.CONCAT(FIXED(W183,0)," ",X183)</f>
        <v>0 m3</v>
      </c>
      <c r="Q6" s="1384" t="str">
        <f>_xlfn.CONCAT(FIXED($G$269,0)," ",$G$225)</f>
        <v>0 m3</v>
      </c>
      <c r="R6" s="12"/>
      <c r="S6" s="12"/>
      <c r="T6" s="12"/>
      <c r="U6" s="12"/>
      <c r="V6" s="12"/>
      <c r="W6" s="12"/>
      <c r="X6" s="12"/>
      <c r="Y6" s="12"/>
      <c r="Z6" s="12"/>
      <c r="AA6" s="12"/>
      <c r="AB6" s="891"/>
      <c r="AC6" s="996"/>
      <c r="AD6" s="1405"/>
      <c r="AE6" s="1405"/>
      <c r="AF6" s="1405"/>
      <c r="AG6" s="1405"/>
      <c r="AH6" s="1405"/>
      <c r="AI6" s="1405"/>
      <c r="AJ6" s="1405"/>
      <c r="AK6" s="1405"/>
      <c r="AL6" s="1405"/>
      <c r="AM6" s="1405"/>
      <c r="AN6" s="1405"/>
      <c r="AO6" s="1405"/>
      <c r="AP6" s="1405"/>
      <c r="AQ6" s="1405"/>
      <c r="AR6" s="1405"/>
      <c r="AS6" s="67"/>
      <c r="AT6" s="996"/>
      <c r="AU6" s="12"/>
      <c r="AV6" s="12"/>
      <c r="AW6" s="12"/>
      <c r="AX6" s="12"/>
      <c r="AY6" s="14"/>
      <c r="AZ6" s="14"/>
      <c r="BA6" s="14"/>
      <c r="BB6" s="14"/>
      <c r="BC6" s="14"/>
      <c r="BD6" s="14"/>
      <c r="BE6" s="14"/>
      <c r="BF6" s="14"/>
      <c r="BG6" s="14"/>
      <c r="BH6" s="14"/>
      <c r="BI6" s="14"/>
    </row>
    <row r="7" spans="1:61" hidden="1">
      <c r="A7" s="212" t="s">
        <v>493</v>
      </c>
      <c r="B7" s="898"/>
      <c r="C7" s="898"/>
      <c r="D7" s="898"/>
      <c r="E7" s="891"/>
      <c r="F7" s="1383" t="s">
        <v>1397</v>
      </c>
      <c r="G7" s="1385" t="str">
        <f>_xlfn.CONCAT(FIXED(J35,0)," ",K35)</f>
        <v>0 MJ/m2 Ag</v>
      </c>
      <c r="H7" s="1385" t="str">
        <f>_xlfn.CONCAT(FIXED(SUM(P44:P55),0)," ",Q44)</f>
        <v>0 MJ</v>
      </c>
      <c r="I7" s="1382"/>
      <c r="J7" s="1382"/>
      <c r="K7" s="1382"/>
      <c r="L7" s="1382"/>
      <c r="M7" s="1389" t="str">
        <f>F184</f>
        <v>elektriciteit</v>
      </c>
      <c r="N7" s="1389"/>
      <c r="O7" s="1389"/>
      <c r="P7" s="1385" t="str">
        <f>_xlfn.CONCAT(FIXED(W184,0)," ",X184)</f>
        <v>0 kWh</v>
      </c>
      <c r="Q7" s="1385" t="str">
        <f>_xlfn.CONCAT(FIXED($H$269,0)," ",$H$225)</f>
        <v>0 kWh</v>
      </c>
      <c r="R7" s="12"/>
      <c r="S7" s="12"/>
      <c r="T7" s="12"/>
      <c r="U7" s="12"/>
      <c r="V7" s="12"/>
      <c r="W7" s="12"/>
      <c r="X7" s="12"/>
      <c r="Y7" s="12"/>
      <c r="Z7" s="12"/>
      <c r="AA7" s="12"/>
      <c r="AB7" s="891"/>
      <c r="AC7" s="996"/>
      <c r="AD7" s="1405"/>
      <c r="AE7" s="1405"/>
      <c r="AF7" s="1405"/>
      <c r="AG7" s="1405"/>
      <c r="AH7" s="1405"/>
      <c r="AI7" s="1405"/>
      <c r="AJ7" s="1405"/>
      <c r="AK7" s="1405"/>
      <c r="AL7" s="1405"/>
      <c r="AM7" s="1405"/>
      <c r="AN7" s="1405"/>
      <c r="AO7" s="1405"/>
      <c r="AP7" s="1405"/>
      <c r="AQ7" s="1405"/>
      <c r="AR7" s="1405"/>
      <c r="AS7" s="67"/>
      <c r="AT7" s="996"/>
      <c r="AU7" s="12"/>
      <c r="AV7" s="12"/>
      <c r="AW7" s="12"/>
      <c r="AX7" s="12"/>
      <c r="AY7" s="14"/>
      <c r="AZ7" s="14"/>
      <c r="BA7" s="14"/>
      <c r="BB7" s="14"/>
      <c r="BC7" s="14"/>
      <c r="BD7" s="14"/>
      <c r="BE7" s="14"/>
      <c r="BF7" s="14"/>
      <c r="BG7" s="14"/>
      <c r="BH7" s="14"/>
      <c r="BI7" s="14"/>
    </row>
    <row r="8" spans="1:61" hidden="1">
      <c r="A8" s="212" t="s">
        <v>493</v>
      </c>
      <c r="B8" s="898"/>
      <c r="C8" s="898"/>
      <c r="D8" s="898"/>
      <c r="E8" s="891"/>
      <c r="F8" s="1383" t="s">
        <v>543</v>
      </c>
      <c r="G8" s="1386">
        <f>J40</f>
        <v>1</v>
      </c>
      <c r="H8" s="1385" t="str">
        <f>_xlfn.CONCAT(FIXED(SUM(S44:S55),0)," ",T44)</f>
        <v>0 kg</v>
      </c>
      <c r="I8" s="1382"/>
      <c r="J8" s="1382"/>
      <c r="K8" s="1382"/>
      <c r="L8" s="1382"/>
      <c r="M8" s="1390" t="str">
        <f>F185</f>
        <v>elektriciteit opgewekt</v>
      </c>
      <c r="N8" s="1390"/>
      <c r="O8" s="1390"/>
      <c r="P8" s="1386" t="str">
        <f>_xlfn.CONCAT(FIXED(W185,0)," ",X185)</f>
        <v>0 kWh</v>
      </c>
      <c r="Q8" s="1386" t="str">
        <f>_xlfn.CONCAT(FIXED($J$269,0)," ",$J$225)</f>
        <v>0 kWh</v>
      </c>
      <c r="R8" s="12"/>
      <c r="S8" s="12"/>
      <c r="T8" s="12"/>
      <c r="U8" s="12"/>
      <c r="V8" s="12"/>
      <c r="W8" s="12"/>
      <c r="X8" s="12"/>
      <c r="Y8" s="12"/>
      <c r="Z8" s="12"/>
      <c r="AA8" s="12"/>
      <c r="AB8" s="891"/>
      <c r="AC8" s="996"/>
      <c r="AD8" s="1405"/>
      <c r="AE8" s="1405"/>
      <c r="AF8" s="1405"/>
      <c r="AG8" s="1405"/>
      <c r="AH8" s="1405"/>
      <c r="AI8" s="1405"/>
      <c r="AJ8" s="1405"/>
      <c r="AK8" s="1405"/>
      <c r="AL8" s="1405"/>
      <c r="AM8" s="1405"/>
      <c r="AN8" s="1405"/>
      <c r="AO8" s="1405"/>
      <c r="AP8" s="1405"/>
      <c r="AQ8" s="1405"/>
      <c r="AR8" s="1405"/>
      <c r="AS8" s="67"/>
      <c r="AT8" s="996"/>
      <c r="AU8" s="12"/>
      <c r="AV8" s="12"/>
      <c r="AW8" s="12"/>
      <c r="AX8" s="12"/>
      <c r="AY8" s="14"/>
      <c r="AZ8" s="14"/>
      <c r="BA8" s="14"/>
      <c r="BB8" s="14"/>
      <c r="BC8" s="14"/>
      <c r="BD8" s="14"/>
      <c r="BE8" s="14"/>
      <c r="BF8" s="14"/>
      <c r="BG8" s="14"/>
      <c r="BH8" s="14"/>
      <c r="BI8" s="14"/>
    </row>
    <row r="9" spans="1:61" hidden="1">
      <c r="A9" s="212" t="s">
        <v>493</v>
      </c>
      <c r="B9" s="898"/>
      <c r="C9" s="898"/>
      <c r="D9" s="898"/>
      <c r="E9" s="891"/>
      <c r="F9" s="1383" t="s">
        <v>1618</v>
      </c>
      <c r="G9" s="1385" t="str">
        <f>_xlfn.CONCAT(FIXED(AH272,2)," | ",FIXED(AH274,0)," pnt")</f>
        <v>0.00 | -210 pnt</v>
      </c>
      <c r="H9" s="1384">
        <f>AH219</f>
        <v>0</v>
      </c>
      <c r="I9" s="1382"/>
      <c r="J9" s="1382"/>
      <c r="K9" s="1382"/>
      <c r="L9" s="1382"/>
      <c r="M9" s="1387" t="str">
        <f>F186</f>
        <v>elektriciteit geëxporteerd</v>
      </c>
      <c r="N9" s="1387"/>
      <c r="O9" s="1387"/>
      <c r="P9" s="1384" t="str">
        <f>_xlfn.CONCAT(FIXED(W186,0)," ",X186)</f>
        <v>0 kWh</v>
      </c>
      <c r="Q9" s="1384" t="str">
        <f>_xlfn.CONCAT(FIXED($K$269,0)," ",$K$225)</f>
        <v>0 GJ</v>
      </c>
      <c r="R9" s="12"/>
      <c r="S9" s="12"/>
      <c r="T9" s="12"/>
      <c r="U9" s="12"/>
      <c r="V9" s="12"/>
      <c r="W9" s="12"/>
      <c r="X9" s="12"/>
      <c r="Y9" s="12"/>
      <c r="Z9" s="12"/>
      <c r="AA9" s="12"/>
      <c r="AB9" s="891"/>
      <c r="AC9" s="996"/>
      <c r="AD9" s="1405"/>
      <c r="AE9" s="1405"/>
      <c r="AF9" s="1405"/>
      <c r="AG9" s="1405"/>
      <c r="AH9" s="1405"/>
      <c r="AI9" s="1405"/>
      <c r="AJ9" s="1405"/>
      <c r="AK9" s="1405"/>
      <c r="AL9" s="1405"/>
      <c r="AM9" s="1405"/>
      <c r="AN9" s="1405"/>
      <c r="AO9" s="1405"/>
      <c r="AP9" s="1405"/>
      <c r="AQ9" s="1405"/>
      <c r="AR9" s="1405"/>
      <c r="AS9" s="67"/>
      <c r="AT9" s="996"/>
      <c r="AU9" s="12"/>
      <c r="AV9" s="12"/>
      <c r="AW9" s="12"/>
      <c r="AX9" s="12"/>
      <c r="AY9" s="14"/>
      <c r="AZ9" s="14"/>
      <c r="BA9" s="14"/>
      <c r="BB9" s="14"/>
      <c r="BC9" s="14"/>
      <c r="BD9" s="14"/>
      <c r="BE9" s="14"/>
      <c r="BF9" s="14"/>
      <c r="BG9" s="14"/>
      <c r="BH9" s="14"/>
      <c r="BI9" s="14"/>
    </row>
    <row r="10" spans="1:61" hidden="1">
      <c r="A10" s="212" t="s">
        <v>493</v>
      </c>
      <c r="B10" s="898"/>
      <c r="C10" s="898"/>
      <c r="D10" s="898"/>
      <c r="E10" s="891"/>
      <c r="F10" s="1383" t="s">
        <v>1616</v>
      </c>
      <c r="G10" s="1384">
        <f>AG220</f>
        <v>9.9640728305742385</v>
      </c>
      <c r="H10" s="1384"/>
      <c r="I10" s="1382"/>
      <c r="J10" s="1382"/>
      <c r="K10" s="1382"/>
      <c r="L10" s="1382"/>
      <c r="M10" s="1387" t="str">
        <f>F187</f>
        <v>externe warmte</v>
      </c>
      <c r="N10" s="1387"/>
      <c r="O10" s="1387"/>
      <c r="P10" s="1384" t="str">
        <f>_xlfn.CONCAT(FIXED(W187,0)," ",X187)</f>
        <v>0 GJ</v>
      </c>
      <c r="Q10" s="1384" t="str">
        <f>_xlfn.CONCAT(FIXED($M$269,0)," ",$M$225)</f>
        <v>0 MJ</v>
      </c>
      <c r="R10" s="12"/>
      <c r="S10" s="12"/>
      <c r="T10" s="12"/>
      <c r="U10" s="12"/>
      <c r="V10" s="12"/>
      <c r="W10" s="12"/>
      <c r="X10" s="12"/>
      <c r="Y10" s="12"/>
      <c r="Z10" s="12"/>
      <c r="AA10" s="12"/>
      <c r="AB10" s="891"/>
      <c r="AC10" s="996"/>
      <c r="AD10" s="1405"/>
      <c r="AE10" s="1405"/>
      <c r="AF10" s="1405"/>
      <c r="AG10" s="1405"/>
      <c r="AH10" s="1405"/>
      <c r="AI10" s="1405"/>
      <c r="AJ10" s="1405"/>
      <c r="AK10" s="1405"/>
      <c r="AL10" s="1405"/>
      <c r="AM10" s="1405"/>
      <c r="AN10" s="1405"/>
      <c r="AO10" s="1405"/>
      <c r="AP10" s="1405"/>
      <c r="AQ10" s="1405"/>
      <c r="AR10" s="1405"/>
      <c r="AS10" s="67"/>
      <c r="AT10" s="996"/>
      <c r="AU10" s="12"/>
      <c r="AV10" s="12"/>
      <c r="AW10" s="12"/>
      <c r="AX10" s="12"/>
      <c r="AY10" s="14"/>
      <c r="AZ10" s="14"/>
      <c r="BA10" s="14"/>
      <c r="BB10" s="14"/>
      <c r="BC10" s="14"/>
      <c r="BD10" s="14"/>
      <c r="BE10" s="14"/>
      <c r="BF10" s="14"/>
      <c r="BG10" s="14"/>
      <c r="BH10" s="14"/>
      <c r="BI10" s="14"/>
    </row>
    <row r="11" spans="1:61" hidden="1">
      <c r="A11" s="212" t="s">
        <v>493</v>
      </c>
      <c r="B11" s="898"/>
      <c r="C11" s="898"/>
      <c r="D11" s="898"/>
      <c r="E11" s="891"/>
      <c r="F11" s="1383" t="s">
        <v>484</v>
      </c>
      <c r="G11" s="1387" t="str">
        <f>_xlfn.CONCAT("E:",FIXED(AG216,2),"+M:",FIXED(AG217,2),"=",FIXED(AG218,2)," euro/m2")</f>
        <v>E:0.00+M:0.00=0.00 euro/m2</v>
      </c>
      <c r="H11" s="1387"/>
      <c r="I11" s="1382"/>
      <c r="J11" s="1382"/>
      <c r="K11" s="1382"/>
      <c r="L11" s="1382"/>
      <c r="M11" s="1387" t="str">
        <f>F189</f>
        <v>hout / biomassa</v>
      </c>
      <c r="N11" s="1387"/>
      <c r="O11" s="1387"/>
      <c r="P11" s="1384" t="str">
        <f>_xlfn.CONCAT(FIXED(W189,0)," ",X189)</f>
        <v>0 kg</v>
      </c>
      <c r="Q11" s="1384" t="str">
        <f>_xlfn.CONCAT(FIXED($M$269,0)," ",$M$225)</f>
        <v>0 MJ</v>
      </c>
      <c r="R11" s="12"/>
      <c r="S11" s="12"/>
      <c r="T11" s="12"/>
      <c r="U11" s="12"/>
      <c r="V11" s="12"/>
      <c r="W11" s="12"/>
      <c r="X11" s="12"/>
      <c r="Y11" s="12"/>
      <c r="Z11" s="12"/>
      <c r="AA11" s="12"/>
      <c r="AB11" s="891"/>
      <c r="AC11" s="996"/>
      <c r="AD11" s="1405"/>
      <c r="AE11" s="1405"/>
      <c r="AF11" s="1405"/>
      <c r="AG11" s="1405"/>
      <c r="AH11" s="1405"/>
      <c r="AI11" s="1405"/>
      <c r="AJ11" s="1405"/>
      <c r="AK11" s="1405"/>
      <c r="AL11" s="1405"/>
      <c r="AM11" s="1405"/>
      <c r="AN11" s="1405"/>
      <c r="AO11" s="1405"/>
      <c r="AP11" s="1405"/>
      <c r="AQ11" s="1405"/>
      <c r="AR11" s="1405"/>
      <c r="AS11" s="67"/>
      <c r="AT11" s="996"/>
      <c r="AU11" s="12"/>
      <c r="AV11" s="12"/>
      <c r="AW11" s="12"/>
      <c r="AX11" s="12"/>
      <c r="AY11" s="14"/>
      <c r="AZ11" s="14"/>
      <c r="BA11" s="14"/>
      <c r="BB11" s="14"/>
      <c r="BC11" s="14"/>
      <c r="BD11" s="14"/>
      <c r="BE11" s="14"/>
      <c r="BF11" s="14"/>
      <c r="BG11" s="14"/>
      <c r="BH11" s="14"/>
      <c r="BI11" s="14"/>
    </row>
    <row r="12" spans="1:61" hidden="1">
      <c r="A12" s="212" t="s">
        <v>493</v>
      </c>
      <c r="B12" s="898"/>
      <c r="C12" s="898"/>
      <c r="D12" s="898"/>
      <c r="E12" s="891"/>
      <c r="F12" s="1383" t="s">
        <v>510</v>
      </c>
      <c r="G12" s="1387" t="str">
        <f>_xlfn.CONCAT("E:",FIXED(AG208,2),"+M:",FIXED(AG209,2),"=",FIXED(AG210,2)," kg/m2")</f>
        <v>E:0.00+M:0.00=0.00 kg/m2</v>
      </c>
      <c r="H12" s="1387"/>
      <c r="I12" s="1388"/>
      <c r="J12" s="1388"/>
      <c r="K12" s="1388"/>
      <c r="L12" s="1388"/>
      <c r="M12" s="1388"/>
      <c r="N12" s="14"/>
      <c r="O12" s="14"/>
      <c r="P12" s="155"/>
      <c r="Q12" s="12"/>
      <c r="R12" s="12"/>
      <c r="S12" s="12"/>
      <c r="T12" s="12"/>
      <c r="U12" s="12"/>
      <c r="V12" s="12"/>
      <c r="W12" s="12"/>
      <c r="X12" s="12"/>
      <c r="Y12" s="12"/>
      <c r="Z12" s="12"/>
      <c r="AA12" s="12"/>
      <c r="AB12" s="891"/>
      <c r="AC12" s="996"/>
      <c r="AD12" s="1405"/>
      <c r="AE12" s="1405"/>
      <c r="AF12" s="1405"/>
      <c r="AG12" s="1405"/>
      <c r="AH12" s="1405"/>
      <c r="AI12" s="1405"/>
      <c r="AJ12" s="1405"/>
      <c r="AK12" s="1405"/>
      <c r="AL12" s="1405"/>
      <c r="AM12" s="1405"/>
      <c r="AN12" s="1405"/>
      <c r="AO12" s="1405"/>
      <c r="AP12" s="1405"/>
      <c r="AQ12" s="1405"/>
      <c r="AR12" s="1405"/>
      <c r="AS12" s="67"/>
      <c r="AT12" s="996"/>
      <c r="AU12" s="12"/>
      <c r="AV12" s="12"/>
      <c r="AW12" s="12"/>
      <c r="AX12" s="12"/>
      <c r="AY12" s="14"/>
      <c r="AZ12" s="14"/>
      <c r="BA12" s="14"/>
      <c r="BB12" s="14"/>
      <c r="BC12" s="14"/>
      <c r="BD12" s="14"/>
      <c r="BE12" s="14"/>
      <c r="BF12" s="14"/>
      <c r="BG12" s="14"/>
      <c r="BH12" s="14"/>
      <c r="BI12" s="14"/>
    </row>
    <row r="13" spans="1:61" hidden="1">
      <c r="A13" s="212" t="s">
        <v>493</v>
      </c>
      <c r="B13" s="898"/>
      <c r="C13" s="898"/>
      <c r="D13" s="898"/>
      <c r="E13" s="891"/>
      <c r="F13" s="891"/>
      <c r="G13" s="891"/>
      <c r="H13" s="891"/>
      <c r="I13" s="891"/>
      <c r="J13" s="891"/>
      <c r="K13" s="891"/>
      <c r="L13" s="891"/>
      <c r="M13" s="14"/>
      <c r="N13" s="14"/>
      <c r="O13" s="14"/>
      <c r="P13" s="155"/>
      <c r="Q13" s="12"/>
      <c r="R13" s="12"/>
      <c r="S13" s="12"/>
      <c r="T13" s="12"/>
      <c r="U13" s="12"/>
      <c r="V13" s="12"/>
      <c r="W13" s="12"/>
      <c r="X13" s="12"/>
      <c r="Y13" s="12"/>
      <c r="Z13" s="12"/>
      <c r="AA13" s="12"/>
      <c r="AB13" s="891"/>
      <c r="AC13" s="996"/>
      <c r="AD13" s="1405"/>
      <c r="AE13" s="1405"/>
      <c r="AF13" s="1405"/>
      <c r="AG13" s="1405"/>
      <c r="AH13" s="1405"/>
      <c r="AI13" s="1405"/>
      <c r="AJ13" s="1405"/>
      <c r="AK13" s="1405"/>
      <c r="AL13" s="1405"/>
      <c r="AM13" s="1405"/>
      <c r="AN13" s="1405"/>
      <c r="AO13" s="1405"/>
      <c r="AP13" s="1405"/>
      <c r="AQ13" s="1405"/>
      <c r="AR13" s="1405"/>
      <c r="AS13" s="67"/>
      <c r="AT13" s="996"/>
      <c r="AU13" s="12"/>
      <c r="AV13" s="12"/>
      <c r="AW13" s="12"/>
      <c r="AX13" s="12"/>
      <c r="AY13" s="14"/>
      <c r="AZ13" s="14"/>
      <c r="BA13" s="14"/>
      <c r="BB13" s="14"/>
      <c r="BC13" s="14"/>
      <c r="BD13" s="14"/>
      <c r="BE13" s="14"/>
      <c r="BF13" s="14"/>
      <c r="BG13" s="14"/>
      <c r="BH13" s="14"/>
      <c r="BI13" s="14"/>
    </row>
    <row r="14" spans="1:61">
      <c r="A14" s="212"/>
      <c r="B14" s="898"/>
      <c r="C14" s="898"/>
      <c r="D14" s="898"/>
      <c r="E14" s="891"/>
      <c r="F14" s="1455" t="s">
        <v>1713</v>
      </c>
      <c r="G14" s="1456"/>
      <c r="H14" s="1456"/>
      <c r="I14" s="1456"/>
      <c r="J14" s="1456"/>
      <c r="K14" s="1456"/>
      <c r="L14" s="1456"/>
      <c r="M14" s="1457"/>
      <c r="N14" s="1457"/>
      <c r="O14" s="1457"/>
      <c r="P14" s="1458"/>
      <c r="Q14" s="1459"/>
      <c r="R14" s="12"/>
      <c r="S14" s="12"/>
      <c r="T14" s="12"/>
      <c r="U14" s="12"/>
      <c r="V14" s="12"/>
      <c r="W14" s="12"/>
      <c r="X14" s="12"/>
      <c r="Y14" s="12"/>
      <c r="Z14" s="12"/>
      <c r="AA14" s="12"/>
      <c r="AB14" s="891"/>
      <c r="AC14" s="996"/>
      <c r="AD14" s="1405"/>
      <c r="AE14" s="1405"/>
      <c r="AF14" s="1405"/>
      <c r="AG14" s="1405"/>
      <c r="AH14" s="1405"/>
      <c r="AI14" s="1405"/>
      <c r="AJ14" s="1405"/>
      <c r="AK14" s="1405"/>
      <c r="AL14" s="1405"/>
      <c r="AM14" s="1405"/>
      <c r="AN14" s="1405"/>
      <c r="AO14" s="1405"/>
      <c r="AP14" s="1405"/>
      <c r="AQ14" s="1405"/>
      <c r="AR14" s="1405"/>
      <c r="AS14" s="67"/>
      <c r="AT14" s="996"/>
      <c r="AU14" s="12"/>
      <c r="AV14" s="12"/>
      <c r="AW14" s="12"/>
      <c r="AX14" s="12"/>
      <c r="AY14" s="14"/>
      <c r="AZ14" s="14"/>
      <c r="BA14" s="14"/>
      <c r="BB14" s="14"/>
      <c r="BC14" s="14"/>
      <c r="BD14" s="14"/>
      <c r="BE14" s="14"/>
      <c r="BF14" s="14"/>
      <c r="BG14" s="14"/>
      <c r="BH14" s="14"/>
      <c r="BI14" s="14"/>
    </row>
    <row r="15" spans="1:61">
      <c r="A15" s="212"/>
      <c r="B15" s="898"/>
      <c r="C15" s="898"/>
      <c r="D15" s="898"/>
      <c r="E15" s="891"/>
      <c r="F15" s="1460" t="s">
        <v>1715</v>
      </c>
      <c r="G15" s="1461"/>
      <c r="H15" s="1461"/>
      <c r="I15" s="1461"/>
      <c r="J15" s="1461"/>
      <c r="K15" s="1461"/>
      <c r="L15" s="1461"/>
      <c r="M15" s="1462"/>
      <c r="N15" s="1462"/>
      <c r="O15" s="1462"/>
      <c r="P15" s="1463"/>
      <c r="Q15" s="1464"/>
      <c r="R15" s="12"/>
      <c r="S15" s="12"/>
      <c r="T15" s="12"/>
      <c r="U15" s="12"/>
      <c r="V15" s="12"/>
      <c r="W15" s="12"/>
      <c r="X15" s="12"/>
      <c r="Y15" s="12"/>
      <c r="Z15" s="12"/>
      <c r="AA15" s="12"/>
      <c r="AB15" s="891"/>
      <c r="AC15" s="996"/>
      <c r="AD15" s="1405"/>
      <c r="AE15" s="1405"/>
      <c r="AF15" s="1405"/>
      <c r="AG15" s="1405"/>
      <c r="AH15" s="1405"/>
      <c r="AI15" s="1405"/>
      <c r="AJ15" s="1405"/>
      <c r="AK15" s="1405"/>
      <c r="AL15" s="1405"/>
      <c r="AM15" s="1405"/>
      <c r="AN15" s="1405"/>
      <c r="AO15" s="1405"/>
      <c r="AP15" s="1405"/>
      <c r="AQ15" s="1405"/>
      <c r="AR15" s="1405"/>
      <c r="AS15" s="67"/>
      <c r="AT15" s="996"/>
      <c r="AU15" s="12"/>
      <c r="AV15" s="12"/>
      <c r="AW15" s="12"/>
      <c r="AX15" s="12"/>
      <c r="AY15" s="14"/>
      <c r="AZ15" s="14"/>
      <c r="BA15" s="14"/>
      <c r="BB15" s="14"/>
      <c r="BC15" s="14"/>
      <c r="BD15" s="14"/>
      <c r="BE15" s="14"/>
      <c r="BF15" s="14"/>
      <c r="BG15" s="14"/>
      <c r="BH15" s="14"/>
      <c r="BI15" s="14"/>
    </row>
    <row r="16" spans="1:61">
      <c r="A16" s="212"/>
      <c r="B16" s="898"/>
      <c r="C16" s="898"/>
      <c r="D16" s="898"/>
      <c r="E16" s="891"/>
      <c r="F16" s="1460" t="str">
        <f>_xlfn.CONCAT("2. EP-berekeningen omzetten naar een andere EP-methode die wél ingevoerd kan worden in ",P24,".")</f>
        <v>2. EP-berekeningen omzetten naar een andere EP-methode die wél ingevoerd kan worden in GPR 4.4.</v>
      </c>
      <c r="G16" s="1461"/>
      <c r="H16" s="1461"/>
      <c r="I16" s="1461"/>
      <c r="J16" s="1461"/>
      <c r="K16" s="1461"/>
      <c r="L16" s="1461"/>
      <c r="M16" s="1462"/>
      <c r="N16" s="1462"/>
      <c r="O16" s="1462"/>
      <c r="P16" s="1463"/>
      <c r="Q16" s="1464"/>
      <c r="R16" s="12"/>
      <c r="S16" s="12"/>
      <c r="T16" s="12"/>
      <c r="U16" s="12"/>
      <c r="V16" s="12"/>
      <c r="W16" s="12"/>
      <c r="X16" s="12"/>
      <c r="Y16" s="12"/>
      <c r="Z16" s="12"/>
      <c r="AA16" s="12"/>
      <c r="AB16" s="891"/>
      <c r="AC16" s="996"/>
      <c r="AD16" s="1405"/>
      <c r="AE16" s="1405"/>
      <c r="AF16" s="1405"/>
      <c r="AG16" s="1405"/>
      <c r="AH16" s="1405"/>
      <c r="AI16" s="1405"/>
      <c r="AJ16" s="1405"/>
      <c r="AK16" s="1405"/>
      <c r="AL16" s="1405"/>
      <c r="AM16" s="1405"/>
      <c r="AN16" s="1405"/>
      <c r="AO16" s="1405"/>
      <c r="AP16" s="1405"/>
      <c r="AQ16" s="1405"/>
      <c r="AR16" s="1405"/>
      <c r="AS16" s="67"/>
      <c r="AT16" s="996"/>
      <c r="AU16" s="12"/>
      <c r="AV16" s="12"/>
      <c r="AW16" s="12"/>
      <c r="AX16" s="12"/>
      <c r="AY16" s="14"/>
      <c r="AZ16" s="14"/>
      <c r="BA16" s="14"/>
      <c r="BB16" s="14"/>
      <c r="BC16" s="14"/>
      <c r="BD16" s="14"/>
      <c r="BE16" s="14"/>
      <c r="BF16" s="14"/>
      <c r="BG16" s="14"/>
      <c r="BH16" s="14"/>
      <c r="BI16" s="14"/>
    </row>
    <row r="17" spans="1:61">
      <c r="A17" s="212"/>
      <c r="B17" s="898"/>
      <c r="C17" s="898"/>
      <c r="D17" s="898"/>
      <c r="E17" s="891"/>
      <c r="F17" s="1465" t="s">
        <v>1714</v>
      </c>
      <c r="G17" s="1466"/>
      <c r="H17" s="1466"/>
      <c r="I17" s="1466"/>
      <c r="J17" s="1466"/>
      <c r="K17" s="1466"/>
      <c r="L17" s="1466"/>
      <c r="M17" s="1467"/>
      <c r="N17" s="1467"/>
      <c r="O17" s="1467"/>
      <c r="P17" s="1468"/>
      <c r="Q17" s="1469"/>
      <c r="R17" s="12"/>
      <c r="S17" s="12"/>
      <c r="T17" s="12"/>
      <c r="U17" s="12"/>
      <c r="V17" s="12"/>
      <c r="W17" s="12"/>
      <c r="X17" s="12"/>
      <c r="Y17" s="12"/>
      <c r="Z17" s="12"/>
      <c r="AA17" s="12"/>
      <c r="AB17" s="891"/>
      <c r="AC17" s="996"/>
      <c r="AD17" s="1405"/>
      <c r="AE17" s="1405"/>
      <c r="AF17" s="1405"/>
      <c r="AG17" s="1405"/>
      <c r="AH17" s="1405"/>
      <c r="AI17" s="1405"/>
      <c r="AJ17" s="1405"/>
      <c r="AK17" s="1405"/>
      <c r="AL17" s="1405"/>
      <c r="AM17" s="1405"/>
      <c r="AN17" s="1405"/>
      <c r="AO17" s="1405"/>
      <c r="AP17" s="1405"/>
      <c r="AQ17" s="1405"/>
      <c r="AR17" s="1405"/>
      <c r="AS17" s="67"/>
      <c r="AT17" s="996"/>
      <c r="AU17" s="12"/>
      <c r="AV17" s="12"/>
      <c r="AW17" s="12"/>
      <c r="AX17" s="12"/>
      <c r="AY17" s="14"/>
      <c r="AZ17" s="14"/>
      <c r="BA17" s="14"/>
      <c r="BB17" s="14"/>
      <c r="BC17" s="14"/>
      <c r="BD17" s="14"/>
      <c r="BE17" s="14"/>
      <c r="BF17" s="14"/>
      <c r="BG17" s="14"/>
      <c r="BH17" s="14"/>
      <c r="BI17" s="14"/>
    </row>
    <row r="18" spans="1:61" ht="5.25" customHeight="1">
      <c r="A18" s="212"/>
      <c r="B18" s="898"/>
      <c r="C18" s="898"/>
      <c r="D18" s="898"/>
      <c r="E18" s="891"/>
      <c r="F18" s="891"/>
      <c r="G18" s="891"/>
      <c r="H18" s="891"/>
      <c r="I18" s="891"/>
      <c r="J18" s="891"/>
      <c r="K18" s="891"/>
      <c r="L18" s="891"/>
      <c r="M18" s="14"/>
      <c r="N18" s="14"/>
      <c r="O18" s="14"/>
      <c r="P18" s="155"/>
      <c r="Q18" s="12"/>
      <c r="R18" s="12"/>
      <c r="S18" s="12"/>
      <c r="T18" s="12"/>
      <c r="U18" s="12"/>
      <c r="V18" s="12"/>
      <c r="W18" s="12"/>
      <c r="X18" s="12"/>
      <c r="Y18" s="12"/>
      <c r="Z18" s="12"/>
      <c r="AA18" s="12"/>
      <c r="AB18" s="891"/>
      <c r="AC18" s="996"/>
      <c r="AD18" s="1405"/>
      <c r="AE18" s="1405"/>
      <c r="AF18" s="1405"/>
      <c r="AG18" s="1405"/>
      <c r="AH18" s="1405"/>
      <c r="AI18" s="1405"/>
      <c r="AJ18" s="1405"/>
      <c r="AK18" s="1405"/>
      <c r="AL18" s="1405"/>
      <c r="AM18" s="1405"/>
      <c r="AN18" s="1405"/>
      <c r="AO18" s="1405"/>
      <c r="AP18" s="1405"/>
      <c r="AQ18" s="1405"/>
      <c r="AR18" s="1405"/>
      <c r="AS18" s="67"/>
      <c r="AT18" s="996"/>
      <c r="AU18" s="12"/>
      <c r="AV18" s="12"/>
      <c r="AW18" s="12"/>
      <c r="AX18" s="12"/>
      <c r="AY18" s="14"/>
      <c r="AZ18" s="14"/>
      <c r="BA18" s="14"/>
      <c r="BB18" s="14"/>
      <c r="BC18" s="14"/>
      <c r="BD18" s="14"/>
      <c r="BE18" s="14"/>
      <c r="BF18" s="14"/>
      <c r="BG18" s="14"/>
      <c r="BH18" s="14"/>
      <c r="BI18" s="14"/>
    </row>
    <row r="19" spans="1:61">
      <c r="A19" s="212"/>
      <c r="B19" s="898"/>
      <c r="C19" s="898"/>
      <c r="D19" s="898"/>
      <c r="E19" s="891"/>
      <c r="F19" s="1455" t="s">
        <v>1716</v>
      </c>
      <c r="G19" s="1456"/>
      <c r="H19" s="1456"/>
      <c r="I19" s="1456"/>
      <c r="J19" s="1456"/>
      <c r="K19" s="1456"/>
      <c r="L19" s="1456"/>
      <c r="M19" s="1457"/>
      <c r="N19" s="1457"/>
      <c r="O19" s="1457"/>
      <c r="P19" s="1458"/>
      <c r="Q19" s="1459"/>
      <c r="R19" s="12"/>
      <c r="S19" s="12"/>
      <c r="T19" s="12"/>
      <c r="U19" s="12"/>
      <c r="V19" s="12"/>
      <c r="W19" s="12"/>
      <c r="X19" s="12"/>
      <c r="Y19" s="12"/>
      <c r="Z19" s="12"/>
      <c r="AA19" s="12"/>
      <c r="AB19" s="891"/>
      <c r="AC19" s="996"/>
      <c r="AD19" s="1405"/>
      <c r="AE19" s="1405"/>
      <c r="AF19" s="1405"/>
      <c r="AG19" s="1405"/>
      <c r="AH19" s="1405"/>
      <c r="AI19" s="1405"/>
      <c r="AJ19" s="1405"/>
      <c r="AK19" s="1405"/>
      <c r="AL19" s="1405"/>
      <c r="AM19" s="1405"/>
      <c r="AN19" s="1405"/>
      <c r="AO19" s="1405"/>
      <c r="AP19" s="1405"/>
      <c r="AQ19" s="1405"/>
      <c r="AR19" s="1405"/>
      <c r="AS19" s="67"/>
      <c r="AT19" s="996"/>
      <c r="AU19" s="12"/>
      <c r="AV19" s="12"/>
      <c r="AW19" s="12"/>
      <c r="AX19" s="12"/>
      <c r="AY19" s="14"/>
      <c r="AZ19" s="14"/>
      <c r="BA19" s="14"/>
      <c r="BB19" s="14"/>
      <c r="BC19" s="14"/>
      <c r="BD19" s="14"/>
      <c r="BE19" s="14"/>
      <c r="BF19" s="14"/>
      <c r="BG19" s="14"/>
      <c r="BH19" s="14"/>
      <c r="BI19" s="14"/>
    </row>
    <row r="20" spans="1:61">
      <c r="A20" s="212"/>
      <c r="B20" s="898"/>
      <c r="C20" s="898"/>
      <c r="D20" s="898"/>
      <c r="E20" s="891"/>
      <c r="F20" s="891"/>
      <c r="G20" s="891"/>
      <c r="H20" s="891"/>
      <c r="I20" s="891"/>
      <c r="J20" s="891"/>
      <c r="K20" s="891"/>
      <c r="L20" s="891"/>
      <c r="M20" s="14"/>
      <c r="N20" s="14"/>
      <c r="O20" s="14"/>
      <c r="P20" s="155"/>
      <c r="Q20" s="12"/>
      <c r="R20" s="12"/>
      <c r="S20" s="12"/>
      <c r="T20" s="12"/>
      <c r="U20" s="12"/>
      <c r="V20" s="12"/>
      <c r="W20" s="12"/>
      <c r="X20" s="12"/>
      <c r="Y20" s="12"/>
      <c r="Z20" s="12"/>
      <c r="AA20" s="12"/>
      <c r="AB20" s="891"/>
      <c r="AC20" s="996"/>
      <c r="AD20" s="1405"/>
      <c r="AE20" s="1405"/>
      <c r="AF20" s="1405"/>
      <c r="AG20" s="1405"/>
      <c r="AH20" s="1405"/>
      <c r="AI20" s="1405"/>
      <c r="AJ20" s="1405"/>
      <c r="AK20" s="1405"/>
      <c r="AL20" s="1405"/>
      <c r="AM20" s="1405"/>
      <c r="AN20" s="1405"/>
      <c r="AO20" s="1405"/>
      <c r="AP20" s="1405"/>
      <c r="AQ20" s="1405"/>
      <c r="AR20" s="1405"/>
      <c r="AS20" s="67"/>
      <c r="AT20" s="996"/>
      <c r="AU20" s="12"/>
      <c r="AV20" s="12"/>
      <c r="AW20" s="12"/>
      <c r="AX20" s="12"/>
      <c r="AY20" s="14"/>
      <c r="AZ20" s="14"/>
      <c r="BA20" s="14"/>
      <c r="BB20" s="14"/>
      <c r="BC20" s="14"/>
      <c r="BD20" s="14"/>
      <c r="BE20" s="14"/>
      <c r="BF20" s="14"/>
      <c r="BG20" s="14"/>
      <c r="BH20" s="14"/>
      <c r="BI20" s="14"/>
    </row>
    <row r="21" spans="1:61" s="19" customFormat="1">
      <c r="B21" s="30"/>
      <c r="C21" s="30"/>
      <c r="D21" s="30"/>
      <c r="E21" s="14"/>
      <c r="F21" s="68" t="s">
        <v>3</v>
      </c>
      <c r="G21" s="15"/>
      <c r="H21" s="15"/>
      <c r="I21" s="15"/>
      <c r="J21" s="15"/>
      <c r="K21" s="14"/>
      <c r="L21" s="14"/>
      <c r="M21" s="15" t="s">
        <v>489</v>
      </c>
      <c r="N21" s="15"/>
      <c r="O21" s="15"/>
      <c r="P21" s="14"/>
      <c r="Q21" s="14"/>
      <c r="R21" s="14"/>
      <c r="S21" s="14"/>
      <c r="T21" s="14"/>
      <c r="U21" s="14"/>
      <c r="V21" s="14"/>
      <c r="W21" s="14"/>
      <c r="X21" s="14"/>
      <c r="Y21" s="14"/>
      <c r="Z21" s="14"/>
      <c r="AA21" s="14"/>
      <c r="AB21" s="67"/>
      <c r="AC21" s="995"/>
      <c r="AD21" s="1405"/>
      <c r="AE21" s="1405"/>
      <c r="AF21" s="1405"/>
      <c r="AG21" s="1405"/>
      <c r="AH21" s="1405"/>
      <c r="AI21" s="1405"/>
      <c r="AJ21" s="1405"/>
      <c r="AK21" s="1405"/>
      <c r="AL21" s="1405"/>
      <c r="AM21" s="1405"/>
      <c r="AN21" s="1405"/>
      <c r="AO21" s="1405"/>
      <c r="AP21" s="1405"/>
      <c r="AQ21" s="1405"/>
      <c r="AR21" s="1405"/>
      <c r="AS21" s="67"/>
      <c r="AT21" s="995"/>
      <c r="AU21" s="14"/>
      <c r="AV21" s="14" t="s">
        <v>1403</v>
      </c>
      <c r="AW21" s="14"/>
      <c r="AX21" s="14"/>
      <c r="AY21" s="14"/>
      <c r="AZ21" s="14"/>
      <c r="BA21" s="14"/>
      <c r="BB21" s="14"/>
      <c r="BC21" s="14"/>
      <c r="BD21" s="14"/>
      <c r="BE21" s="14"/>
      <c r="BF21" s="14"/>
      <c r="BG21" s="14"/>
      <c r="BH21" s="14"/>
      <c r="BI21" s="14"/>
    </row>
    <row r="22" spans="1:61" s="19" customFormat="1" ht="17.25" customHeight="1">
      <c r="B22" s="30"/>
      <c r="C22" s="30"/>
      <c r="D22" s="30"/>
      <c r="E22" s="14"/>
      <c r="F22" s="22" t="s">
        <v>4</v>
      </c>
      <c r="G22" s="1691" t="str">
        <f>IF('Overzicht GPR Hulpmiddelen'!D6="","",'Overzicht GPR Hulpmiddelen'!D6)</f>
        <v/>
      </c>
      <c r="H22" s="1691"/>
      <c r="I22" s="1691"/>
      <c r="J22" s="1691"/>
      <c r="K22" s="1700"/>
      <c r="L22" s="213" t="s">
        <v>396</v>
      </c>
      <c r="M22" s="22" t="s">
        <v>492</v>
      </c>
      <c r="N22" s="22"/>
      <c r="O22" s="22"/>
      <c r="P22" s="1705" t="s">
        <v>1372</v>
      </c>
      <c r="Q22" s="1698"/>
      <c r="R22" s="14"/>
      <c r="S22" s="14"/>
      <c r="T22" s="14"/>
      <c r="U22" s="14"/>
      <c r="V22" s="14"/>
      <c r="W22" s="14"/>
      <c r="X22" s="14"/>
      <c r="Y22" s="14"/>
      <c r="Z22" s="14"/>
      <c r="AA22" s="14"/>
      <c r="AB22" s="67"/>
      <c r="AC22" s="995"/>
      <c r="AD22" s="1405"/>
      <c r="AE22" s="1405"/>
      <c r="AF22" s="1405"/>
      <c r="AG22" s="1405"/>
      <c r="AH22" s="1405"/>
      <c r="AI22" s="1405"/>
      <c r="AJ22" s="1405"/>
      <c r="AK22" s="1405"/>
      <c r="AL22" s="1405"/>
      <c r="AM22" s="1405"/>
      <c r="AN22" s="1405"/>
      <c r="AO22" s="1405"/>
      <c r="AP22" s="1405"/>
      <c r="AQ22" s="1405"/>
      <c r="AR22" s="1405"/>
      <c r="AS22" s="67"/>
      <c r="AT22" s="995"/>
      <c r="AU22" s="14"/>
      <c r="AV22" s="1360" t="s">
        <v>494</v>
      </c>
      <c r="AW22" s="22"/>
      <c r="AX22" s="22"/>
      <c r="AY22" s="1335" t="str">
        <f>P24&amp;" | "&amp;P22</f>
        <v>GPR 4.4 | ISSO 75.3</v>
      </c>
      <c r="AZ22" s="1336"/>
      <c r="BA22" s="1336"/>
      <c r="BB22" s="1337"/>
      <c r="BC22" s="14"/>
      <c r="BD22" s="14"/>
      <c r="BE22" s="14"/>
      <c r="BF22" s="14"/>
      <c r="BG22" s="14"/>
      <c r="BH22" s="14"/>
      <c r="BI22" s="14"/>
    </row>
    <row r="23" spans="1:61" s="19" customFormat="1">
      <c r="B23" s="30"/>
      <c r="C23" s="30"/>
      <c r="D23" s="30"/>
      <c r="E23" s="14"/>
      <c r="F23" s="22" t="s">
        <v>5</v>
      </c>
      <c r="G23" s="1691" t="str">
        <f>IF('Overzicht GPR Hulpmiddelen'!D7="","",'Overzicht GPR Hulpmiddelen'!D7)</f>
        <v/>
      </c>
      <c r="H23" s="1691"/>
      <c r="I23" s="1691"/>
      <c r="J23" s="1691"/>
      <c r="K23" s="1700"/>
      <c r="L23" s="213" t="s">
        <v>396</v>
      </c>
      <c r="M23" s="22" t="s">
        <v>490</v>
      </c>
      <c r="N23" s="22"/>
      <c r="O23" s="22"/>
      <c r="P23" s="1702" t="s">
        <v>1478</v>
      </c>
      <c r="Q23" s="1701"/>
      <c r="R23" s="916" t="s">
        <v>1458</v>
      </c>
      <c r="S23" s="14"/>
      <c r="T23" s="14"/>
      <c r="U23" s="14"/>
      <c r="V23" s="14"/>
      <c r="W23" s="14"/>
      <c r="X23" s="14"/>
      <c r="Y23" s="14"/>
      <c r="Z23" s="14"/>
      <c r="AA23" s="14"/>
      <c r="AB23" s="67"/>
      <c r="AC23" s="995"/>
      <c r="AD23" s="1405"/>
      <c r="AE23" s="1405"/>
      <c r="AF23" s="1405"/>
      <c r="AG23" s="1405"/>
      <c r="AH23" s="1405"/>
      <c r="AI23" s="1405"/>
      <c r="AJ23" s="1405"/>
      <c r="AK23" s="1405"/>
      <c r="AL23" s="1405"/>
      <c r="AM23" s="1405"/>
      <c r="AN23" s="1405"/>
      <c r="AO23" s="1405"/>
      <c r="AP23" s="1405"/>
      <c r="AQ23" s="1405"/>
      <c r="AR23" s="1405"/>
      <c r="AS23" s="67"/>
      <c r="AT23" s="995"/>
      <c r="AU23" s="14"/>
      <c r="AV23" s="1360" t="s">
        <v>495</v>
      </c>
      <c r="AW23" s="22"/>
      <c r="AX23" s="22"/>
      <c r="AY23" s="1335" t="str">
        <f>_xlfn.CONCAT(P24," | ",P27)</f>
        <v>GPR 4.4 | ISSO 75.3</v>
      </c>
      <c r="AZ23" s="1336"/>
      <c r="BA23" s="1336"/>
      <c r="BB23" s="1337"/>
      <c r="BC23" s="14"/>
      <c r="BD23" s="14"/>
      <c r="BE23" s="14"/>
      <c r="BF23" s="14"/>
      <c r="BG23" s="14"/>
      <c r="BH23" s="14"/>
      <c r="BI23" s="14"/>
    </row>
    <row r="24" spans="1:61" s="19" customFormat="1">
      <c r="D24" s="30"/>
      <c r="E24" s="14"/>
      <c r="F24" s="22" t="s">
        <v>6</v>
      </c>
      <c r="G24" s="1691" t="str">
        <f>IF('Overzicht GPR Hulpmiddelen'!D8="","",'Overzicht GPR Hulpmiddelen'!D8)</f>
        <v/>
      </c>
      <c r="H24" s="1691"/>
      <c r="I24" s="1691"/>
      <c r="J24" s="1691"/>
      <c r="K24" s="1700"/>
      <c r="L24" s="213" t="s">
        <v>396</v>
      </c>
      <c r="M24" s="22" t="s">
        <v>392</v>
      </c>
      <c r="N24" s="22"/>
      <c r="O24" s="22"/>
      <c r="P24" s="1685" t="s">
        <v>395</v>
      </c>
      <c r="Q24" s="1701"/>
      <c r="R24" s="916" t="s">
        <v>1455</v>
      </c>
      <c r="S24" s="14"/>
      <c r="T24" s="14"/>
      <c r="U24" s="14"/>
      <c r="V24" s="14"/>
      <c r="W24" s="14"/>
      <c r="X24" s="14"/>
      <c r="Y24" s="14"/>
      <c r="Z24" s="14"/>
      <c r="AA24" s="14"/>
      <c r="AB24" s="67"/>
      <c r="AC24" s="995"/>
      <c r="AD24" s="1405"/>
      <c r="AE24" s="1405"/>
      <c r="AF24" s="1405"/>
      <c r="AG24" s="1405"/>
      <c r="AH24" s="1405"/>
      <c r="AI24" s="1405"/>
      <c r="AJ24" s="1405"/>
      <c r="AK24" s="1405"/>
      <c r="AL24" s="1405"/>
      <c r="AM24" s="1405"/>
      <c r="AN24" s="1405"/>
      <c r="AO24" s="1405"/>
      <c r="AP24" s="1405"/>
      <c r="AQ24" s="1405"/>
      <c r="AR24" s="1405"/>
      <c r="AS24" s="67"/>
      <c r="AT24" s="995"/>
      <c r="AU24" s="14"/>
      <c r="AV24" s="1360" t="s">
        <v>1655</v>
      </c>
      <c r="AW24" s="22"/>
      <c r="AX24" s="22"/>
      <c r="AY24" s="1335" t="str">
        <f>_xlfn.CONCAT(P24," | ",P25," | ",P26)</f>
        <v>GPR 4.4 | bestaande bouw | utiliteitsbouw</v>
      </c>
      <c r="AZ24" s="1336"/>
      <c r="BA24" s="1336"/>
      <c r="BB24" s="1337"/>
      <c r="BC24" s="14"/>
      <c r="BD24" s="14"/>
      <c r="BE24" s="14"/>
      <c r="BF24" s="14"/>
      <c r="BG24" s="14"/>
      <c r="BH24" s="14"/>
      <c r="BI24" s="14"/>
    </row>
    <row r="25" spans="1:61" s="19" customFormat="1">
      <c r="D25" s="30"/>
      <c r="E25" s="14"/>
      <c r="F25" s="22" t="s">
        <v>7</v>
      </c>
      <c r="G25" s="1699" t="str">
        <f>IF('Overzicht GPR Hulpmiddelen'!D9="","",'Overzicht GPR Hulpmiddelen'!D9)</f>
        <v/>
      </c>
      <c r="H25" s="1699"/>
      <c r="I25" s="1699"/>
      <c r="J25" s="1699"/>
      <c r="K25" s="1700"/>
      <c r="L25" s="213"/>
      <c r="M25" s="22" t="s">
        <v>1386</v>
      </c>
      <c r="N25" s="22"/>
      <c r="O25" s="22"/>
      <c r="P25" s="1685" t="s">
        <v>1390</v>
      </c>
      <c r="Q25" s="1701"/>
      <c r="R25" s="14"/>
      <c r="S25" s="14"/>
      <c r="T25" s="14"/>
      <c r="U25" s="14"/>
      <c r="V25" s="14"/>
      <c r="W25" s="14"/>
      <c r="X25" s="14"/>
      <c r="Y25" s="14"/>
      <c r="Z25" s="14"/>
      <c r="AA25" s="14"/>
      <c r="AB25" s="67"/>
      <c r="AC25" s="995"/>
      <c r="AD25" s="1405"/>
      <c r="AE25" s="1405"/>
      <c r="AF25" s="1405"/>
      <c r="AG25" s="1405"/>
      <c r="AH25" s="1405"/>
      <c r="AI25" s="1405"/>
      <c r="AJ25" s="1405"/>
      <c r="AK25" s="1405"/>
      <c r="AL25" s="1405"/>
      <c r="AM25" s="1405"/>
      <c r="AN25" s="1405"/>
      <c r="AO25" s="1405"/>
      <c r="AP25" s="1405"/>
      <c r="AQ25" s="1405"/>
      <c r="AR25" s="1405"/>
      <c r="AS25" s="67"/>
      <c r="AT25" s="995"/>
      <c r="AU25" s="14"/>
      <c r="AV25" s="1360" t="s">
        <v>1634</v>
      </c>
      <c r="AW25" s="22"/>
      <c r="AX25" s="22"/>
      <c r="AY25" s="1335" t="str">
        <f>_xlfn.CONCAT(P24," | ",P25," | ",P26," | ",P27)</f>
        <v>GPR 4.4 | bestaande bouw | utiliteitsbouw | ISSO 75.3</v>
      </c>
      <c r="AZ25" s="1336"/>
      <c r="BA25" s="1336"/>
      <c r="BB25" s="1337"/>
      <c r="BC25" s="14"/>
      <c r="BD25" s="14"/>
      <c r="BE25" s="14"/>
      <c r="BF25" s="14"/>
      <c r="BG25" s="14"/>
      <c r="BH25" s="14"/>
      <c r="BI25" s="14"/>
    </row>
    <row r="26" spans="1:61" s="19" customFormat="1">
      <c r="D26" s="30"/>
      <c r="E26" s="14"/>
      <c r="F26" s="22" t="s">
        <v>488</v>
      </c>
      <c r="G26" s="1685"/>
      <c r="H26" s="1685"/>
      <c r="I26" s="1685"/>
      <c r="J26" s="1685"/>
      <c r="K26" s="1700"/>
      <c r="L26" s="213"/>
      <c r="M26" s="22" t="s">
        <v>1665</v>
      </c>
      <c r="N26" s="22"/>
      <c r="O26" s="22"/>
      <c r="P26" s="1702" t="s">
        <v>487</v>
      </c>
      <c r="Q26" s="1701"/>
      <c r="R26" s="14"/>
      <c r="S26" s="14"/>
      <c r="T26" s="14"/>
      <c r="U26" s="14"/>
      <c r="V26" s="14"/>
      <c r="W26" s="14"/>
      <c r="X26" s="14"/>
      <c r="Y26" s="14"/>
      <c r="Z26" s="14"/>
      <c r="AA26" s="14"/>
      <c r="AB26" s="67"/>
      <c r="AC26" s="995"/>
      <c r="AD26" s="1405"/>
      <c r="AE26" s="1405"/>
      <c r="AF26" s="1405"/>
      <c r="AG26" s="1405"/>
      <c r="AH26" s="1405"/>
      <c r="AI26" s="1405"/>
      <c r="AJ26" s="1405"/>
      <c r="AK26" s="1405"/>
      <c r="AL26" s="1405"/>
      <c r="AM26" s="1405"/>
      <c r="AN26" s="1405"/>
      <c r="AO26" s="1405"/>
      <c r="AP26" s="1405"/>
      <c r="AQ26" s="1405"/>
      <c r="AR26" s="1405"/>
      <c r="AS26" s="67"/>
      <c r="AT26" s="995"/>
      <c r="AU26" s="14"/>
      <c r="AV26" s="14"/>
      <c r="AW26" s="14"/>
      <c r="AX26" s="14"/>
      <c r="AY26" s="14"/>
      <c r="AZ26" s="14"/>
      <c r="BA26" s="14"/>
      <c r="BB26" s="14"/>
      <c r="BC26" s="14"/>
      <c r="BD26" s="14"/>
      <c r="BE26" s="14"/>
      <c r="BF26" s="14"/>
      <c r="BG26" s="14"/>
      <c r="BH26" s="14"/>
      <c r="BI26" s="14"/>
    </row>
    <row r="27" spans="1:61" s="19" customFormat="1">
      <c r="D27" s="30"/>
      <c r="E27" s="14"/>
      <c r="F27" s="22" t="s">
        <v>1525</v>
      </c>
      <c r="G27" s="1685"/>
      <c r="H27" s="1685"/>
      <c r="I27" s="1685"/>
      <c r="J27" s="1685"/>
      <c r="K27" s="1700"/>
      <c r="L27" s="213" t="s">
        <v>396</v>
      </c>
      <c r="M27" s="22" t="s">
        <v>1526</v>
      </c>
      <c r="N27" s="22"/>
      <c r="O27" s="22"/>
      <c r="P27" s="1703" t="s">
        <v>1372</v>
      </c>
      <c r="Q27" s="1704"/>
      <c r="R27" s="983" t="str">
        <f>_xlfn.CONCAT("Kies een passende bepalingsmethode, die beschikbaar is in ",P24)</f>
        <v>Kies een passende bepalingsmethode, die beschikbaar is in GPR 4.4</v>
      </c>
      <c r="S27" s="14"/>
      <c r="T27" s="14"/>
      <c r="U27" s="14"/>
      <c r="V27" s="14"/>
      <c r="W27" s="14"/>
      <c r="X27" s="14"/>
      <c r="Y27" s="14"/>
      <c r="Z27" s="14"/>
      <c r="AA27" s="14"/>
      <c r="AB27" s="67"/>
      <c r="AC27" s="995"/>
      <c r="AD27" s="1405"/>
      <c r="AE27" s="1405"/>
      <c r="AF27" s="1405"/>
      <c r="AG27" s="1405"/>
      <c r="AH27" s="1405"/>
      <c r="AI27" s="1405"/>
      <c r="AJ27" s="1405"/>
      <c r="AK27" s="1405"/>
      <c r="AL27" s="1405"/>
      <c r="AM27" s="1405"/>
      <c r="AN27" s="1405"/>
      <c r="AO27" s="1405"/>
      <c r="AP27" s="1405"/>
      <c r="AQ27" s="1405"/>
      <c r="AR27" s="1405"/>
      <c r="AS27" s="67"/>
      <c r="AT27" s="995"/>
      <c r="AU27" s="14"/>
      <c r="AV27" s="14"/>
      <c r="AW27" s="14"/>
      <c r="AX27" s="14"/>
      <c r="AY27" s="14"/>
      <c r="AZ27" s="14"/>
      <c r="BA27" s="14"/>
      <c r="BB27" s="14"/>
      <c r="BC27" s="14"/>
      <c r="BD27" s="14"/>
      <c r="BE27" s="14"/>
      <c r="BF27" s="14"/>
      <c r="BG27" s="14"/>
      <c r="BH27" s="14"/>
      <c r="BI27" s="14"/>
    </row>
    <row r="28" spans="1:61">
      <c r="A28" s="212"/>
      <c r="B28" s="898"/>
      <c r="C28" s="898"/>
      <c r="D28" s="898"/>
      <c r="E28" s="891"/>
      <c r="F28" s="891"/>
      <c r="G28" s="891"/>
      <c r="H28" s="891"/>
      <c r="I28" s="891"/>
      <c r="J28" s="891"/>
      <c r="K28" s="891"/>
      <c r="L28" s="891"/>
      <c r="M28" s="14"/>
      <c r="N28" s="14"/>
      <c r="O28" s="14"/>
      <c r="P28" s="155"/>
      <c r="Q28" s="12"/>
      <c r="R28" s="12"/>
      <c r="S28" s="12"/>
      <c r="T28" s="12"/>
      <c r="U28" s="12"/>
      <c r="V28" s="12"/>
      <c r="W28" s="12"/>
      <c r="X28" s="12"/>
      <c r="Y28" s="12"/>
      <c r="Z28" s="12"/>
      <c r="AA28" s="12"/>
      <c r="AB28" s="891"/>
      <c r="AC28" s="996"/>
      <c r="AD28" s="1405"/>
      <c r="AE28" s="1405"/>
      <c r="AF28" s="1405"/>
      <c r="AG28" s="1405"/>
      <c r="AH28" s="1405"/>
      <c r="AI28" s="1405"/>
      <c r="AJ28" s="1405"/>
      <c r="AK28" s="1405"/>
      <c r="AL28" s="1405"/>
      <c r="AM28" s="1405"/>
      <c r="AN28" s="1405"/>
      <c r="AO28" s="1405"/>
      <c r="AP28" s="1405"/>
      <c r="AQ28" s="1405"/>
      <c r="AR28" s="1405"/>
      <c r="AS28" s="67"/>
      <c r="AT28" s="996"/>
      <c r="AU28" s="12"/>
      <c r="AV28" s="12"/>
      <c r="AW28" s="12"/>
      <c r="AX28" s="12"/>
      <c r="AY28" s="14"/>
      <c r="AZ28" s="14"/>
      <c r="BA28" s="14"/>
      <c r="BB28" s="14"/>
      <c r="BC28" s="14"/>
      <c r="BD28" s="14"/>
      <c r="BE28" s="14"/>
      <c r="BF28" s="14"/>
      <c r="BG28" s="14"/>
      <c r="BH28" s="14"/>
      <c r="BI28" s="14"/>
    </row>
    <row r="29" spans="1:61" s="896" customFormat="1" ht="25.5" customHeight="1">
      <c r="A29" s="86"/>
      <c r="B29" s="30"/>
      <c r="C29" s="30"/>
      <c r="D29" s="943"/>
      <c r="E29" s="897"/>
      <c r="F29" s="893" t="s">
        <v>1405</v>
      </c>
      <c r="G29" s="912"/>
      <c r="H29" s="913"/>
      <c r="I29" s="894"/>
      <c r="J29" s="912"/>
      <c r="K29" s="914"/>
      <c r="L29" s="895"/>
      <c r="M29" s="893"/>
      <c r="N29" s="893"/>
      <c r="O29" s="895"/>
      <c r="P29" s="895"/>
      <c r="Q29" s="893"/>
      <c r="R29" s="893"/>
      <c r="S29" s="893"/>
      <c r="T29" s="893"/>
      <c r="U29" s="893"/>
      <c r="V29" s="893"/>
      <c r="W29" s="893"/>
      <c r="X29" s="893"/>
      <c r="Y29" s="893"/>
      <c r="Z29" s="893"/>
      <c r="AA29" s="893"/>
      <c r="AB29" s="893"/>
      <c r="AC29" s="893"/>
      <c r="AD29" s="893"/>
      <c r="AE29" s="893"/>
      <c r="AF29" s="893"/>
      <c r="AG29" s="893"/>
      <c r="AH29" s="893"/>
      <c r="AI29" s="893"/>
      <c r="AJ29" s="893"/>
      <c r="AK29" s="893"/>
      <c r="AL29" s="893"/>
      <c r="AM29" s="893"/>
      <c r="AN29" s="893"/>
      <c r="AO29" s="893"/>
      <c r="AP29" s="893"/>
      <c r="AQ29" s="893"/>
      <c r="AR29" s="893"/>
      <c r="AS29" s="893"/>
      <c r="AT29" s="1381"/>
      <c r="AU29" s="893"/>
      <c r="AV29" s="893"/>
      <c r="AW29" s="893"/>
      <c r="AX29" s="893"/>
      <c r="AY29" s="893"/>
      <c r="AZ29" s="893"/>
      <c r="BA29" s="893"/>
      <c r="BB29" s="893"/>
      <c r="BC29" s="893"/>
      <c r="BD29" s="893"/>
      <c r="BE29" s="893"/>
      <c r="BF29" s="893"/>
      <c r="BG29" s="893"/>
      <c r="BH29" s="893"/>
      <c r="BI29" s="893"/>
    </row>
    <row r="30" spans="1:61" collapsed="1">
      <c r="A30" s="86"/>
      <c r="D30" s="943"/>
      <c r="E30" s="14"/>
      <c r="F30" s="13"/>
      <c r="G30" s="13"/>
      <c r="H30" s="13"/>
      <c r="I30" s="12"/>
      <c r="J30" s="39"/>
      <c r="K30" s="40"/>
      <c r="L30" s="39"/>
      <c r="M30" s="39"/>
      <c r="N30" s="39"/>
      <c r="O30" s="39"/>
      <c r="P30" s="12"/>
      <c r="Q30" s="12"/>
      <c r="R30" s="12"/>
      <c r="S30" s="12"/>
      <c r="T30" s="12"/>
      <c r="U30" s="12"/>
      <c r="V30" s="12"/>
      <c r="W30" s="12"/>
      <c r="X30" s="12"/>
      <c r="Y30" s="12"/>
      <c r="Z30" s="12"/>
      <c r="AA30" s="12"/>
      <c r="AB30" s="67"/>
      <c r="AC30" s="995"/>
      <c r="AD30" s="1405"/>
      <c r="AE30" s="1405"/>
      <c r="AF30" s="1405"/>
      <c r="AG30" s="1405"/>
      <c r="AH30" s="1405"/>
      <c r="AI30" s="1405"/>
      <c r="AJ30" s="1405"/>
      <c r="AK30" s="1405"/>
      <c r="AL30" s="1405"/>
      <c r="AM30" s="1405"/>
      <c r="AN30" s="1405"/>
      <c r="AO30" s="1405"/>
      <c r="AP30" s="1405"/>
      <c r="AQ30" s="1405"/>
      <c r="AR30" s="1405"/>
      <c r="AS30" s="67"/>
      <c r="AT30" s="995"/>
      <c r="AU30" s="12"/>
      <c r="AV30" s="12"/>
      <c r="AW30" s="12"/>
      <c r="AX30" s="12"/>
      <c r="AY30" s="12"/>
      <c r="AZ30" s="12"/>
      <c r="BA30" s="12"/>
      <c r="BB30" s="12"/>
      <c r="BC30" s="12"/>
      <c r="BD30" s="40"/>
      <c r="BE30" s="40"/>
      <c r="BF30" s="13"/>
      <c r="BG30" s="13"/>
      <c r="BH30" s="13"/>
      <c r="BI30" s="14"/>
    </row>
    <row r="31" spans="1:61">
      <c r="A31" s="18"/>
      <c r="B31" s="763"/>
      <c r="C31" s="763"/>
      <c r="D31" s="763"/>
      <c r="E31" s="14"/>
      <c r="F31" s="15" t="str">
        <f>_xlfn.CONCAT("Overnemen uit EP-berekening '",$P$23,"'")</f>
        <v>Overnemen uit EP-berekening 'Energielabel utiliteit'</v>
      </c>
      <c r="G31" s="16"/>
      <c r="H31" s="16"/>
      <c r="I31" s="16"/>
      <c r="J31" s="148"/>
      <c r="K31" s="14"/>
      <c r="L31" s="39"/>
      <c r="M31" s="12"/>
      <c r="N31" s="12"/>
      <c r="O31" s="12"/>
      <c r="P31" s="12"/>
      <c r="Q31" s="12"/>
      <c r="R31" s="12"/>
      <c r="S31" s="12"/>
      <c r="T31" s="12"/>
      <c r="U31" s="12"/>
      <c r="V31" s="12"/>
      <c r="W31" s="12"/>
      <c r="X31" s="12"/>
      <c r="Y31" s="12"/>
      <c r="Z31" s="12"/>
      <c r="AA31" s="12"/>
      <c r="AB31" s="67"/>
      <c r="AC31" s="995"/>
      <c r="AD31" s="1432"/>
      <c r="AE31" s="1409" t="str">
        <f>_xlfn.CONCAT("Informatief: score in ",$P$24," ",$P$25)</f>
        <v>Informatief: score in GPR 4.4 bestaande bouw</v>
      </c>
      <c r="AF31" s="1408"/>
      <c r="AG31" s="1408"/>
      <c r="AH31" s="1388"/>
      <c r="AI31" s="1388"/>
      <c r="AJ31" s="1388"/>
      <c r="AK31" s="1405"/>
      <c r="AL31" s="1405"/>
      <c r="AM31" s="1405"/>
      <c r="AN31" s="1405"/>
      <c r="AO31" s="1405"/>
      <c r="AP31" s="1405"/>
      <c r="AQ31" s="1405"/>
      <c r="AR31" s="1405"/>
      <c r="AS31" s="67"/>
      <c r="AT31" s="995"/>
      <c r="AU31" s="12"/>
      <c r="AV31" s="15" t="s">
        <v>1656</v>
      </c>
      <c r="AW31" s="12"/>
      <c r="AX31" s="12"/>
      <c r="AY31" s="12"/>
      <c r="AZ31" s="12"/>
      <c r="BA31" s="12"/>
      <c r="BB31" s="12"/>
      <c r="BC31" s="12"/>
      <c r="BD31" s="40"/>
      <c r="BE31" s="40"/>
      <c r="BF31" s="13"/>
      <c r="BG31" s="13"/>
      <c r="BH31" s="13"/>
      <c r="BI31" s="14"/>
    </row>
    <row r="32" spans="1:61">
      <c r="A32" s="18"/>
      <c r="B32" s="763"/>
      <c r="C32" s="763"/>
      <c r="D32" s="763"/>
      <c r="E32" s="14"/>
      <c r="F32" s="452" t="s">
        <v>1398</v>
      </c>
      <c r="G32" s="16"/>
      <c r="H32" s="16"/>
      <c r="I32" s="16"/>
      <c r="J32" s="148"/>
      <c r="K32" s="14"/>
      <c r="L32" s="39"/>
      <c r="M32" s="12"/>
      <c r="N32" s="12"/>
      <c r="O32" s="12"/>
      <c r="P32" s="12"/>
      <c r="Q32" s="12"/>
      <c r="R32" s="12"/>
      <c r="S32" s="12"/>
      <c r="T32" s="12"/>
      <c r="U32" s="12"/>
      <c r="V32" s="12"/>
      <c r="W32" s="12"/>
      <c r="X32" s="12"/>
      <c r="Y32" s="12"/>
      <c r="Z32" s="12"/>
      <c r="AA32" s="12"/>
      <c r="AB32" s="67"/>
      <c r="AC32" s="995"/>
      <c r="AD32" s="891"/>
      <c r="AE32" s="1410" t="s">
        <v>1397</v>
      </c>
      <c r="AF32" s="1410"/>
      <c r="AG32" s="1410"/>
      <c r="AH32" s="1410"/>
      <c r="AI32" s="1410"/>
      <c r="AJ32" s="1410"/>
      <c r="AK32" s="1405"/>
      <c r="AL32" s="1405"/>
      <c r="AM32" s="1405"/>
      <c r="AN32" s="1405"/>
      <c r="AO32" s="1405"/>
      <c r="AP32" s="1405"/>
      <c r="AQ32" s="1405"/>
      <c r="AR32" s="1405"/>
      <c r="AS32" s="67"/>
      <c r="AT32" s="995"/>
      <c r="AU32" s="12"/>
      <c r="AV32" s="452" t="s">
        <v>1657</v>
      </c>
      <c r="AW32" s="452"/>
      <c r="AX32" s="452" t="s">
        <v>1658</v>
      </c>
      <c r="AY32" s="452"/>
      <c r="AZ32" s="452" t="s">
        <v>1659</v>
      </c>
      <c r="BA32" s="452"/>
      <c r="BB32" s="12"/>
      <c r="BC32" s="12"/>
      <c r="BD32" s="40"/>
      <c r="BE32" s="40"/>
      <c r="BF32" s="13"/>
      <c r="BG32" s="13"/>
      <c r="BH32" s="13"/>
      <c r="BI32" s="14"/>
    </row>
    <row r="33" spans="1:61">
      <c r="A33" s="139" t="s">
        <v>396</v>
      </c>
      <c r="B33" s="943"/>
      <c r="C33" s="47" t="str">
        <f>BA52</f>
        <v>VABI EPA-U</v>
      </c>
      <c r="D33" s="943"/>
      <c r="E33" s="14"/>
      <c r="F33" s="47" t="str">
        <f>BC52</f>
        <v>EPA-U: Primaire energie</v>
      </c>
      <c r="G33" s="23"/>
      <c r="H33" s="23"/>
      <c r="I33" s="16"/>
      <c r="J33" s="25">
        <v>50</v>
      </c>
      <c r="K33" s="47" t="str">
        <f>BD52</f>
        <v>MJ</v>
      </c>
      <c r="L33" s="39"/>
      <c r="M33" s="12"/>
      <c r="N33" s="12"/>
      <c r="O33" s="12"/>
      <c r="P33" s="12"/>
      <c r="Q33" s="12"/>
      <c r="R33" s="12"/>
      <c r="S33" s="12"/>
      <c r="T33" s="12"/>
      <c r="U33" s="12"/>
      <c r="V33" s="12"/>
      <c r="W33" s="12"/>
      <c r="X33" s="12"/>
      <c r="Y33" s="12"/>
      <c r="Z33" s="12"/>
      <c r="AA33" s="12"/>
      <c r="AB33" s="67"/>
      <c r="AC33" s="995"/>
      <c r="AD33" s="891" t="s">
        <v>396</v>
      </c>
      <c r="AE33" s="903" t="str">
        <f>_xlfn.CONCAT("grenswaarde GPR 6 bij bronmethode (",$P$22," )")</f>
        <v>grenswaarde GPR 6 bij bronmethode (ISSO 75.3 )</v>
      </c>
      <c r="AF33" s="1474"/>
      <c r="AG33" s="1475">
        <f>F320</f>
        <v>958.33333333333337</v>
      </c>
      <c r="AH33" s="1476" t="str">
        <f>INDEX(EP_Methode_BRON_per_GPR_Versie_Eenheid,MATCH(P$22,EP_Methode_BRON_per_GPR_Versie,0))&amp;"/m2 Ag"</f>
        <v>MJ/m2 Ag</v>
      </c>
      <c r="AI33" s="1410"/>
      <c r="AJ33" s="1410"/>
      <c r="AK33" s="1405"/>
      <c r="AL33" s="1405"/>
      <c r="AM33" s="1405"/>
      <c r="AN33" s="1405"/>
      <c r="AO33" s="1405"/>
      <c r="AP33" s="1405"/>
      <c r="AQ33" s="1405"/>
      <c r="AR33" s="1405"/>
      <c r="AS33" s="67"/>
      <c r="AT33" s="995"/>
      <c r="AU33" s="12"/>
      <c r="AV33" s="22" t="str">
        <f>NEN_7120</f>
        <v>NEN 7120</v>
      </c>
      <c r="AW33" s="22"/>
      <c r="AX33" s="22">
        <f>VLOOKUP(EP_versie_scope_functie,EP_Methode_DOEL_per_GPR_Versie,MATCH(AV33,EP_Methode_DOEL_per_GPR_Versie_titel,0),FALSE)</f>
        <v>1</v>
      </c>
      <c r="AY33" s="22"/>
      <c r="AZ33" s="305" t="str" cm="1">
        <f t="array" ref="AZ33:AZ35">_xlfn._xlws.FILTER(AV33:AV35,AX33:AX35)</f>
        <v>NEN 7120</v>
      </c>
      <c r="BA33" s="12"/>
      <c r="BB33" s="12"/>
      <c r="BC33" s="12"/>
      <c r="BD33" s="40"/>
      <c r="BE33" s="40"/>
      <c r="BF33" s="13"/>
      <c r="BG33" s="13"/>
      <c r="BH33" s="13"/>
      <c r="BI33" s="14"/>
    </row>
    <row r="34" spans="1:61">
      <c r="A34" s="86"/>
      <c r="B34" s="943"/>
      <c r="C34" s="47" t="str">
        <f>BA53</f>
        <v>Energielabel utiliteit</v>
      </c>
      <c r="D34" s="943"/>
      <c r="E34" s="14"/>
      <c r="F34" s="47" t="str">
        <f>BC53</f>
        <v>Energielabel: Primaire energie</v>
      </c>
      <c r="G34" s="23"/>
      <c r="H34" s="23"/>
      <c r="I34" s="16"/>
      <c r="J34" s="25"/>
      <c r="K34" s="47" t="str">
        <f>BD53</f>
        <v>MJ/m2</v>
      </c>
      <c r="L34" s="39"/>
      <c r="M34" s="12"/>
      <c r="N34" s="12"/>
      <c r="O34" s="12"/>
      <c r="P34" s="12"/>
      <c r="Q34" s="12"/>
      <c r="R34" s="12"/>
      <c r="S34" s="12"/>
      <c r="T34" s="12"/>
      <c r="U34" s="12"/>
      <c r="V34" s="12"/>
      <c r="W34" s="12"/>
      <c r="X34" s="12"/>
      <c r="Y34" s="12"/>
      <c r="Z34" s="12"/>
      <c r="AA34" s="12"/>
      <c r="AB34" s="67"/>
      <c r="AC34" s="995"/>
      <c r="AD34" s="891" t="s">
        <v>396</v>
      </c>
      <c r="AE34" s="903" t="str">
        <f>_xlfn.CONCAT("grenswaarde GPR 10 bij bronmethode (",$P$22," )")</f>
        <v>grenswaarde GPR 10 bij bronmethode (ISSO 75.3 )</v>
      </c>
      <c r="AF34" s="1474"/>
      <c r="AG34" s="1475">
        <f>G320</f>
        <v>-169.48965517241379</v>
      </c>
      <c r="AH34" s="1476" t="str">
        <f>INDEX(EP_Methode_BRON_per_GPR_Versie_Eenheid,MATCH(P$22,EP_Methode_BRON_per_GPR_Versie,0))&amp;"/m2 Ag"</f>
        <v>MJ/m2 Ag</v>
      </c>
      <c r="AI34" s="1410"/>
      <c r="AJ34" s="1410"/>
      <c r="AK34" s="1405"/>
      <c r="AL34" s="1405"/>
      <c r="AM34" s="1405"/>
      <c r="AN34" s="1405"/>
      <c r="AO34" s="1405"/>
      <c r="AP34" s="1405"/>
      <c r="AQ34" s="1405"/>
      <c r="AR34" s="1405"/>
      <c r="AS34" s="67"/>
      <c r="AT34" s="995"/>
      <c r="AU34" s="12"/>
      <c r="AV34" s="22" t="str">
        <f>NTA_8800</f>
        <v>NTA 8800</v>
      </c>
      <c r="AW34" s="22"/>
      <c r="AX34" s="22">
        <f>VLOOKUP(EP_versie_scope_functie,EP_Methode_DOEL_per_GPR_Versie,MATCH(AV34,EP_Methode_DOEL_per_GPR_Versie_titel,0),FALSE)</f>
        <v>1</v>
      </c>
      <c r="AY34" s="22"/>
      <c r="AZ34" s="304" t="str">
        <v>NTA 8800</v>
      </c>
      <c r="BA34" s="12"/>
      <c r="BB34" s="12"/>
      <c r="BC34" s="12"/>
      <c r="BD34" s="40"/>
      <c r="BE34" s="40"/>
      <c r="BF34" s="13"/>
      <c r="BG34" s="13"/>
      <c r="BH34" s="13"/>
      <c r="BI34" s="14"/>
    </row>
    <row r="35" spans="1:61">
      <c r="A35" s="139" t="s">
        <v>396</v>
      </c>
      <c r="B35" s="943"/>
      <c r="C35" s="47" t="str">
        <f>VLOOKUP(P23,$AV$52:$AX$55,COLUMNS($AV$51:$AX$51),FALSE)</f>
        <v>Energielabel utiliteit</v>
      </c>
      <c r="D35" s="943"/>
      <c r="E35" s="14"/>
      <c r="F35" s="22" t="str">
        <f>VLOOKUP($C35,$BA$52:$BE$55,COLUMNS($BA$51:$BE$51),FALSE)</f>
        <v>Energielabel: Primaire energie per m2</v>
      </c>
      <c r="G35" s="23"/>
      <c r="H35" s="23"/>
      <c r="I35" s="16"/>
      <c r="J35" s="23">
        <f>IFERROR(SUMIFS(J33:J34,$C$33:$C$34,$C$35)/IF(VLOOKUP($C35,$BA$52:$BF$55,COLUMNS($BA$51:$BF$51),FALSE)=0,$J$59,1),"")</f>
        <v>0</v>
      </c>
      <c r="K35" s="22" t="str">
        <f>_xlfn.CONCAT(INDEX(EP_methode_eenheid,1,MATCH($P$22,EP_methode,0)),"/m2 Ag")</f>
        <v>MJ/m2 Ag</v>
      </c>
      <c r="L35" s="39"/>
      <c r="M35" s="12"/>
      <c r="N35" s="12"/>
      <c r="O35" s="12"/>
      <c r="P35" s="12"/>
      <c r="Q35" s="12"/>
      <c r="R35" s="12"/>
      <c r="S35" s="12"/>
      <c r="T35" s="12"/>
      <c r="U35" s="12"/>
      <c r="V35" s="12"/>
      <c r="W35" s="12"/>
      <c r="X35" s="12"/>
      <c r="Y35" s="12"/>
      <c r="Z35" s="12"/>
      <c r="AA35" s="12"/>
      <c r="AB35" s="67"/>
      <c r="AC35" s="995"/>
      <c r="AD35" s="891" t="s">
        <v>396</v>
      </c>
      <c r="AE35" s="1383" t="s">
        <v>1645</v>
      </c>
      <c r="AF35" s="1444"/>
      <c r="AG35" s="1446">
        <f>J320</f>
        <v>9.2610555239266272</v>
      </c>
      <c r="AH35" s="1387" t="s">
        <v>132</v>
      </c>
      <c r="AI35" s="1410"/>
      <c r="AJ35" s="1410"/>
      <c r="AK35" s="1405"/>
      <c r="AL35" s="1405"/>
      <c r="AM35" s="1405"/>
      <c r="AN35" s="1405"/>
      <c r="AO35" s="1405"/>
      <c r="AP35" s="1405"/>
      <c r="AQ35" s="1405"/>
      <c r="AR35" s="1405"/>
      <c r="AS35" s="67"/>
      <c r="AT35" s="995"/>
      <c r="AU35" s="12"/>
      <c r="AV35" s="22" t="str">
        <f>ISSO_75.3</f>
        <v>ISSO 75.3</v>
      </c>
      <c r="AW35" s="22"/>
      <c r="AX35" s="22">
        <f>VLOOKUP(EP_versie_scope_functie,EP_Methode_DOEL_per_GPR_Versie,MATCH(AV35,EP_Methode_DOEL_per_GPR_Versie_titel,0),FALSE)</f>
        <v>1</v>
      </c>
      <c r="AY35" s="22"/>
      <c r="AZ35" s="306" t="str">
        <v>ISSO 75.3</v>
      </c>
      <c r="BA35" s="12"/>
      <c r="BB35" s="12"/>
      <c r="BC35" s="12"/>
      <c r="BD35" s="40"/>
      <c r="BE35" s="40"/>
      <c r="BF35" s="13"/>
      <c r="BG35" s="13"/>
      <c r="BH35" s="13"/>
      <c r="BI35" s="14"/>
    </row>
    <row r="36" spans="1:61">
      <c r="A36" s="139" t="s">
        <v>396</v>
      </c>
      <c r="B36" s="943"/>
      <c r="C36" s="47" t="s">
        <v>401</v>
      </c>
      <c r="D36" s="943"/>
      <c r="E36" s="14"/>
      <c r="F36" s="47" t="s">
        <v>1786</v>
      </c>
      <c r="G36" s="47"/>
      <c r="H36" s="47"/>
      <c r="I36" s="16"/>
      <c r="J36" s="1051" t="str">
        <f>IF(C36&lt;&gt;P22,"-",IFERROR(1-J35/AJ58,""))</f>
        <v>-</v>
      </c>
      <c r="K36" s="22"/>
      <c r="L36" s="39"/>
      <c r="M36" s="12"/>
      <c r="N36" s="12"/>
      <c r="O36" s="12"/>
      <c r="P36" s="12"/>
      <c r="Q36" s="12"/>
      <c r="R36" s="12"/>
      <c r="S36" s="12"/>
      <c r="T36" s="12"/>
      <c r="U36" s="12"/>
      <c r="V36" s="12"/>
      <c r="W36" s="12"/>
      <c r="X36" s="12"/>
      <c r="Y36" s="12"/>
      <c r="Z36" s="12"/>
      <c r="AA36" s="12"/>
      <c r="AB36" s="67"/>
      <c r="AC36" s="995"/>
      <c r="AD36" s="891"/>
      <c r="AE36" s="1383"/>
      <c r="AF36" s="1533"/>
      <c r="AG36" s="1534"/>
      <c r="AH36" s="1387"/>
      <c r="AI36" s="1410"/>
      <c r="AJ36" s="1410"/>
      <c r="AK36" s="1405"/>
      <c r="AL36" s="1405"/>
      <c r="AM36" s="1405"/>
      <c r="AN36" s="1405"/>
      <c r="AO36" s="1405"/>
      <c r="AP36" s="1405"/>
      <c r="AQ36" s="1405"/>
      <c r="AR36" s="1405"/>
      <c r="AS36" s="67"/>
      <c r="AT36" s="995"/>
      <c r="AU36" s="12"/>
      <c r="AV36" s="22"/>
      <c r="AW36" s="22"/>
      <c r="AX36" s="22"/>
      <c r="AY36" s="22"/>
      <c r="AZ36" s="1532"/>
      <c r="BA36" s="12"/>
      <c r="BB36" s="12"/>
      <c r="BC36" s="12"/>
      <c r="BD36" s="40"/>
      <c r="BE36" s="40"/>
      <c r="BF36" s="13"/>
      <c r="BG36" s="13"/>
      <c r="BH36" s="13"/>
      <c r="BI36" s="14"/>
    </row>
    <row r="37" spans="1:61" ht="5.25" customHeight="1" collapsed="1">
      <c r="A37" s="86"/>
      <c r="B37" s="943"/>
      <c r="C37" s="943"/>
      <c r="D37" s="943"/>
      <c r="E37" s="14"/>
      <c r="F37" s="13"/>
      <c r="G37" s="13"/>
      <c r="H37" s="13"/>
      <c r="I37" s="16"/>
      <c r="J37" s="13"/>
      <c r="K37" s="13"/>
      <c r="L37" s="39"/>
      <c r="M37" s="12"/>
      <c r="N37" s="12"/>
      <c r="O37" s="12"/>
      <c r="P37" s="12"/>
      <c r="Q37" s="12"/>
      <c r="R37" s="12"/>
      <c r="S37" s="12"/>
      <c r="T37" s="12"/>
      <c r="U37" s="12"/>
      <c r="V37" s="12"/>
      <c r="W37" s="12"/>
      <c r="X37" s="12"/>
      <c r="Y37" s="12"/>
      <c r="Z37" s="12"/>
      <c r="AA37" s="12"/>
      <c r="AB37" s="67"/>
      <c r="AC37" s="995"/>
      <c r="AD37" s="1432"/>
      <c r="AE37" s="1408"/>
      <c r="AF37" s="1408"/>
      <c r="AG37" s="1388"/>
      <c r="AH37" s="1388"/>
      <c r="AI37" s="1410"/>
      <c r="AJ37" s="1410"/>
      <c r="AK37" s="1405"/>
      <c r="AL37" s="1405"/>
      <c r="AM37" s="1405"/>
      <c r="AN37" s="1405"/>
      <c r="AO37" s="1405"/>
      <c r="AP37" s="1405"/>
      <c r="AQ37" s="1405"/>
      <c r="AR37" s="1405"/>
      <c r="AS37" s="67"/>
      <c r="AT37" s="995"/>
      <c r="AU37" s="12"/>
      <c r="AV37" s="12"/>
      <c r="AW37" s="12"/>
      <c r="AX37" s="12"/>
      <c r="AY37" s="12"/>
      <c r="AZ37" s="12"/>
      <c r="BA37" s="12"/>
      <c r="BB37" s="12"/>
      <c r="BC37" s="12"/>
      <c r="BD37" s="40"/>
      <c r="BE37" s="40"/>
      <c r="BF37" s="13"/>
      <c r="BG37" s="13"/>
      <c r="BH37" s="13"/>
      <c r="BI37" s="13"/>
    </row>
    <row r="38" spans="1:61">
      <c r="A38" s="18"/>
      <c r="B38" s="763"/>
      <c r="C38" s="763"/>
      <c r="D38" s="763"/>
      <c r="E38" s="14"/>
      <c r="F38" s="452" t="s">
        <v>1399</v>
      </c>
      <c r="G38" s="16"/>
      <c r="H38" s="16"/>
      <c r="I38" s="16"/>
      <c r="J38" s="148"/>
      <c r="K38" s="14"/>
      <c r="L38" s="39"/>
      <c r="M38" s="12"/>
      <c r="N38" s="12"/>
      <c r="O38" s="12"/>
      <c r="P38" s="12"/>
      <c r="Q38" s="12"/>
      <c r="R38" s="12"/>
      <c r="S38" s="12"/>
      <c r="T38" s="12"/>
      <c r="U38" s="12"/>
      <c r="V38" s="12"/>
      <c r="W38" s="12"/>
      <c r="X38" s="12"/>
      <c r="Y38" s="12"/>
      <c r="Z38" s="12"/>
      <c r="AA38" s="12"/>
      <c r="AB38" s="67"/>
      <c r="AC38" s="995"/>
      <c r="AD38" s="891"/>
      <c r="AE38" s="1410" t="s">
        <v>571</v>
      </c>
      <c r="AF38" s="1408"/>
      <c r="AG38" s="1388"/>
      <c r="AH38" s="1388"/>
      <c r="AI38" s="1410"/>
      <c r="AJ38" s="1410"/>
      <c r="AK38" s="1405"/>
      <c r="AL38" s="1405"/>
      <c r="AM38" s="1405"/>
      <c r="AN38" s="1405"/>
      <c r="AO38" s="1405"/>
      <c r="AP38" s="1405"/>
      <c r="AQ38" s="1405"/>
      <c r="AR38" s="1405"/>
      <c r="AS38" s="67"/>
      <c r="AT38" s="995"/>
      <c r="AU38" s="12"/>
      <c r="AV38" s="12"/>
      <c r="AW38" s="12"/>
      <c r="AX38" s="12"/>
      <c r="AY38" s="12"/>
      <c r="AZ38" s="12"/>
      <c r="BA38" s="12"/>
      <c r="BB38" s="12"/>
      <c r="BC38" s="12"/>
      <c r="BD38" s="40"/>
      <c r="BE38" s="40"/>
      <c r="BF38" s="13"/>
      <c r="BG38" s="13"/>
      <c r="BH38" s="13"/>
      <c r="BI38" s="13"/>
    </row>
    <row r="39" spans="1:61">
      <c r="A39" s="139" t="s">
        <v>396</v>
      </c>
      <c r="B39" s="944"/>
      <c r="C39" s="944"/>
      <c r="D39" s="944"/>
      <c r="E39" s="14"/>
      <c r="F39" s="22" t="s">
        <v>571</v>
      </c>
      <c r="G39" s="23"/>
      <c r="H39" s="23"/>
      <c r="I39" s="16"/>
      <c r="J39" s="1102"/>
      <c r="K39" s="47" t="s">
        <v>468</v>
      </c>
      <c r="L39" s="39"/>
      <c r="M39" s="12"/>
      <c r="N39" s="12"/>
      <c r="O39" s="12"/>
      <c r="P39" s="12"/>
      <c r="Q39" s="12"/>
      <c r="R39" s="12"/>
      <c r="S39" s="12"/>
      <c r="T39" s="12"/>
      <c r="U39" s="12"/>
      <c r="V39" s="12"/>
      <c r="W39" s="12"/>
      <c r="X39" s="12"/>
      <c r="Y39" s="12"/>
      <c r="Z39" s="12"/>
      <c r="AA39" s="12"/>
      <c r="AB39" s="67"/>
      <c r="AC39" s="995"/>
      <c r="AD39" s="891" t="s">
        <v>396</v>
      </c>
      <c r="AE39" s="903" t="str">
        <f>_xlfn.CONCAT("grenswaarde GPR 6 bij bronmethode (",$P$22," )")</f>
        <v>grenswaarde GPR 6 bij bronmethode (ISSO 75.3 )</v>
      </c>
      <c r="AF39" s="1474"/>
      <c r="AG39" s="1475">
        <f>IF(SUM($M$44:$M$55)=0,0,SUMPRODUCT($M$44:$M$55,F$329:F$340)/SUM($M$44:$M$55))</f>
        <v>54.633333333333333</v>
      </c>
      <c r="AH39" s="1476" t="s">
        <v>427</v>
      </c>
      <c r="AI39" s="1410"/>
      <c r="AJ39" s="1410"/>
      <c r="AK39" s="1405"/>
      <c r="AL39" s="1405"/>
      <c r="AM39" s="1405"/>
      <c r="AN39" s="1405"/>
      <c r="AO39" s="1405"/>
      <c r="AP39" s="1405"/>
      <c r="AQ39" s="1405"/>
      <c r="AR39" s="1405"/>
      <c r="AS39" s="67"/>
      <c r="AT39" s="995"/>
      <c r="AU39" s="12"/>
      <c r="AV39" s="15" t="s">
        <v>1660</v>
      </c>
      <c r="AW39" s="15"/>
      <c r="AX39" s="15"/>
      <c r="AY39" s="15"/>
      <c r="AZ39" s="15"/>
      <c r="BA39" s="15"/>
      <c r="BB39" s="15"/>
      <c r="BC39" s="15"/>
      <c r="BD39" s="15"/>
      <c r="BE39" s="40"/>
      <c r="BF39" s="13"/>
      <c r="BG39" s="13"/>
      <c r="BH39" s="13"/>
      <c r="BI39" s="13"/>
    </row>
    <row r="40" spans="1:61">
      <c r="A40" s="139" t="s">
        <v>396</v>
      </c>
      <c r="B40" s="944"/>
      <c r="C40" s="944"/>
      <c r="D40" s="944"/>
      <c r="E40" s="14"/>
      <c r="F40" s="22" t="s">
        <v>1453</v>
      </c>
      <c r="G40" s="22"/>
      <c r="H40" s="22"/>
      <c r="I40" s="16"/>
      <c r="J40" s="915">
        <f>IF(AG39=0,"",1-AG40/AG39)</f>
        <v>1</v>
      </c>
      <c r="K40" s="47"/>
      <c r="L40" s="39"/>
      <c r="M40" s="12"/>
      <c r="N40" s="12"/>
      <c r="O40" s="12"/>
      <c r="P40" s="12"/>
      <c r="Q40" s="12"/>
      <c r="R40" s="12"/>
      <c r="S40" s="12"/>
      <c r="T40" s="12"/>
      <c r="U40" s="12"/>
      <c r="V40" s="12"/>
      <c r="W40" s="12"/>
      <c r="X40" s="12"/>
      <c r="Y40" s="12"/>
      <c r="Z40" s="12"/>
      <c r="AA40" s="12"/>
      <c r="AB40" s="67"/>
      <c r="AC40" s="995"/>
      <c r="AD40" s="1432"/>
      <c r="AE40" s="1383" t="s">
        <v>1401</v>
      </c>
      <c r="AF40" s="1444"/>
      <c r="AG40" s="1445">
        <f>IF($M$58=0,0,J39/$M$58)</f>
        <v>0</v>
      </c>
      <c r="AH40" s="1412" t="s">
        <v>427</v>
      </c>
      <c r="AI40" s="1410"/>
      <c r="AJ40" s="1410"/>
      <c r="AK40" s="1405"/>
      <c r="AL40" s="1405"/>
      <c r="AM40" s="1405"/>
      <c r="AN40" s="1405"/>
      <c r="AO40" s="1405"/>
      <c r="AP40" s="1405"/>
      <c r="AQ40" s="1405"/>
      <c r="AR40" s="1405"/>
      <c r="AS40" s="67"/>
      <c r="AT40" s="995"/>
      <c r="AU40" s="12"/>
      <c r="AV40" s="453" t="s">
        <v>1402</v>
      </c>
      <c r="AW40" s="890"/>
      <c r="AX40" s="970" t="s">
        <v>1489</v>
      </c>
      <c r="AY40" s="890" t="s">
        <v>1517</v>
      </c>
      <c r="AZ40" s="979" t="str">
        <f>tabellen_EMD!$H$174</f>
        <v>Resultaten per energiefunctie</v>
      </c>
      <c r="BA40" s="12"/>
      <c r="BB40" s="12"/>
      <c r="BC40" s="12"/>
      <c r="BD40" s="40"/>
      <c r="BE40" s="40"/>
      <c r="BF40" s="13"/>
      <c r="BG40" s="13"/>
      <c r="BH40" s="13"/>
      <c r="BI40" s="13"/>
    </row>
    <row r="41" spans="1:61">
      <c r="E41" s="452"/>
      <c r="F41" s="452"/>
      <c r="G41" s="452"/>
      <c r="H41" s="452"/>
      <c r="I41" s="452"/>
      <c r="J41" s="1003"/>
      <c r="K41" s="452"/>
      <c r="L41" s="452"/>
      <c r="M41" s="39"/>
      <c r="N41" s="39"/>
      <c r="O41" s="39"/>
      <c r="P41" s="39"/>
      <c r="Q41" s="39"/>
      <c r="R41" s="39"/>
      <c r="S41" s="39"/>
      <c r="T41" s="452"/>
      <c r="U41" s="12"/>
      <c r="V41" s="12"/>
      <c r="W41" s="12"/>
      <c r="X41" s="12"/>
      <c r="Y41" s="12"/>
      <c r="Z41" s="12"/>
      <c r="AA41" s="12"/>
      <c r="AB41" s="452"/>
      <c r="AC41" s="997"/>
      <c r="AD41" s="1405"/>
      <c r="AE41" s="1405"/>
      <c r="AF41" s="1405"/>
      <c r="AG41" s="1405"/>
      <c r="AH41" s="1405"/>
      <c r="AI41" s="1405"/>
      <c r="AJ41" s="1405"/>
      <c r="AK41" s="1405"/>
      <c r="AL41" s="1405"/>
      <c r="AM41" s="1405"/>
      <c r="AN41" s="1405"/>
      <c r="AO41" s="1405"/>
      <c r="AP41" s="1405"/>
      <c r="AQ41" s="1405"/>
      <c r="AR41" s="1405"/>
      <c r="AS41" s="67"/>
      <c r="AT41" s="997"/>
      <c r="AU41" s="12"/>
      <c r="AV41" s="47" t="str">
        <f>tabellen_EMD!C175</f>
        <v>Enorm</v>
      </c>
      <c r="AW41" s="47"/>
      <c r="AX41" s="47" t="str">
        <f>INDEX(tabellen_EMD!$C$174:$J$182,MATCH('ISSO75.3 naar GPR4'!$AV41,tabellen_EMD!$C$174:$C$182,0),MATCH('ISSO75.3 naar GPR4'!AX$40,tabellen_EMD!$C$174:$J$174,0))</f>
        <v>NEN 7120</v>
      </c>
      <c r="AY41" s="47" t="b">
        <f t="shared" ref="AY41:AY48" si="0">AX41=$P$22</f>
        <v>0</v>
      </c>
      <c r="AZ41" s="47" t="str">
        <f>INDEX(tabellen_EMD!$C$174:$J$182,MATCH('ISSO75.3 naar GPR4'!$AV41,tabellen_EMD!$C$174:$C$182,0),MATCH('ISSO75.3 naar GPR4'!AZ$40,tabellen_EMD!$C$174:$J$174,0))</f>
        <v>Resultaten | Primair energiegebruik</v>
      </c>
      <c r="BA41" s="47"/>
      <c r="BB41" s="47"/>
      <c r="BC41" s="47"/>
      <c r="BD41" s="47"/>
      <c r="BE41" s="47"/>
      <c r="BF41" s="13"/>
      <c r="BG41" s="13"/>
      <c r="BH41" s="13"/>
      <c r="BI41" s="13"/>
    </row>
    <row r="42" spans="1:61">
      <c r="A42" s="18"/>
      <c r="B42" s="763"/>
      <c r="C42" s="763"/>
      <c r="D42" s="763"/>
      <c r="E42" s="14"/>
      <c r="F42" s="15" t="str">
        <f>$F$31</f>
        <v>Overnemen uit EP-berekening 'Energielabel utiliteit'</v>
      </c>
      <c r="G42" s="16"/>
      <c r="H42" s="16"/>
      <c r="I42" s="16"/>
      <c r="J42" s="148"/>
      <c r="K42" s="14"/>
      <c r="L42" s="39"/>
      <c r="M42" s="15" t="str">
        <f>"Invullen in "&amp;$AY$23</f>
        <v>Invullen in GPR 4.4 | ISSO 75.3</v>
      </c>
      <c r="N42" s="39"/>
      <c r="O42" s="39"/>
      <c r="P42" s="39"/>
      <c r="Q42" s="12"/>
      <c r="R42" s="12"/>
      <c r="S42" s="12"/>
      <c r="T42" s="12"/>
      <c r="U42" s="12"/>
      <c r="V42" s="12"/>
      <c r="W42" s="12"/>
      <c r="X42" s="40"/>
      <c r="Y42" s="40"/>
      <c r="Z42" s="40"/>
      <c r="AA42" s="40"/>
      <c r="AB42" s="67"/>
      <c r="AC42" s="995"/>
      <c r="AD42" s="1405"/>
      <c r="AE42" s="1405"/>
      <c r="AF42" s="1405"/>
      <c r="AG42" s="1405"/>
      <c r="AH42" s="1405"/>
      <c r="AI42" s="1405"/>
      <c r="AJ42" s="1405"/>
      <c r="AK42" s="1405"/>
      <c r="AL42" s="1405"/>
      <c r="AM42" s="1405"/>
      <c r="AN42" s="1405"/>
      <c r="AO42" s="1405"/>
      <c r="AP42" s="1405"/>
      <c r="AQ42" s="1405"/>
      <c r="AR42" s="1405"/>
      <c r="AS42" s="67"/>
      <c r="AT42" s="995"/>
      <c r="AU42" s="12"/>
      <c r="AV42" s="47" t="str">
        <f>tabellen_EMD!C176</f>
        <v>Uniec 2 per functie</v>
      </c>
      <c r="AW42" s="47"/>
      <c r="AX42" s="47" t="str">
        <f>INDEX(tabellen_EMD!$C$174:$J$182,MATCH('ISSO75.3 naar GPR4'!$AV42,tabellen_EMD!$C$174:$C$182,0),MATCH('ISSO75.3 naar GPR4'!AX$40,tabellen_EMD!$C$174:$J$174,0))</f>
        <v>NEN 7120</v>
      </c>
      <c r="AY42" s="47" t="b">
        <f t="shared" si="0"/>
        <v>0</v>
      </c>
      <c r="AZ42" s="47" t="str">
        <f>INDEX(tabellen_EMD!$C$174:$J$182,MATCH('ISSO75.3 naar GPR4'!$AV42,tabellen_EMD!$C$174:$C$182,0),MATCH('ISSO75.3 naar GPR4'!AZ$40,tabellen_EMD!$C$174:$J$174,0))</f>
        <v>Jaarlijkse hoeveelheid primaire energie voor de energiefunctie</v>
      </c>
      <c r="BA42" s="47"/>
      <c r="BB42" s="47"/>
      <c r="BC42" s="47"/>
      <c r="BD42" s="47"/>
      <c r="BE42" s="47"/>
      <c r="BF42" s="13"/>
      <c r="BG42" s="13"/>
      <c r="BH42" s="13"/>
      <c r="BI42" s="13"/>
    </row>
    <row r="43" spans="1:61" s="448" customFormat="1">
      <c r="A43" s="139"/>
      <c r="B43" s="944"/>
      <c r="C43" s="944"/>
      <c r="D43" s="944"/>
      <c r="E43" s="450"/>
      <c r="F43" s="453" t="s">
        <v>1709</v>
      </c>
      <c r="G43" s="16"/>
      <c r="H43" s="16"/>
      <c r="I43" s="16"/>
      <c r="J43" s="453" t="s">
        <v>561</v>
      </c>
      <c r="K43" s="453"/>
      <c r="L43" s="453"/>
      <c r="M43" s="453" t="s">
        <v>561</v>
      </c>
      <c r="N43" s="453"/>
      <c r="O43" s="12"/>
      <c r="P43" s="453" t="s">
        <v>408</v>
      </c>
      <c r="Q43" s="453"/>
      <c r="R43" s="12"/>
      <c r="S43" s="453" t="s">
        <v>571</v>
      </c>
      <c r="T43" s="889"/>
      <c r="U43" s="12"/>
      <c r="V43" s="890"/>
      <c r="W43" s="890"/>
      <c r="X43" s="890"/>
      <c r="Y43" s="890"/>
      <c r="Z43" s="890"/>
      <c r="AA43" s="890"/>
      <c r="AB43" s="1004"/>
      <c r="AC43" s="998"/>
      <c r="AD43" s="1405"/>
      <c r="AE43" s="1413" t="str">
        <f>F43</f>
        <v xml:space="preserve">Gebruiksfunctie </v>
      </c>
      <c r="AF43" s="1408"/>
      <c r="AG43" s="1414" t="s">
        <v>516</v>
      </c>
      <c r="AH43" s="1414" t="s">
        <v>510</v>
      </c>
      <c r="AI43" s="1410"/>
      <c r="AJ43" s="1414" t="s">
        <v>1783</v>
      </c>
      <c r="AK43" s="1405" t="s">
        <v>396</v>
      </c>
      <c r="AL43" s="1405"/>
      <c r="AM43" s="1405"/>
      <c r="AN43" s="1405"/>
      <c r="AO43" s="1405"/>
      <c r="AP43" s="1405"/>
      <c r="AQ43" s="1405"/>
      <c r="AR43" s="1405"/>
      <c r="AS43" s="67"/>
      <c r="AT43" s="998"/>
      <c r="AU43" s="12"/>
      <c r="AV43" s="47" t="str">
        <f>tabellen_EMD!C177</f>
        <v>Uniec 2 finaal</v>
      </c>
      <c r="AW43" s="47"/>
      <c r="AX43" s="47" t="str">
        <f>INDEX(tabellen_EMD!$C$174:$J$182,MATCH('ISSO75.3 naar GPR4'!$AV43,tabellen_EMD!$C$174:$C$182,0),MATCH('ISSO75.3 naar GPR4'!AX$40,tabellen_EMD!$C$174:$J$174,0))</f>
        <v>NEN 7120</v>
      </c>
      <c r="AY43" s="47" t="b">
        <f t="shared" si="0"/>
        <v>0</v>
      </c>
      <c r="AZ43" s="47" t="str">
        <f>INDEX(tabellen_EMD!$C$174:$J$182,MATCH('ISSO75.3 naar GPR4'!$AV43,tabellen_EMD!$C$174:$C$182,0),MATCH('ISSO75.3 naar GPR4'!AZ$40,tabellen_EMD!$C$174:$J$174,0))</f>
        <v>Jaarlijkse hoeveelheid primaire energie voor de energiefunctie</v>
      </c>
      <c r="BA43" s="47"/>
      <c r="BB43" s="47"/>
      <c r="BC43" s="47"/>
      <c r="BD43" s="47"/>
      <c r="BE43" s="47"/>
      <c r="BF43" s="13"/>
      <c r="BG43" s="13"/>
      <c r="BH43" s="13"/>
      <c r="BI43" s="13"/>
    </row>
    <row r="44" spans="1:61">
      <c r="E44" s="14"/>
      <c r="F44" s="22" t="s">
        <v>297</v>
      </c>
      <c r="G44" s="47"/>
      <c r="H44" s="47"/>
      <c r="I44" s="16"/>
      <c r="J44" s="25"/>
      <c r="K44" s="47" t="s">
        <v>562</v>
      </c>
      <c r="L44" s="453"/>
      <c r="M44" s="24">
        <f t="shared" ref="M44:M55" si="1">IF(OR(J44="",SUM($J$44:$J$56)=0),0,SUM($J$44:$J$56)/SUM($J$44:$J$55)*J44)</f>
        <v>0</v>
      </c>
      <c r="N44" s="47" t="s">
        <v>562</v>
      </c>
      <c r="O44" s="12"/>
      <c r="P44" s="24" t="str">
        <f t="shared" ref="P44:P55" si="2">IFERROR(IF(OR($J44=0,ISNUMBER($J$35)=FALSE),"",Z307),"")</f>
        <v/>
      </c>
      <c r="Q44" s="22" t="str">
        <f t="shared" ref="Q44" si="3">IFERROR(INDEX(EP_Methode_BRON_per_GPR_Versie_Eenheid,MATCH(EP_doelmethode,GPR_Versie_En_EP_Methode,0)),"")</f>
        <v>MJ</v>
      </c>
      <c r="R44" s="12"/>
      <c r="S44" s="24" t="str">
        <f>IFERROR(Q329,"")</f>
        <v/>
      </c>
      <c r="T44" s="22" t="s">
        <v>468</v>
      </c>
      <c r="U44" s="12"/>
      <c r="V44" s="40"/>
      <c r="W44" s="40"/>
      <c r="X44" s="40"/>
      <c r="Y44" s="40"/>
      <c r="Z44" s="1338"/>
      <c r="AA44" s="40"/>
      <c r="AB44" s="67"/>
      <c r="AC44" s="995"/>
      <c r="AD44" s="1405"/>
      <c r="AE44" s="1383" t="str">
        <f t="shared" ref="AE44:AE56" si="4">F44</f>
        <v>woning</v>
      </c>
      <c r="AF44" s="1441"/>
      <c r="AG44" s="1447" t="str">
        <f>IFERROR(_xlfn.CONCAT(FIXED(P44/$M44,0)," ",Q44,"/m2"),"")</f>
        <v/>
      </c>
      <c r="AH44" s="1411" t="str">
        <f>IFERROR(_xlfn.CONCAT(FIXED(S44/$M44,1)," ",T44,"/m2"),"")</f>
        <v/>
      </c>
      <c r="AI44" s="1410"/>
      <c r="AJ44" s="1447">
        <v>30</v>
      </c>
      <c r="AK44" s="22" t="s">
        <v>1784</v>
      </c>
      <c r="AL44" s="1405"/>
      <c r="AM44" s="1405"/>
      <c r="AN44" s="1405"/>
      <c r="AO44" s="1405"/>
      <c r="AP44" s="1405"/>
      <c r="AQ44" s="1405"/>
      <c r="AR44" s="1405"/>
      <c r="AS44" s="67"/>
      <c r="AT44" s="995"/>
      <c r="AU44" s="12"/>
      <c r="AV44" s="47" t="str">
        <f>tabellen_EMD!C178</f>
        <v>VABI NTA 8800</v>
      </c>
      <c r="AW44" s="47"/>
      <c r="AX44" s="47" t="str">
        <f>INDEX(tabellen_EMD!$C$174:$J$182,MATCH('ISSO75.3 naar GPR4'!$AV44,tabellen_EMD!$C$174:$C$182,0),MATCH('ISSO75.3 naar GPR4'!AX$40,tabellen_EMD!$C$174:$J$174,0))</f>
        <v>NTA 8800</v>
      </c>
      <c r="AY44" s="47" t="b">
        <f t="shared" si="0"/>
        <v>0</v>
      </c>
      <c r="AZ44" s="47" t="str">
        <f>INDEX(tabellen_EMD!$C$174:$J$182,MATCH('ISSO75.3 naar GPR4'!$AV44,tabellen_EMD!$C$174:$C$182,0),MATCH('ISSO75.3 naar GPR4'!AZ$40,tabellen_EMD!$C$174:$J$174,0))</f>
        <v>Totale deelposten (niet primair)</v>
      </c>
      <c r="BA44" s="47"/>
      <c r="BB44" s="47"/>
      <c r="BC44" s="47"/>
      <c r="BD44" s="47"/>
      <c r="BE44" s="47"/>
      <c r="BF44" s="13"/>
      <c r="BG44" s="13"/>
      <c r="BH44" s="13"/>
      <c r="BI44" s="13"/>
    </row>
    <row r="45" spans="1:61">
      <c r="E45" s="14"/>
      <c r="F45" s="22" t="s">
        <v>298</v>
      </c>
      <c r="G45" s="47"/>
      <c r="H45" s="47"/>
      <c r="I45" s="16"/>
      <c r="J45" s="25"/>
      <c r="K45" s="47" t="s">
        <v>562</v>
      </c>
      <c r="L45" s="453"/>
      <c r="M45" s="24">
        <f t="shared" si="1"/>
        <v>0</v>
      </c>
      <c r="N45" s="47" t="s">
        <v>562</v>
      </c>
      <c r="O45" s="12"/>
      <c r="P45" s="24" t="str">
        <f t="shared" si="2"/>
        <v/>
      </c>
      <c r="Q45" s="22" t="str">
        <f t="shared" ref="Q45:Q52" si="5">IFERROR(INDEX(EP_Methode_BRON_per_GPR_Versie_Eenheid,MATCH(EP_doelmethode,GPR_Versie_En_EP_Methode,0)),"")</f>
        <v>MJ</v>
      </c>
      <c r="R45" s="12"/>
      <c r="S45" s="24" t="str">
        <f t="shared" ref="S45:S55" si="6">IFERROR(Q330,"")</f>
        <v/>
      </c>
      <c r="T45" s="22" t="s">
        <v>468</v>
      </c>
      <c r="U45" s="12"/>
      <c r="V45" s="40"/>
      <c r="W45" s="40"/>
      <c r="X45" s="40"/>
      <c r="Y45" s="40"/>
      <c r="Z45" s="40"/>
      <c r="AA45" s="40"/>
      <c r="AB45" s="67"/>
      <c r="AC45" s="995"/>
      <c r="AD45" s="1405"/>
      <c r="AE45" s="1383" t="str">
        <f t="shared" si="4"/>
        <v>woongebouw</v>
      </c>
      <c r="AF45" s="1441"/>
      <c r="AG45" s="1447" t="str">
        <f t="shared" ref="AG45:AG55" si="7">IFERROR(_xlfn.CONCAT(FIXED(P45/$M45,0)," ",Q45,"/m2"),"")</f>
        <v/>
      </c>
      <c r="AH45" s="1411" t="str">
        <f t="shared" ref="AH45:AH55" si="8">IFERROR(_xlfn.CONCAT(FIXED(S45/$M45,1)," ",T45,"/m2"),"")</f>
        <v/>
      </c>
      <c r="AI45" s="1410"/>
      <c r="AJ45" s="1447">
        <v>50</v>
      </c>
      <c r="AK45" s="22" t="s">
        <v>1784</v>
      </c>
      <c r="AL45" s="1405"/>
      <c r="AM45" s="1405"/>
      <c r="AN45" s="1405"/>
      <c r="AO45" s="1405"/>
      <c r="AP45" s="1405"/>
      <c r="AQ45" s="1405"/>
      <c r="AR45" s="1405"/>
      <c r="AS45" s="67"/>
      <c r="AT45" s="995"/>
      <c r="AU45" s="12"/>
      <c r="AV45" s="47" t="str">
        <f>tabellen_EMD!C179</f>
        <v>Uniec 3 per functie</v>
      </c>
      <c r="AW45" s="47"/>
      <c r="AX45" s="47" t="str">
        <f>INDEX(tabellen_EMD!$C$174:$J$182,MATCH('ISSO75.3 naar GPR4'!$AV45,tabellen_EMD!$C$174:$C$182,0),MATCH('ISSO75.3 naar GPR4'!AX$40,tabellen_EMD!$C$174:$J$174,0))</f>
        <v>NTA 8800</v>
      </c>
      <c r="AY45" s="47" t="b">
        <f t="shared" si="0"/>
        <v>0</v>
      </c>
      <c r="AZ45" s="47" t="str">
        <f>INDEX(tabellen_EMD!$C$174:$J$182,MATCH('ISSO75.3 naar GPR4'!$AV45,tabellen_EMD!$C$174:$C$182,0),MATCH('ISSO75.3 naar GPR4'!AZ$40,tabellen_EMD!$C$174:$J$174,0))</f>
        <v>Jaarlijkse hoeveelheid energiegebruik voor de energiefunctie</v>
      </c>
      <c r="BA45" s="47"/>
      <c r="BB45" s="47"/>
      <c r="BC45" s="47"/>
      <c r="BD45" s="47"/>
      <c r="BE45" s="47"/>
      <c r="BF45" s="13"/>
      <c r="BG45" s="13"/>
      <c r="BH45" s="13"/>
      <c r="BI45" s="13"/>
    </row>
    <row r="46" spans="1:61">
      <c r="E46" s="14"/>
      <c r="F46" s="22" t="s">
        <v>303</v>
      </c>
      <c r="G46" s="47"/>
      <c r="H46" s="47"/>
      <c r="I46" s="16"/>
      <c r="J46" s="25">
        <v>100</v>
      </c>
      <c r="K46" s="47" t="s">
        <v>562</v>
      </c>
      <c r="L46" s="453"/>
      <c r="M46" s="24">
        <f t="shared" si="1"/>
        <v>100</v>
      </c>
      <c r="N46" s="47" t="s">
        <v>562</v>
      </c>
      <c r="O46" s="12"/>
      <c r="P46" s="24">
        <f t="shared" si="2"/>
        <v>-17009.859295601509</v>
      </c>
      <c r="Q46" s="22" t="str">
        <f t="shared" si="5"/>
        <v>MJ</v>
      </c>
      <c r="R46" s="12"/>
      <c r="S46" s="24">
        <f t="shared" si="6"/>
        <v>0</v>
      </c>
      <c r="T46" s="22" t="s">
        <v>468</v>
      </c>
      <c r="U46" s="12"/>
      <c r="V46" s="40"/>
      <c r="W46" s="40"/>
      <c r="X46" s="40"/>
      <c r="Y46" s="40"/>
      <c r="Z46" s="40"/>
      <c r="AA46" s="40"/>
      <c r="AB46" s="67"/>
      <c r="AC46" s="995"/>
      <c r="AD46" s="1405"/>
      <c r="AE46" s="1383" t="str">
        <f t="shared" si="4"/>
        <v>kantoor</v>
      </c>
      <c r="AF46" s="1441"/>
      <c r="AG46" s="1447" t="str">
        <f t="shared" si="7"/>
        <v>-170 MJ/m2</v>
      </c>
      <c r="AH46" s="1411" t="str">
        <f t="shared" si="8"/>
        <v>0.0 kg/m2</v>
      </c>
      <c r="AI46" s="1410"/>
      <c r="AJ46" s="1447">
        <v>40</v>
      </c>
      <c r="AK46" s="22" t="s">
        <v>1784</v>
      </c>
      <c r="AL46" s="1405"/>
      <c r="AM46" s="1405"/>
      <c r="AN46" s="1405"/>
      <c r="AO46" s="1405"/>
      <c r="AP46" s="1405"/>
      <c r="AQ46" s="1405"/>
      <c r="AR46" s="1405"/>
      <c r="AS46" s="67"/>
      <c r="AT46" s="995"/>
      <c r="AU46" s="40"/>
      <c r="AV46" s="47" t="str">
        <f>tabellen_EMD!C180</f>
        <v>Uniec 3 finaal</v>
      </c>
      <c r="AW46" s="47"/>
      <c r="AX46" s="47" t="str">
        <f>INDEX(tabellen_EMD!$C$174:$J$182,MATCH('ISSO75.3 naar GPR4'!$AV46,tabellen_EMD!$C$174:$C$182,0),MATCH('ISSO75.3 naar GPR4'!AX$40,tabellen_EMD!$C$174:$J$174,0))</f>
        <v>NTA 8800</v>
      </c>
      <c r="AY46" s="47" t="b">
        <f t="shared" si="0"/>
        <v>0</v>
      </c>
      <c r="AZ46" s="47" t="str">
        <f>INDEX(tabellen_EMD!$C$174:$J$182,MATCH('ISSO75.3 naar GPR4'!$AV46,tabellen_EMD!$C$174:$C$182,0),MATCH('ISSO75.3 naar GPR4'!AZ$40,tabellen_EMD!$C$174:$J$174,0))</f>
        <v>Jaarlijkse hoeveelheid energiegebruik voor de energiefunctie</v>
      </c>
      <c r="BA46" s="47"/>
      <c r="BB46" s="47"/>
      <c r="BC46" s="47"/>
      <c r="BD46" s="47"/>
      <c r="BE46" s="47"/>
      <c r="BF46" s="13"/>
      <c r="BG46" s="13"/>
      <c r="BH46" s="13"/>
      <c r="BI46" s="13"/>
    </row>
    <row r="47" spans="1:61">
      <c r="E47" s="14"/>
      <c r="F47" s="22" t="s">
        <v>299</v>
      </c>
      <c r="G47" s="47"/>
      <c r="H47" s="47"/>
      <c r="I47" s="16"/>
      <c r="J47" s="25">
        <v>100</v>
      </c>
      <c r="K47" s="47" t="s">
        <v>562</v>
      </c>
      <c r="L47" s="453"/>
      <c r="M47" s="24">
        <f t="shared" si="1"/>
        <v>100</v>
      </c>
      <c r="N47" s="47" t="s">
        <v>562</v>
      </c>
      <c r="O47" s="12"/>
      <c r="P47" s="24">
        <f t="shared" si="2"/>
        <v>9241.3034571741628</v>
      </c>
      <c r="Q47" s="22" t="str">
        <f t="shared" si="5"/>
        <v>MJ</v>
      </c>
      <c r="R47" s="12"/>
      <c r="S47" s="24">
        <f t="shared" si="6"/>
        <v>0</v>
      </c>
      <c r="T47" s="22" t="s">
        <v>468</v>
      </c>
      <c r="U47" s="12"/>
      <c r="V47" s="40"/>
      <c r="W47" s="40"/>
      <c r="X47" s="40"/>
      <c r="Y47" s="40"/>
      <c r="Z47" s="40"/>
      <c r="AA47" s="40"/>
      <c r="AB47" s="67"/>
      <c r="AC47" s="995"/>
      <c r="AD47" s="1405"/>
      <c r="AE47" s="1383" t="str">
        <f t="shared" si="4"/>
        <v>bijeenkomst overig</v>
      </c>
      <c r="AF47" s="1441"/>
      <c r="AG47" s="1447" t="str">
        <f t="shared" si="7"/>
        <v>92 MJ/m2</v>
      </c>
      <c r="AH47" s="1411" t="str">
        <f t="shared" si="8"/>
        <v>0.0 kg/m2</v>
      </c>
      <c r="AI47" s="1410"/>
      <c r="AJ47" s="1447">
        <v>60</v>
      </c>
      <c r="AK47" s="22" t="s">
        <v>1784</v>
      </c>
      <c r="AL47" s="1405"/>
      <c r="AM47" s="1405"/>
      <c r="AN47" s="1405"/>
      <c r="AO47" s="1405"/>
      <c r="AP47" s="1405"/>
      <c r="AQ47" s="1405"/>
      <c r="AR47" s="1405"/>
      <c r="AS47" s="67"/>
      <c r="AT47" s="995"/>
      <c r="AU47" s="40"/>
      <c r="AV47" s="47" t="str">
        <f>tabellen_EMD!C181</f>
        <v>VABI EPA-U</v>
      </c>
      <c r="AW47" s="47"/>
      <c r="AX47" s="47" t="str">
        <f>INDEX(tabellen_EMD!$C$174:$J$182,MATCH('ISSO75.3 naar GPR4'!$AV47,tabellen_EMD!$C$174:$C$182,0),MATCH('ISSO75.3 naar GPR4'!AX$40,tabellen_EMD!$C$174:$J$174,0))</f>
        <v>ISSO 75.3</v>
      </c>
      <c r="AY47" s="47" t="b">
        <f t="shared" si="0"/>
        <v>1</v>
      </c>
      <c r="AZ47" s="47" t="str">
        <f>INDEX(tabellen_EMD!$C$174:$J$182,MATCH('ISSO75.3 naar GPR4'!$AV47,tabellen_EMD!$C$174:$C$182,0),MATCH('ISSO75.3 naar GPR4'!AZ$40,tabellen_EMD!$C$174:$J$174,0))</f>
        <v>Energiegebruik per deelpost in de huidige situatie</v>
      </c>
      <c r="BA47" s="47"/>
      <c r="BB47" s="47"/>
      <c r="BC47" s="47"/>
      <c r="BD47" s="47"/>
      <c r="BE47" s="47"/>
      <c r="BF47" s="13"/>
      <c r="BG47" s="13"/>
      <c r="BH47" s="13"/>
      <c r="BI47" s="13"/>
    </row>
    <row r="48" spans="1:61">
      <c r="E48" s="14"/>
      <c r="F48" s="22" t="s">
        <v>422</v>
      </c>
      <c r="G48" s="47"/>
      <c r="H48" s="47"/>
      <c r="I48" s="16"/>
      <c r="J48" s="25">
        <v>100</v>
      </c>
      <c r="K48" s="47" t="s">
        <v>562</v>
      </c>
      <c r="L48" s="453"/>
      <c r="M48" s="24">
        <f t="shared" si="1"/>
        <v>100</v>
      </c>
      <c r="N48" s="47" t="s">
        <v>562</v>
      </c>
      <c r="O48" s="12"/>
      <c r="P48" s="24">
        <f t="shared" si="2"/>
        <v>7768.5558384274354</v>
      </c>
      <c r="Q48" s="22" t="str">
        <f t="shared" si="5"/>
        <v>MJ</v>
      </c>
      <c r="R48" s="12"/>
      <c r="S48" s="24">
        <f t="shared" si="6"/>
        <v>0</v>
      </c>
      <c r="T48" s="22" t="s">
        <v>468</v>
      </c>
      <c r="U48" s="12"/>
      <c r="V48" s="40"/>
      <c r="W48" s="40"/>
      <c r="X48" s="40"/>
      <c r="Y48" s="40"/>
      <c r="Z48" s="40"/>
      <c r="AA48" s="40"/>
      <c r="AB48" s="67"/>
      <c r="AC48" s="995"/>
      <c r="AD48" s="1405"/>
      <c r="AE48" s="1383" t="str">
        <f t="shared" si="4"/>
        <v>bijeenkomst kinderdagverblijf</v>
      </c>
      <c r="AF48" s="1441"/>
      <c r="AG48" s="1447" t="str">
        <f t="shared" si="7"/>
        <v>78 MJ/m2</v>
      </c>
      <c r="AH48" s="1411" t="str">
        <f t="shared" si="8"/>
        <v>0.0 kg/m2</v>
      </c>
      <c r="AI48" s="1410"/>
      <c r="AJ48" s="1447">
        <v>70</v>
      </c>
      <c r="AK48" s="22" t="s">
        <v>1784</v>
      </c>
      <c r="AL48" s="1405"/>
      <c r="AM48" s="1405"/>
      <c r="AN48" s="1405"/>
      <c r="AO48" s="1405"/>
      <c r="AP48" s="1405"/>
      <c r="AQ48" s="1405"/>
      <c r="AR48" s="1405"/>
      <c r="AS48" s="67"/>
      <c r="AT48" s="995"/>
      <c r="AU48" s="40"/>
      <c r="AV48" s="47" t="str">
        <f>tabellen_EMD!C182</f>
        <v>Energielabel utiliteit</v>
      </c>
      <c r="AW48" s="47"/>
      <c r="AX48" s="47" t="str">
        <f>INDEX(tabellen_EMD!$C$174:$J$182,MATCH('ISSO75.3 naar GPR4'!$AV48,tabellen_EMD!$C$174:$C$182,0),MATCH('ISSO75.3 naar GPR4'!AX$40,tabellen_EMD!$C$174:$J$174,0))</f>
        <v>ISSO 75.3</v>
      </c>
      <c r="AY48" s="47" t="b">
        <f t="shared" si="0"/>
        <v>1</v>
      </c>
      <c r="AZ48" s="47" t="str">
        <f>INDEX(tabellen_EMD!$C$174:$J$182,MATCH('ISSO75.3 naar GPR4'!$AV48,tabellen_EMD!$C$174:$C$182,0),MATCH('ISSO75.3 naar GPR4'!AZ$40,tabellen_EMD!$C$174:$J$174,0))</f>
        <v>Standaard energiegebruik voor dit gebouw</v>
      </c>
      <c r="BA48" s="47"/>
      <c r="BB48" s="47"/>
      <c r="BC48" s="47"/>
      <c r="BD48" s="47"/>
      <c r="BE48" s="47"/>
      <c r="BF48" s="13"/>
      <c r="BG48" s="13"/>
      <c r="BH48" s="13"/>
      <c r="BI48" s="13"/>
    </row>
    <row r="49" spans="1:61">
      <c r="E49" s="14"/>
      <c r="F49" s="22" t="s">
        <v>305</v>
      </c>
      <c r="G49" s="47"/>
      <c r="H49" s="47"/>
      <c r="I49" s="16"/>
      <c r="J49" s="25"/>
      <c r="K49" s="47" t="s">
        <v>562</v>
      </c>
      <c r="L49" s="453"/>
      <c r="M49" s="24">
        <f t="shared" si="1"/>
        <v>0</v>
      </c>
      <c r="N49" s="47" t="s">
        <v>562</v>
      </c>
      <c r="O49" s="12"/>
      <c r="P49" s="24" t="str">
        <f t="shared" si="2"/>
        <v/>
      </c>
      <c r="Q49" s="22" t="str">
        <f t="shared" si="5"/>
        <v>MJ</v>
      </c>
      <c r="R49" s="12"/>
      <c r="S49" s="24" t="str">
        <f t="shared" si="6"/>
        <v/>
      </c>
      <c r="T49" s="22" t="s">
        <v>468</v>
      </c>
      <c r="U49" s="12"/>
      <c r="V49" s="40"/>
      <c r="W49" s="40"/>
      <c r="X49" s="40"/>
      <c r="Y49" s="40"/>
      <c r="Z49" s="40"/>
      <c r="AA49" s="40"/>
      <c r="AB49" s="67"/>
      <c r="AC49" s="995"/>
      <c r="AD49" s="1405"/>
      <c r="AE49" s="1383" t="str">
        <f t="shared" si="4"/>
        <v>onderwijs</v>
      </c>
      <c r="AF49" s="1441"/>
      <c r="AG49" s="1447" t="str">
        <f t="shared" si="7"/>
        <v/>
      </c>
      <c r="AH49" s="1411" t="str">
        <f t="shared" si="8"/>
        <v/>
      </c>
      <c r="AI49" s="1410"/>
      <c r="AJ49" s="1447">
        <v>70</v>
      </c>
      <c r="AK49" s="22" t="s">
        <v>1784</v>
      </c>
      <c r="AL49" s="1405"/>
      <c r="AM49" s="1405"/>
      <c r="AN49" s="1405"/>
      <c r="AO49" s="1405"/>
      <c r="AP49" s="1405"/>
      <c r="AQ49" s="1405"/>
      <c r="AR49" s="1405"/>
      <c r="AS49" s="67"/>
      <c r="AT49" s="995"/>
      <c r="AU49" s="40"/>
      <c r="AV49" s="40"/>
      <c r="AW49" s="40"/>
      <c r="AX49" s="40"/>
      <c r="AY49" s="40"/>
      <c r="AZ49" s="40"/>
      <c r="BA49" s="40"/>
      <c r="BB49" s="40"/>
      <c r="BC49" s="40"/>
      <c r="BD49" s="40"/>
      <c r="BE49" s="40"/>
      <c r="BF49" s="13"/>
      <c r="BG49" s="13"/>
      <c r="BH49" s="13"/>
      <c r="BI49" s="13"/>
    </row>
    <row r="50" spans="1:61">
      <c r="A50" s="139" t="s">
        <v>396</v>
      </c>
      <c r="B50" s="944"/>
      <c r="C50" s="944"/>
      <c r="D50" s="944"/>
      <c r="E50" s="14"/>
      <c r="F50" s="22" t="s">
        <v>302</v>
      </c>
      <c r="G50" s="47"/>
      <c r="H50" s="47"/>
      <c r="I50" s="16"/>
      <c r="J50" s="25"/>
      <c r="K50" s="47" t="s">
        <v>562</v>
      </c>
      <c r="L50" s="453"/>
      <c r="M50" s="24">
        <f t="shared" si="1"/>
        <v>0</v>
      </c>
      <c r="N50" s="47" t="s">
        <v>562</v>
      </c>
      <c r="O50" s="12"/>
      <c r="P50" s="24" t="str">
        <f t="shared" si="2"/>
        <v/>
      </c>
      <c r="Q50" s="22" t="str">
        <f t="shared" si="5"/>
        <v>MJ</v>
      </c>
      <c r="R50" s="12"/>
      <c r="S50" s="24" t="str">
        <f t="shared" si="6"/>
        <v/>
      </c>
      <c r="T50" s="22" t="s">
        <v>468</v>
      </c>
      <c r="U50" s="12"/>
      <c r="V50" s="40"/>
      <c r="W50" s="40"/>
      <c r="X50" s="40"/>
      <c r="Y50" s="40"/>
      <c r="Z50" s="40"/>
      <c r="AA50" s="40"/>
      <c r="AB50" s="67"/>
      <c r="AC50" s="995"/>
      <c r="AD50" s="1405"/>
      <c r="AE50" s="1383" t="str">
        <f t="shared" si="4"/>
        <v>gezondheid overig</v>
      </c>
      <c r="AF50" s="1441"/>
      <c r="AG50" s="1447" t="str">
        <f t="shared" si="7"/>
        <v/>
      </c>
      <c r="AH50" s="1411" t="str">
        <f t="shared" si="8"/>
        <v/>
      </c>
      <c r="AI50" s="1410"/>
      <c r="AJ50" s="1447">
        <v>50</v>
      </c>
      <c r="AK50" s="22" t="s">
        <v>1784</v>
      </c>
      <c r="AL50" s="1405"/>
      <c r="AM50" s="1405"/>
      <c r="AN50" s="1405"/>
      <c r="AO50" s="1405"/>
      <c r="AP50" s="1405"/>
      <c r="AQ50" s="1405"/>
      <c r="AR50" s="1405"/>
      <c r="AS50" s="67"/>
      <c r="AT50" s="995"/>
      <c r="AU50" s="40"/>
      <c r="AV50" s="15" t="s">
        <v>1661</v>
      </c>
      <c r="AW50" s="15"/>
      <c r="AX50" s="15"/>
      <c r="AY50" s="15"/>
      <c r="AZ50" s="15"/>
      <c r="BA50" s="15"/>
      <c r="BB50" s="15"/>
      <c r="BC50" s="15"/>
      <c r="BD50" s="15"/>
      <c r="BE50" s="15"/>
      <c r="BF50" s="13"/>
      <c r="BG50" s="13"/>
      <c r="BH50" s="13"/>
      <c r="BI50" s="13"/>
    </row>
    <row r="51" spans="1:61">
      <c r="A51" s="139" t="s">
        <v>396</v>
      </c>
      <c r="B51" s="944"/>
      <c r="C51" s="944"/>
      <c r="D51" s="944"/>
      <c r="E51" s="14"/>
      <c r="F51" s="22" t="s">
        <v>423</v>
      </c>
      <c r="G51" s="47"/>
      <c r="H51" s="47"/>
      <c r="I51" s="16"/>
      <c r="J51" s="25"/>
      <c r="K51" s="47" t="s">
        <v>562</v>
      </c>
      <c r="L51" s="453"/>
      <c r="M51" s="24">
        <f t="shared" si="1"/>
        <v>0</v>
      </c>
      <c r="N51" s="47" t="s">
        <v>562</v>
      </c>
      <c r="O51" s="12"/>
      <c r="P51" s="24" t="str">
        <f t="shared" si="2"/>
        <v/>
      </c>
      <c r="Q51" s="22" t="str">
        <f t="shared" si="5"/>
        <v>MJ</v>
      </c>
      <c r="R51" s="12"/>
      <c r="S51" s="24" t="str">
        <f t="shared" si="6"/>
        <v/>
      </c>
      <c r="T51" s="22" t="s">
        <v>468</v>
      </c>
      <c r="U51" s="12"/>
      <c r="V51" s="40"/>
      <c r="W51" s="40"/>
      <c r="X51" s="40"/>
      <c r="Y51" s="40"/>
      <c r="Z51" s="40"/>
      <c r="AA51" s="40"/>
      <c r="AB51" s="67"/>
      <c r="AC51" s="995"/>
      <c r="AD51" s="1405"/>
      <c r="AE51" s="1383" t="str">
        <f t="shared" si="4"/>
        <v>gezondheid bedgebied</v>
      </c>
      <c r="AF51" s="1441"/>
      <c r="AG51" s="1447" t="str">
        <f t="shared" si="7"/>
        <v/>
      </c>
      <c r="AH51" s="1411" t="str">
        <f t="shared" si="8"/>
        <v/>
      </c>
      <c r="AI51" s="1410"/>
      <c r="AJ51" s="1447">
        <v>130</v>
      </c>
      <c r="AK51" s="22" t="s">
        <v>1784</v>
      </c>
      <c r="AL51" s="1405"/>
      <c r="AM51" s="1405"/>
      <c r="AN51" s="1405"/>
      <c r="AO51" s="1405"/>
      <c r="AP51" s="1405"/>
      <c r="AQ51" s="1405"/>
      <c r="AR51" s="1405"/>
      <c r="AS51" s="67"/>
      <c r="AT51" s="995"/>
      <c r="AU51" s="40"/>
      <c r="AV51" s="453" t="s">
        <v>1402</v>
      </c>
      <c r="AW51" s="453"/>
      <c r="AX51" s="453" t="str">
        <f>tabellen_EMD!G174</f>
        <v>Primaire energie</v>
      </c>
      <c r="AY51" s="453"/>
      <c r="AZ51" s="453"/>
      <c r="BA51" s="453" t="s">
        <v>1513</v>
      </c>
      <c r="BB51" s="15"/>
      <c r="BC51" s="977" t="str">
        <f>tabellen_EMD!$F$46</f>
        <v>Primaire energie</v>
      </c>
      <c r="BD51" s="979" t="str">
        <f>tabellen_EMD!$G$46</f>
        <v>Eenheid primaire energie</v>
      </c>
      <c r="BE51" s="979" t="str">
        <f>tabellen_EMD!$H$46</f>
        <v>Indicator primaire energie</v>
      </c>
      <c r="BF51" s="979" t="str">
        <f>tabellen_EMD!I46</f>
        <v>Primaire energie per m2</v>
      </c>
      <c r="BG51" s="13"/>
      <c r="BH51" s="13"/>
      <c r="BI51" s="13"/>
    </row>
    <row r="52" spans="1:61">
      <c r="E52" s="14"/>
      <c r="F52" s="22" t="s">
        <v>307</v>
      </c>
      <c r="G52" s="47"/>
      <c r="H52" s="47"/>
      <c r="I52" s="16"/>
      <c r="J52" s="25"/>
      <c r="K52" s="47" t="s">
        <v>562</v>
      </c>
      <c r="L52" s="453"/>
      <c r="M52" s="24">
        <f t="shared" si="1"/>
        <v>0</v>
      </c>
      <c r="N52" s="47" t="s">
        <v>562</v>
      </c>
      <c r="O52" s="12"/>
      <c r="P52" s="24" t="str">
        <f t="shared" si="2"/>
        <v/>
      </c>
      <c r="Q52" s="22" t="str">
        <f t="shared" si="5"/>
        <v>MJ</v>
      </c>
      <c r="R52" s="12"/>
      <c r="S52" s="24" t="str">
        <f t="shared" si="6"/>
        <v/>
      </c>
      <c r="T52" s="22" t="s">
        <v>468</v>
      </c>
      <c r="U52" s="12"/>
      <c r="V52" s="12"/>
      <c r="W52" s="12"/>
      <c r="X52" s="12"/>
      <c r="Y52" s="12"/>
      <c r="Z52" s="12"/>
      <c r="AA52" s="12"/>
      <c r="AB52" s="67"/>
      <c r="AC52" s="995"/>
      <c r="AD52" s="1405"/>
      <c r="AE52" s="1383" t="str">
        <f t="shared" si="4"/>
        <v>winkel</v>
      </c>
      <c r="AF52" s="1441"/>
      <c r="AG52" s="1447" t="str">
        <f t="shared" si="7"/>
        <v/>
      </c>
      <c r="AH52" s="1411" t="str">
        <f t="shared" si="8"/>
        <v/>
      </c>
      <c r="AI52" s="1410"/>
      <c r="AJ52" s="1447">
        <v>60</v>
      </c>
      <c r="AK52" s="22" t="s">
        <v>1784</v>
      </c>
      <c r="AL52" s="1405"/>
      <c r="AM52" s="1405"/>
      <c r="AN52" s="1405"/>
      <c r="AO52" s="1405"/>
      <c r="AP52" s="1405"/>
      <c r="AQ52" s="1405"/>
      <c r="AR52" s="1405"/>
      <c r="AS52" s="67"/>
      <c r="AT52" s="995"/>
      <c r="AU52" s="12"/>
      <c r="AV52" s="305" t="str" cm="1">
        <f t="array" ref="AV52:AV53">_xlfn._xlws.FILTER($AV$41:$AV$48,$AY$41:$AY$48,"kies een passend pakket")</f>
        <v>VABI EPA-U</v>
      </c>
      <c r="AW52" s="47"/>
      <c r="AX52" s="47" t="str">
        <f>IFERROR(VLOOKUP($AV52,tabellen_EMD!$C$175:$K$182,MATCH(AX$51,tabellen_EMD!$C$174:$K$174,0),FALSE),"")</f>
        <v>VABI EPA-U</v>
      </c>
      <c r="AY52" s="47"/>
      <c r="AZ52" s="453"/>
      <c r="BA52" s="305" t="str" cm="1">
        <f t="array" ref="BA52:BA54">_xlfn.UNIQUE(AX52:AX55)</f>
        <v>VABI EPA-U</v>
      </c>
      <c r="BB52" s="15"/>
      <c r="BC52" s="47" t="str">
        <f>VLOOKUP($BA52,tabellen_EMD!$C$47:$K$52,MATCH(BC$51,tabellen_EMD!$C$46:$K$46,0),FALSE)</f>
        <v>EPA-U: Primaire energie</v>
      </c>
      <c r="BD52" s="47" t="str">
        <f>VLOOKUP($AX52,tabellen_EMD!$C$47:$K$52,MATCH(BD$51,tabellen_EMD!$C$46:$K$46,0),FALSE)</f>
        <v>MJ</v>
      </c>
      <c r="BE52" s="47" t="str">
        <f>VLOOKUP($AX52,tabellen_EMD!$C$47:$K$52,MATCH(BE$51,tabellen_EMD!$C$46:$K$46,0),FALSE)</f>
        <v>EPA-U. Primaire energie</v>
      </c>
      <c r="BF52" s="46">
        <f>VLOOKUP($AX52,tabellen_EMD!$C$47:$K$52,MATCH(BF$51,tabellen_EMD!$C$46:$K$46,0),FALSE)</f>
        <v>0</v>
      </c>
      <c r="BG52" s="13"/>
      <c r="BH52" s="13"/>
      <c r="BI52" s="13"/>
    </row>
    <row r="53" spans="1:61">
      <c r="E53" s="14"/>
      <c r="F53" s="22" t="s">
        <v>306</v>
      </c>
      <c r="G53" s="47"/>
      <c r="H53" s="47"/>
      <c r="I53" s="16"/>
      <c r="J53" s="25"/>
      <c r="K53" s="47" t="s">
        <v>562</v>
      </c>
      <c r="L53" s="453"/>
      <c r="M53" s="24">
        <f t="shared" si="1"/>
        <v>0</v>
      </c>
      <c r="N53" s="47" t="s">
        <v>562</v>
      </c>
      <c r="O53" s="12"/>
      <c r="P53" s="24" t="str">
        <f t="shared" si="2"/>
        <v/>
      </c>
      <c r="Q53" s="22" t="str">
        <f t="shared" ref="Q53:Q55" si="9">IFERROR(INDEX(EP_Methode_BRON_per_GPR_Versie_Eenheid,MATCH(EP_doelmethode,GPR_Versie_En_EP_Methode,0)),"")</f>
        <v>MJ</v>
      </c>
      <c r="R53" s="12"/>
      <c r="S53" s="24" t="str">
        <f t="shared" si="6"/>
        <v/>
      </c>
      <c r="T53" s="22" t="s">
        <v>468</v>
      </c>
      <c r="U53" s="12"/>
      <c r="V53" s="12"/>
      <c r="W53" s="12"/>
      <c r="X53" s="12"/>
      <c r="Y53" s="12"/>
      <c r="Z53" s="12"/>
      <c r="AA53" s="12"/>
      <c r="AB53" s="67"/>
      <c r="AC53" s="995"/>
      <c r="AD53" s="1405"/>
      <c r="AE53" s="1383" t="str">
        <f t="shared" si="4"/>
        <v>sport</v>
      </c>
      <c r="AF53" s="1441"/>
      <c r="AG53" s="1447" t="str">
        <f t="shared" si="7"/>
        <v/>
      </c>
      <c r="AH53" s="1411" t="str">
        <f t="shared" si="8"/>
        <v/>
      </c>
      <c r="AI53" s="1410"/>
      <c r="AJ53" s="1447">
        <v>90</v>
      </c>
      <c r="AK53" s="22" t="s">
        <v>1784</v>
      </c>
      <c r="AL53" s="1405"/>
      <c r="AM53" s="1405"/>
      <c r="AN53" s="1405"/>
      <c r="AO53" s="1405"/>
      <c r="AP53" s="1405"/>
      <c r="AQ53" s="1405"/>
      <c r="AR53" s="1405"/>
      <c r="AS53" s="67"/>
      <c r="AT53" s="995"/>
      <c r="AU53" s="12"/>
      <c r="AV53" s="304" t="str">
        <v>Energielabel utiliteit</v>
      </c>
      <c r="AW53" s="47"/>
      <c r="AX53" s="47" t="str">
        <f>IFERROR(VLOOKUP($AV53,tabellen_EMD!$C$175:$K$182,MATCH(AX$51,tabellen_EMD!$C$174:$K$174,0),FALSE),"")</f>
        <v>Energielabel utiliteit</v>
      </c>
      <c r="AY53" s="47"/>
      <c r="AZ53" s="453"/>
      <c r="BA53" s="304" t="str">
        <v>Energielabel utiliteit</v>
      </c>
      <c r="BB53" s="15"/>
      <c r="BC53" s="47" t="str">
        <f>VLOOKUP($AX53,tabellen_EMD!$C$47:$K$52,MATCH(BC$51,tabellen_EMD!$C$46:$K$46,0),FALSE)</f>
        <v>Energielabel: Primaire energie</v>
      </c>
      <c r="BD53" s="47" t="str">
        <f>VLOOKUP($AX53,tabellen_EMD!$C$47:$K$52,MATCH(BD$51,tabellen_EMD!$C$46:$K$46,0),FALSE)</f>
        <v>MJ/m2</v>
      </c>
      <c r="BE53" s="47" t="str">
        <f>VLOOKUP($AX53,tabellen_EMD!$C$47:$K$52,MATCH(BE$51,tabellen_EMD!$C$46:$K$46,0),FALSE)</f>
        <v>Energielabel: Primaire energie per m2</v>
      </c>
      <c r="BF53" s="46">
        <f>VLOOKUP($AX53,tabellen_EMD!$C$47:$K$52,MATCH(BF$51,tabellen_EMD!$C$46:$K$46,0),FALSE)</f>
        <v>1</v>
      </c>
      <c r="BG53" s="13"/>
      <c r="BH53" s="13"/>
      <c r="BI53" s="13"/>
    </row>
    <row r="54" spans="1:61">
      <c r="E54" s="14"/>
      <c r="F54" s="22" t="s">
        <v>424</v>
      </c>
      <c r="G54" s="47"/>
      <c r="H54" s="47"/>
      <c r="I54" s="16"/>
      <c r="J54" s="25"/>
      <c r="K54" s="47" t="s">
        <v>562</v>
      </c>
      <c r="L54" s="453"/>
      <c r="M54" s="24">
        <f t="shared" si="1"/>
        <v>0</v>
      </c>
      <c r="N54" s="47" t="s">
        <v>562</v>
      </c>
      <c r="O54" s="12"/>
      <c r="P54" s="24" t="str">
        <f t="shared" si="2"/>
        <v/>
      </c>
      <c r="Q54" s="22" t="str">
        <f t="shared" si="9"/>
        <v>MJ</v>
      </c>
      <c r="R54" s="12"/>
      <c r="S54" s="24" t="str">
        <f t="shared" si="6"/>
        <v/>
      </c>
      <c r="T54" s="22" t="s">
        <v>468</v>
      </c>
      <c r="U54" s="12"/>
      <c r="V54" s="12"/>
      <c r="W54" s="12"/>
      <c r="X54" s="12"/>
      <c r="Y54" s="12"/>
      <c r="Z54" s="12"/>
      <c r="AA54" s="12"/>
      <c r="AB54" s="67"/>
      <c r="AC54" s="995"/>
      <c r="AD54" s="1405"/>
      <c r="AE54" s="1383" t="str">
        <f t="shared" si="4"/>
        <v>logies in logiesgebouw</v>
      </c>
      <c r="AF54" s="1441"/>
      <c r="AG54" s="1447" t="str">
        <f t="shared" si="7"/>
        <v/>
      </c>
      <c r="AH54" s="1411" t="str">
        <f t="shared" si="8"/>
        <v/>
      </c>
      <c r="AI54" s="1410"/>
      <c r="AJ54" s="1447">
        <v>130</v>
      </c>
      <c r="AK54" s="22" t="s">
        <v>1784</v>
      </c>
      <c r="AL54" s="1405"/>
      <c r="AM54" s="1405"/>
      <c r="AN54" s="1405"/>
      <c r="AO54" s="1405"/>
      <c r="AP54" s="1405"/>
      <c r="AQ54" s="1405"/>
      <c r="AR54" s="1405"/>
      <c r="AS54" s="67"/>
      <c r="AT54" s="995"/>
      <c r="AU54" s="12"/>
      <c r="AV54" s="304"/>
      <c r="AW54" s="47"/>
      <c r="AX54" s="47" t="str">
        <f>IFERROR(VLOOKUP($AV54,tabellen_EMD!$C$175:$K$182,MATCH(AX$51,tabellen_EMD!$C$174:$K$174,0),FALSE),"")</f>
        <v/>
      </c>
      <c r="AY54" s="47"/>
      <c r="AZ54" s="12"/>
      <c r="BA54" s="304" t="str">
        <v/>
      </c>
      <c r="BB54" s="15"/>
      <c r="BC54" s="47"/>
      <c r="BD54" s="47"/>
      <c r="BE54" s="47"/>
      <c r="BF54" s="46"/>
      <c r="BG54" s="13"/>
      <c r="BH54" s="13"/>
      <c r="BI54" s="14"/>
    </row>
    <row r="55" spans="1:61">
      <c r="A55" s="139" t="s">
        <v>396</v>
      </c>
      <c r="B55" s="944"/>
      <c r="C55" s="944"/>
      <c r="D55" s="944"/>
      <c r="E55" s="14"/>
      <c r="F55" s="22" t="s">
        <v>425</v>
      </c>
      <c r="G55" s="47"/>
      <c r="H55" s="47"/>
      <c r="I55" s="16"/>
      <c r="J55" s="25"/>
      <c r="K55" s="47" t="s">
        <v>562</v>
      </c>
      <c r="L55" s="453"/>
      <c r="M55" s="24">
        <f t="shared" si="1"/>
        <v>0</v>
      </c>
      <c r="N55" s="47" t="s">
        <v>562</v>
      </c>
      <c r="O55" s="12"/>
      <c r="P55" s="24" t="str">
        <f t="shared" si="2"/>
        <v/>
      </c>
      <c r="Q55" s="22" t="str">
        <f t="shared" si="9"/>
        <v>MJ</v>
      </c>
      <c r="R55" s="12"/>
      <c r="S55" s="24" t="str">
        <f t="shared" si="6"/>
        <v/>
      </c>
      <c r="T55" s="22" t="s">
        <v>468</v>
      </c>
      <c r="U55" s="12"/>
      <c r="V55" s="12"/>
      <c r="W55" s="12"/>
      <c r="X55" s="12"/>
      <c r="Y55" s="12"/>
      <c r="Z55" s="12"/>
      <c r="AA55" s="12"/>
      <c r="AB55" s="67"/>
      <c r="AC55" s="995"/>
      <c r="AD55" s="1405"/>
      <c r="AE55" s="1383" t="str">
        <f t="shared" si="4"/>
        <v>cel</v>
      </c>
      <c r="AF55" s="1441"/>
      <c r="AG55" s="1447" t="str">
        <f t="shared" si="7"/>
        <v/>
      </c>
      <c r="AH55" s="1411" t="str">
        <f t="shared" si="8"/>
        <v/>
      </c>
      <c r="AI55" s="1410"/>
      <c r="AJ55" s="1447">
        <v>120</v>
      </c>
      <c r="AK55" s="22" t="s">
        <v>1784</v>
      </c>
      <c r="AL55" s="1405"/>
      <c r="AM55" s="1405"/>
      <c r="AN55" s="1405"/>
      <c r="AO55" s="1405"/>
      <c r="AP55" s="1405"/>
      <c r="AQ55" s="1405"/>
      <c r="AR55" s="1405"/>
      <c r="AS55" s="67"/>
      <c r="AT55" s="995"/>
      <c r="AU55" s="12"/>
      <c r="AV55" s="306"/>
      <c r="AW55" s="47"/>
      <c r="AX55" s="47" t="str">
        <f>IFERROR(VLOOKUP($AV55,tabellen_EMD!$C$175:$K$182,MATCH(AX$51,tabellen_EMD!$C$174:$K$174,0),FALSE),"")</f>
        <v/>
      </c>
      <c r="AY55" s="47"/>
      <c r="AZ55" s="12"/>
      <c r="BA55" s="306"/>
      <c r="BB55" s="40"/>
      <c r="BC55" s="40"/>
      <c r="BD55" s="13"/>
      <c r="BE55" s="13"/>
      <c r="BF55" s="13"/>
      <c r="BG55" s="13"/>
      <c r="BH55" s="13"/>
      <c r="BI55" s="14"/>
    </row>
    <row r="56" spans="1:61">
      <c r="E56" s="14"/>
      <c r="F56" s="22" t="s">
        <v>554</v>
      </c>
      <c r="G56" s="47"/>
      <c r="H56" s="47"/>
      <c r="I56" s="16"/>
      <c r="J56" s="25"/>
      <c r="K56" s="47" t="s">
        <v>562</v>
      </c>
      <c r="L56" s="453"/>
      <c r="M56" s="453"/>
      <c r="N56" s="12"/>
      <c r="O56" s="12"/>
      <c r="P56" s="13"/>
      <c r="Q56" s="39"/>
      <c r="R56" s="12"/>
      <c r="S56" s="13"/>
      <c r="T56" s="41"/>
      <c r="U56" s="12"/>
      <c r="V56" s="12"/>
      <c r="W56" s="12"/>
      <c r="X56" s="12"/>
      <c r="Y56" s="12"/>
      <c r="Z56" s="12"/>
      <c r="AA56" s="12"/>
      <c r="AB56" s="67"/>
      <c r="AC56" s="995"/>
      <c r="AD56" s="1405"/>
      <c r="AE56" s="1383" t="str">
        <f t="shared" si="4"/>
        <v>gemeenschappelijke ruimten</v>
      </c>
      <c r="AF56" s="1383"/>
      <c r="AG56" s="1408"/>
      <c r="AH56" s="1408"/>
      <c r="AI56" s="1410"/>
      <c r="AJ56" s="1410"/>
      <c r="AK56" s="1405"/>
      <c r="AL56" s="1405"/>
      <c r="AM56" s="1405"/>
      <c r="AN56" s="1405"/>
      <c r="AO56" s="1405"/>
      <c r="AP56" s="1405"/>
      <c r="AQ56" s="1405"/>
      <c r="AR56" s="1405"/>
      <c r="AS56" s="67"/>
      <c r="AT56" s="995"/>
      <c r="AU56" s="12"/>
      <c r="AV56" s="12"/>
      <c r="AW56" s="12"/>
      <c r="AX56" s="12"/>
      <c r="AY56" s="12"/>
      <c r="AZ56" s="12"/>
      <c r="BA56" s="12"/>
      <c r="BB56" s="12"/>
      <c r="BC56" s="12"/>
      <c r="BD56" s="12"/>
      <c r="BE56" s="40"/>
      <c r="BF56" s="13"/>
      <c r="BG56" s="13"/>
      <c r="BH56" s="13"/>
      <c r="BI56" s="14"/>
    </row>
    <row r="57" spans="1:61" hidden="1" collapsed="1">
      <c r="A57" s="212" t="s">
        <v>493</v>
      </c>
      <c r="B57" s="898"/>
      <c r="C57" s="898"/>
      <c r="D57" s="898"/>
      <c r="E57" s="14"/>
      <c r="F57" s="13"/>
      <c r="G57" s="13"/>
      <c r="H57" s="13"/>
      <c r="I57" s="16"/>
      <c r="J57" s="13"/>
      <c r="K57" s="13"/>
      <c r="L57" s="39"/>
      <c r="M57" s="39"/>
      <c r="N57" s="39"/>
      <c r="O57" s="12"/>
      <c r="P57" s="12"/>
      <c r="Q57" s="12"/>
      <c r="R57" s="12"/>
      <c r="S57" s="12"/>
      <c r="T57" s="41"/>
      <c r="U57" s="12"/>
      <c r="V57" s="12"/>
      <c r="W57" s="12"/>
      <c r="X57" s="12"/>
      <c r="Y57" s="12"/>
      <c r="Z57" s="12"/>
      <c r="AA57" s="12"/>
      <c r="AB57" s="67"/>
      <c r="AC57" s="995"/>
      <c r="AD57" s="1405"/>
      <c r="AE57" s="1405"/>
      <c r="AF57" s="1405"/>
      <c r="AG57" s="1405"/>
      <c r="AH57" s="1405"/>
      <c r="AI57" s="1405"/>
      <c r="AJ57" s="1405"/>
      <c r="AK57" s="1405"/>
      <c r="AL57" s="1405"/>
      <c r="AM57" s="1405"/>
      <c r="AN57" s="1405"/>
      <c r="AO57" s="1405"/>
      <c r="AP57" s="1405"/>
      <c r="AQ57" s="1405"/>
      <c r="AR57" s="1405"/>
      <c r="AS57" s="67"/>
      <c r="AT57" s="995"/>
      <c r="AU57" s="12"/>
      <c r="AV57" s="12"/>
      <c r="AW57" s="12"/>
      <c r="AX57" s="12"/>
      <c r="AY57" s="12"/>
      <c r="AZ57" s="12"/>
      <c r="BA57" s="12"/>
      <c r="BB57" s="12"/>
      <c r="BC57" s="12"/>
      <c r="BD57" s="12"/>
      <c r="BE57" s="40"/>
      <c r="BF57" s="13"/>
      <c r="BG57" s="13"/>
      <c r="BH57" s="13"/>
      <c r="BI57" s="14"/>
    </row>
    <row r="58" spans="1:61" hidden="1">
      <c r="A58" s="212" t="s">
        <v>493</v>
      </c>
      <c r="B58" s="898"/>
      <c r="C58" s="898"/>
      <c r="D58" s="898"/>
      <c r="E58" s="14"/>
      <c r="F58" s="22" t="str">
        <f>"in te voeren in "&amp;EP_doelmethode</f>
        <v>in te voeren in GPR 4.4 | ISSO 75.3</v>
      </c>
      <c r="G58" s="22"/>
      <c r="H58" s="22"/>
      <c r="I58" s="16"/>
      <c r="J58" s="24">
        <f>SUM(J44:J57)</f>
        <v>300</v>
      </c>
      <c r="K58" s="47" t="s">
        <v>562</v>
      </c>
      <c r="L58" s="453"/>
      <c r="M58" s="24">
        <f>SUM(M44:M56)</f>
        <v>300</v>
      </c>
      <c r="N58" s="47" t="s">
        <v>562</v>
      </c>
      <c r="O58" s="12"/>
      <c r="P58" s="24">
        <f>SUM(P44:P55)</f>
        <v>8.9130480773746967E-11</v>
      </c>
      <c r="Q58" s="22" t="str">
        <f>INDEX(EP_Methode_BRON_per_GPR_Versie_Eenheid,MATCH(EP_doelmethode,GPR_Versie_En_EP_Methode,0))</f>
        <v>MJ</v>
      </c>
      <c r="R58" s="12"/>
      <c r="S58" s="24">
        <f>SUM(S44:S55)</f>
        <v>0</v>
      </c>
      <c r="T58" s="22" t="s">
        <v>468</v>
      </c>
      <c r="U58" s="12"/>
      <c r="V58" s="12"/>
      <c r="W58" s="12"/>
      <c r="X58" s="12"/>
      <c r="Y58" s="12"/>
      <c r="Z58" s="12"/>
      <c r="AA58" s="12"/>
      <c r="AB58" s="67"/>
      <c r="AC58" s="995"/>
      <c r="AD58" s="1405"/>
      <c r="AE58" s="1405"/>
      <c r="AF58" s="1405"/>
      <c r="AG58" s="1405"/>
      <c r="AH58" s="1405"/>
      <c r="AI58" s="1405"/>
      <c r="AJ58" s="24">
        <f>IFERROR(SUMPRODUCT($M$44:$M$55,$AJ$44:$AJ$55)/SUM($M$44:$M$55),"")</f>
        <v>56.666666666666664</v>
      </c>
      <c r="AK58" s="22" t="s">
        <v>1784</v>
      </c>
      <c r="AL58" s="1405"/>
      <c r="AM58" s="1405"/>
      <c r="AN58" s="1405"/>
      <c r="AO58" s="1405"/>
      <c r="AP58" s="1405"/>
      <c r="AQ58" s="1405"/>
      <c r="AR58" s="1405"/>
      <c r="AS58" s="67"/>
      <c r="AT58" s="995"/>
      <c r="AU58" s="12"/>
      <c r="AV58" s="12"/>
      <c r="AW58" s="12"/>
      <c r="AX58" s="12"/>
      <c r="AY58" s="12"/>
      <c r="AZ58" s="12"/>
      <c r="BA58" s="12"/>
      <c r="BB58" s="12"/>
      <c r="BC58" s="12"/>
      <c r="BD58" s="12"/>
      <c r="BE58" s="40"/>
      <c r="BF58" s="13"/>
      <c r="BG58" s="13"/>
      <c r="BH58" s="13"/>
      <c r="BI58" s="14"/>
    </row>
    <row r="59" spans="1:61">
      <c r="A59" s="212"/>
      <c r="B59" s="898"/>
      <c r="C59" s="898"/>
      <c r="D59" s="898"/>
      <c r="E59" s="14"/>
      <c r="F59" s="22" t="str">
        <f>"overgenomen uit "&amp;P23</f>
        <v>overgenomen uit Energielabel utiliteit</v>
      </c>
      <c r="G59" s="22"/>
      <c r="H59" s="22"/>
      <c r="I59" s="16"/>
      <c r="J59" s="24">
        <f>SUM(J44:J57)</f>
        <v>300</v>
      </c>
      <c r="K59" s="47" t="s">
        <v>562</v>
      </c>
      <c r="L59" s="453"/>
      <c r="M59" s="24">
        <f>SUM(M44:M55)</f>
        <v>300</v>
      </c>
      <c r="N59" s="47" t="s">
        <v>562</v>
      </c>
      <c r="O59" s="12"/>
      <c r="P59" s="12"/>
      <c r="Q59" s="12"/>
      <c r="R59" s="12"/>
      <c r="S59" s="12"/>
      <c r="T59" s="12"/>
      <c r="U59" s="12"/>
      <c r="V59" s="12"/>
      <c r="W59" s="12"/>
      <c r="X59" s="12"/>
      <c r="Y59" s="12"/>
      <c r="Z59" s="12"/>
      <c r="AA59" s="12"/>
      <c r="AB59" s="67"/>
      <c r="AC59" s="995"/>
      <c r="AD59" s="1405"/>
      <c r="AE59" s="1405"/>
      <c r="AF59" s="1405"/>
      <c r="AG59" s="1405"/>
      <c r="AH59" s="1405"/>
      <c r="AI59" s="1405"/>
      <c r="AJ59" s="1405"/>
      <c r="AK59" s="1405"/>
      <c r="AL59" s="1405"/>
      <c r="AM59" s="1405"/>
      <c r="AN59" s="1405"/>
      <c r="AO59" s="1405"/>
      <c r="AP59" s="1405"/>
      <c r="AQ59" s="1405"/>
      <c r="AR59" s="1405"/>
      <c r="AS59" s="67"/>
      <c r="AT59" s="995"/>
      <c r="AU59" s="12"/>
      <c r="AV59" s="12"/>
      <c r="AW59" s="12"/>
      <c r="AX59" s="12"/>
      <c r="AY59" s="12"/>
      <c r="AZ59" s="12"/>
      <c r="BA59" s="12"/>
      <c r="BB59" s="12"/>
      <c r="BC59" s="12"/>
      <c r="BD59" s="12"/>
      <c r="BE59" s="40"/>
      <c r="BF59" s="13"/>
      <c r="BG59" s="13"/>
      <c r="BH59" s="13"/>
      <c r="BI59" s="14"/>
    </row>
    <row r="60" spans="1:61">
      <c r="A60" s="18"/>
      <c r="B60" s="763"/>
      <c r="C60" s="763"/>
      <c r="D60" s="763"/>
      <c r="E60" s="14"/>
      <c r="F60" s="15"/>
      <c r="G60" s="16"/>
      <c r="H60" s="16"/>
      <c r="I60" s="16"/>
      <c r="J60" s="148"/>
      <c r="K60" s="14"/>
      <c r="L60" s="39"/>
      <c r="M60" s="15"/>
      <c r="N60" s="39"/>
      <c r="O60" s="39"/>
      <c r="P60" s="39"/>
      <c r="Q60" s="12"/>
      <c r="R60" s="12"/>
      <c r="S60" s="12"/>
      <c r="T60" s="12"/>
      <c r="U60" s="12"/>
      <c r="V60" s="12"/>
      <c r="W60" s="12"/>
      <c r="X60" s="12"/>
      <c r="Y60" s="12"/>
      <c r="Z60" s="12"/>
      <c r="AA60" s="12"/>
      <c r="AB60" s="67"/>
      <c r="AC60" s="995"/>
      <c r="AD60" s="1405"/>
      <c r="AE60" s="1405"/>
      <c r="AF60" s="1405"/>
      <c r="AG60" s="1405"/>
      <c r="AH60" s="1405"/>
      <c r="AI60" s="1405"/>
      <c r="AJ60" s="1405"/>
      <c r="AK60" s="1405"/>
      <c r="AL60" s="1405"/>
      <c r="AM60" s="1405"/>
      <c r="AN60" s="1405"/>
      <c r="AO60" s="1405"/>
      <c r="AP60" s="1405"/>
      <c r="AQ60" s="1405"/>
      <c r="AR60" s="1405"/>
      <c r="AS60" s="67"/>
      <c r="AT60" s="995"/>
      <c r="AU60" s="12"/>
      <c r="AV60" s="12"/>
      <c r="AW60" s="12"/>
      <c r="AX60" s="12"/>
      <c r="AY60" s="12"/>
      <c r="AZ60" s="12"/>
      <c r="BA60" s="12"/>
      <c r="BB60" s="12"/>
      <c r="BC60" s="12"/>
      <c r="BD60" s="12"/>
      <c r="BE60" s="40"/>
      <c r="BF60" s="13"/>
      <c r="BG60" s="13"/>
      <c r="BH60" s="13"/>
      <c r="BI60" s="14"/>
    </row>
    <row r="61" spans="1:61" s="896" customFormat="1" ht="25.5" customHeight="1">
      <c r="A61" s="86"/>
      <c r="B61" s="943"/>
      <c r="C61" s="943"/>
      <c r="D61" s="943"/>
      <c r="E61" s="897"/>
      <c r="F61" s="893" t="s">
        <v>1404</v>
      </c>
      <c r="G61" s="912"/>
      <c r="H61" s="913"/>
      <c r="I61" s="894"/>
      <c r="J61" s="912"/>
      <c r="K61" s="914"/>
      <c r="L61" s="895"/>
      <c r="M61" s="893"/>
      <c r="N61" s="893"/>
      <c r="O61" s="895"/>
      <c r="P61" s="895"/>
      <c r="Q61" s="893"/>
      <c r="R61" s="893"/>
      <c r="S61" s="893"/>
      <c r="T61" s="893"/>
      <c r="U61" s="893"/>
      <c r="V61" s="893"/>
      <c r="W61" s="893"/>
      <c r="X61" s="893"/>
      <c r="Y61" s="893"/>
      <c r="Z61" s="893"/>
      <c r="AA61" s="893"/>
      <c r="AB61" s="893"/>
      <c r="AC61" s="893"/>
      <c r="AD61" s="893"/>
      <c r="AE61" s="893"/>
      <c r="AF61" s="893"/>
      <c r="AG61" s="893"/>
      <c r="AH61" s="893"/>
      <c r="AI61" s="893"/>
      <c r="AJ61" s="893"/>
      <c r="AK61" s="893"/>
      <c r="AL61" s="893"/>
      <c r="AM61" s="893"/>
      <c r="AN61" s="893"/>
      <c r="AO61" s="893"/>
      <c r="AP61" s="893"/>
      <c r="AQ61" s="893"/>
      <c r="AR61" s="893"/>
      <c r="AS61" s="893"/>
      <c r="AT61" s="1381"/>
      <c r="AU61" s="893"/>
      <c r="AV61" s="893"/>
      <c r="AW61" s="893"/>
      <c r="AX61" s="893"/>
      <c r="AY61" s="893"/>
      <c r="AZ61" s="893"/>
      <c r="BA61" s="893"/>
      <c r="BB61" s="893"/>
      <c r="BC61" s="893"/>
      <c r="BD61" s="893"/>
      <c r="BE61" s="893"/>
      <c r="BF61" s="893"/>
      <c r="BG61" s="893"/>
      <c r="BH61" s="893"/>
      <c r="BI61" s="893"/>
    </row>
    <row r="62" spans="1:61" collapsed="1">
      <c r="A62" s="86"/>
      <c r="B62" s="15" t="s">
        <v>1513</v>
      </c>
      <c r="C62" s="15" t="s">
        <v>1489</v>
      </c>
      <c r="D62" s="943"/>
      <c r="E62" s="14"/>
      <c r="F62" s="13"/>
      <c r="G62" s="13"/>
      <c r="H62" s="13"/>
      <c r="I62" s="12"/>
      <c r="J62" s="39"/>
      <c r="K62" s="40"/>
      <c r="L62" s="39"/>
      <c r="M62" s="39"/>
      <c r="N62" s="39"/>
      <c r="O62" s="39"/>
      <c r="P62" s="39"/>
      <c r="Q62" s="39"/>
      <c r="R62" s="39"/>
      <c r="S62" s="39"/>
      <c r="T62" s="39"/>
      <c r="U62" s="39"/>
      <c r="V62" s="39"/>
      <c r="W62" s="39"/>
      <c r="X62" s="39"/>
      <c r="Y62" s="39"/>
      <c r="Z62" s="39"/>
      <c r="AA62" s="39"/>
      <c r="AB62" s="67"/>
      <c r="AC62" s="995"/>
      <c r="AD62" s="1405"/>
      <c r="AE62" s="1405"/>
      <c r="AF62" s="1405"/>
      <c r="AG62" s="1405"/>
      <c r="AH62" s="1405"/>
      <c r="AI62" s="1405"/>
      <c r="AJ62" s="1405"/>
      <c r="AK62" s="1405"/>
      <c r="AL62" s="1405"/>
      <c r="AM62" s="1405"/>
      <c r="AN62" s="1405"/>
      <c r="AO62" s="1405"/>
      <c r="AP62" s="1405"/>
      <c r="AQ62" s="1405"/>
      <c r="AR62" s="1405"/>
      <c r="AS62" s="67"/>
      <c r="AT62" s="995"/>
      <c r="AU62" s="12"/>
      <c r="AV62" s="12"/>
      <c r="AW62" s="12"/>
      <c r="AX62" s="12"/>
      <c r="AY62" s="12"/>
      <c r="AZ62" s="12"/>
      <c r="BA62" s="12"/>
      <c r="BB62" s="12"/>
      <c r="BC62" s="12"/>
      <c r="BD62" s="40"/>
      <c r="BE62" s="40"/>
      <c r="BF62" s="13"/>
      <c r="BG62" s="13"/>
      <c r="BH62" s="13"/>
      <c r="BI62" s="14"/>
    </row>
    <row r="63" spans="1:61">
      <c r="A63" s="139" t="s">
        <v>396</v>
      </c>
      <c r="B63" s="939" t="str">
        <f>tabellen_EMD!$C$181</f>
        <v>VABI EPA-U</v>
      </c>
      <c r="C63" s="939" t="str">
        <f>VLOOKUP(B63,'ISSO75.3 naar GPR4'!$AV$40:$AY$48,COLUMNS($AV$40:$AX$40),FALSE)</f>
        <v>ISSO 75.3</v>
      </c>
      <c r="D63" s="943"/>
      <c r="E63" s="14"/>
      <c r="F63" s="15" t="str">
        <f>_xlfn.CONCAT("Overnemen uit '",B63,"': ",VLOOKUP(B63,$AV$41:$AZ$48,COLUMNS($AV$40:$AZ$40),FALSE))</f>
        <v>Overnemen uit 'VABI EPA-U': Energiegebruik per deelpost in de huidige situatie</v>
      </c>
      <c r="G63" s="15"/>
      <c r="H63" s="15"/>
      <c r="I63" s="905"/>
      <c r="J63" s="12"/>
      <c r="K63" s="12"/>
      <c r="L63" s="12"/>
      <c r="M63" s="909" t="s">
        <v>1485</v>
      </c>
      <c r="N63" s="41"/>
      <c r="O63" s="41"/>
      <c r="P63" s="453" t="s">
        <v>1487</v>
      </c>
      <c r="Q63" s="39"/>
      <c r="R63" s="39"/>
      <c r="S63" s="453" t="s">
        <v>1484</v>
      </c>
      <c r="T63" s="39"/>
      <c r="U63" s="39"/>
      <c r="V63" s="453" t="s">
        <v>1613</v>
      </c>
      <c r="W63" s="39"/>
      <c r="X63" s="39"/>
      <c r="Y63" s="12"/>
      <c r="Z63" s="453" t="s">
        <v>1536</v>
      </c>
      <c r="AA63" s="12"/>
      <c r="AB63" s="67"/>
      <c r="AC63" s="995"/>
      <c r="AD63" s="1405"/>
      <c r="AE63" s="1405"/>
      <c r="AF63" s="1405"/>
      <c r="AG63" s="1405"/>
      <c r="AH63" s="1405"/>
      <c r="AI63" s="1405"/>
      <c r="AJ63" s="1405"/>
      <c r="AK63" s="1405"/>
      <c r="AL63" s="1405"/>
      <c r="AM63" s="1405"/>
      <c r="AN63" s="1405"/>
      <c r="AO63" s="1405"/>
      <c r="AP63" s="1405"/>
      <c r="AQ63" s="1405"/>
      <c r="AR63" s="1405"/>
      <c r="AS63" s="67"/>
      <c r="AT63" s="995"/>
      <c r="AU63" s="12"/>
      <c r="AV63" s="15" t="str">
        <f t="shared" ref="AV63:AV75" si="10">F63</f>
        <v>Overnemen uit 'VABI EPA-U': Energiegebruik per deelpost in de huidige situatie</v>
      </c>
      <c r="AW63" s="12"/>
      <c r="AX63" s="12"/>
      <c r="AY63" s="12"/>
      <c r="AZ63" s="888" t="s">
        <v>1593</v>
      </c>
      <c r="BA63" s="888" t="s">
        <v>1628</v>
      </c>
      <c r="BB63" s="888" t="s">
        <v>1487</v>
      </c>
      <c r="BC63" s="452"/>
      <c r="BD63" s="452" t="s">
        <v>1488</v>
      </c>
      <c r="BE63" s="452"/>
      <c r="BF63" s="452"/>
      <c r="BG63" s="888" t="s">
        <v>510</v>
      </c>
      <c r="BH63" s="39"/>
      <c r="BI63" s="39"/>
    </row>
    <row r="64" spans="1:61">
      <c r="A64" s="139" t="s">
        <v>396</v>
      </c>
      <c r="B64" s="47" t="str">
        <f>B63</f>
        <v>VABI EPA-U</v>
      </c>
      <c r="C64" s="47" t="str">
        <f t="shared" ref="C64:C77" si="11">C63</f>
        <v>ISSO 75.3</v>
      </c>
      <c r="D64" s="943"/>
      <c r="E64" s="14"/>
      <c r="F64" s="892" t="s">
        <v>496</v>
      </c>
      <c r="G64" s="892"/>
      <c r="H64" s="892"/>
      <c r="I64" s="905"/>
      <c r="J64" s="909" t="s">
        <v>458</v>
      </c>
      <c r="K64" s="909"/>
      <c r="L64" s="889"/>
      <c r="M64" s="910" t="s">
        <v>1534</v>
      </c>
      <c r="N64" s="452" t="s">
        <v>204</v>
      </c>
      <c r="O64" s="39"/>
      <c r="P64" s="888" t="s">
        <v>1533</v>
      </c>
      <c r="Q64" s="910" t="s">
        <v>1532</v>
      </c>
      <c r="R64" s="452"/>
      <c r="S64" s="888" t="s">
        <v>1534</v>
      </c>
      <c r="T64" s="889" t="s">
        <v>204</v>
      </c>
      <c r="U64" s="39"/>
      <c r="V64" s="888" t="s">
        <v>1533</v>
      </c>
      <c r="W64" s="910" t="s">
        <v>1532</v>
      </c>
      <c r="X64" s="889" t="s">
        <v>204</v>
      </c>
      <c r="Y64" s="12"/>
      <c r="Z64" s="888" t="s">
        <v>1534</v>
      </c>
      <c r="AA64" s="889" t="s">
        <v>204</v>
      </c>
      <c r="AB64" s="67"/>
      <c r="AC64" s="995"/>
      <c r="AD64" s="1405"/>
      <c r="AE64" s="1405"/>
      <c r="AF64" s="1405"/>
      <c r="AG64" s="1405"/>
      <c r="AH64" s="1405"/>
      <c r="AI64" s="1405"/>
      <c r="AJ64" s="1405"/>
      <c r="AK64" s="1405"/>
      <c r="AL64" s="1405"/>
      <c r="AM64" s="1405"/>
      <c r="AN64" s="1405"/>
      <c r="AO64" s="1405"/>
      <c r="AP64" s="1405"/>
      <c r="AQ64" s="1405"/>
      <c r="AR64" s="1405"/>
      <c r="AS64" s="67"/>
      <c r="AT64" s="995"/>
      <c r="AU64" s="12"/>
      <c r="AV64" s="892" t="str">
        <f t="shared" si="10"/>
        <v>energiefunctie</v>
      </c>
      <c r="AW64" s="452" t="str">
        <f t="shared" ref="AW64:AW75" si="12">J64</f>
        <v>energiedrager</v>
      </c>
      <c r="AX64" s="910"/>
      <c r="AY64" s="12"/>
      <c r="AZ64" s="888" t="s">
        <v>1592</v>
      </c>
      <c r="BA64" s="888"/>
      <c r="BB64" s="888" t="s">
        <v>1535</v>
      </c>
      <c r="BC64" s="452"/>
      <c r="BD64" s="452" t="s">
        <v>1534</v>
      </c>
      <c r="BE64" s="452" t="s">
        <v>1537</v>
      </c>
      <c r="BF64" s="452"/>
      <c r="BG64" s="888" t="s">
        <v>1535</v>
      </c>
      <c r="BH64" s="888" t="s">
        <v>204</v>
      </c>
      <c r="BI64" s="452"/>
    </row>
    <row r="65" spans="1:61">
      <c r="A65" s="86"/>
      <c r="B65" s="47" t="str">
        <f t="shared" ref="B65:B77" si="13">B64</f>
        <v>VABI EPA-U</v>
      </c>
      <c r="C65" s="47" t="str">
        <f t="shared" si="11"/>
        <v>ISSO 75.3</v>
      </c>
      <c r="D65" s="943"/>
      <c r="E65" s="14"/>
      <c r="F65" s="22" t="s">
        <v>502</v>
      </c>
      <c r="G65" s="22"/>
      <c r="H65" s="22"/>
      <c r="I65" s="905"/>
      <c r="J65" s="1685" t="s">
        <v>465</v>
      </c>
      <c r="K65" s="1685"/>
      <c r="L65" s="16"/>
      <c r="M65" s="25"/>
      <c r="N65" s="22" t="str">
        <f t="shared" ref="N65:N75" si="14">INDEX(EP_methode_eenheid,1,MATCH($C65,EP_methode,0))</f>
        <v>MJ</v>
      </c>
      <c r="O65" s="15"/>
      <c r="P65" s="154">
        <v>12</v>
      </c>
      <c r="Q65" s="59">
        <f t="shared" ref="Q65:Q74" si="15">IFERROR(IF(AND(P65&lt;&gt;"",$BA65=1),P65,BB65),1)</f>
        <v>2.5641025641025639</v>
      </c>
      <c r="R65" s="15"/>
      <c r="S65" s="24">
        <f t="shared" ref="S65:S74" si="16">M65/Q65/BD65</f>
        <v>0</v>
      </c>
      <c r="T65" s="47" t="str">
        <f>IFERROR(INDEX(energiedragers_EP_eenheden,MATCH($J65,tabellen_EMD!$C$196:$C$204,0),MATCH($B65,energiedragers_EP_eenheden_titel,0)),"-")</f>
        <v>kWh</v>
      </c>
      <c r="U65" s="39"/>
      <c r="V65" s="154"/>
      <c r="W65" s="59">
        <f t="shared" ref="W65:W74" si="17">IF(AND(V65&lt;&gt;"",$BA65=1),V65,BG65)</f>
        <v>0.56599999999999995</v>
      </c>
      <c r="X65" s="47" t="str">
        <f t="shared" ref="X65:X74" si="18">BH65</f>
        <v>kg/kWh</v>
      </c>
      <c r="Y65" s="12"/>
      <c r="Z65" s="24">
        <f t="shared" ref="Z65:Z74" si="19">S65*W65*ABS(AZ65)</f>
        <v>0</v>
      </c>
      <c r="AA65" s="47" t="s">
        <v>468</v>
      </c>
      <c r="AB65" s="67"/>
      <c r="AC65" s="995"/>
      <c r="AD65" s="1405"/>
      <c r="AE65" s="1405"/>
      <c r="AF65" s="1405"/>
      <c r="AG65" s="1405"/>
      <c r="AH65" s="1405"/>
      <c r="AI65" s="1405"/>
      <c r="AJ65" s="1405"/>
      <c r="AK65" s="1405"/>
      <c r="AL65" s="1405"/>
      <c r="AM65" s="1405"/>
      <c r="AN65" s="1405"/>
      <c r="AO65" s="1405"/>
      <c r="AP65" s="1405"/>
      <c r="AQ65" s="1405"/>
      <c r="AR65" s="1405"/>
      <c r="AS65" s="67"/>
      <c r="AT65" s="995"/>
      <c r="AU65" s="12"/>
      <c r="AV65" s="22" t="str">
        <f t="shared" si="10"/>
        <v>verwarming</v>
      </c>
      <c r="AW65" s="46" t="str">
        <f t="shared" si="12"/>
        <v>elektriciteit</v>
      </c>
      <c r="AX65" s="24"/>
      <c r="AY65" s="12"/>
      <c r="AZ65" s="115">
        <v>1</v>
      </c>
      <c r="BA65" s="24">
        <f>IFERROR(INDEX(tabellen_EMD!$C$185:$N$193,MATCH($J65,tabellen_EMD!$C$185:$C$193,0),MATCH(BA$63,tabellen_EMD!$C$185:$N$185,0)),0)</f>
        <v>0</v>
      </c>
      <c r="BB65" s="115">
        <f t="shared" ref="BB65:BB74" si="20">VLOOKUP($J65,energiedragers_EP_PEF,MATCH(_xlfn.CONCAT($C65," | PEF"),energiedragers_EP_PEF_titel,0),FALSE)</f>
        <v>2.5641025641025639</v>
      </c>
      <c r="BC65" s="15"/>
      <c r="BD65" s="115">
        <f t="shared" ref="BD65:BD74" si="21">IFERROR(VLOOKUP($J65,energiedragers_EP_omrekenen,MATCH($B65,energiedragers_EP_omrekenen_titel,0),FALSE),1)</f>
        <v>3.6</v>
      </c>
      <c r="BE65" s="47" t="str">
        <f t="shared" ref="BE65:BE74" si="22">_xlfn.CONCAT(N65,"/",T65)</f>
        <v>MJ/kWh</v>
      </c>
      <c r="BF65" s="15"/>
      <c r="BG65" s="218">
        <f>IFERROR(INDEX(tabellen_EMD!$C$240:$Z$248,MATCH($J65,tabellen_EMD!$C$240:$C$248,0),MATCH($B65,tabellen_EMD!$C$240:$Z$240,0))*(F65&lt;&gt;"zomercomfort"),0)</f>
        <v>0.56599999999999995</v>
      </c>
      <c r="BH65" s="47" t="str">
        <f t="shared" ref="BH65:BH74" si="23">"kg/"&amp;T65</f>
        <v>kg/kWh</v>
      </c>
      <c r="BI65" s="15"/>
    </row>
    <row r="66" spans="1:61">
      <c r="A66" s="139" t="s">
        <v>396</v>
      </c>
      <c r="B66" s="47" t="str">
        <f t="shared" si="13"/>
        <v>VABI EPA-U</v>
      </c>
      <c r="C66" s="47" t="str">
        <f t="shared" si="11"/>
        <v>ISSO 75.3</v>
      </c>
      <c r="D66" s="943"/>
      <c r="E66" s="14"/>
      <c r="F66" s="22" t="s">
        <v>504</v>
      </c>
      <c r="G66" s="22"/>
      <c r="H66" s="22"/>
      <c r="I66" s="905"/>
      <c r="J66" s="1685"/>
      <c r="K66" s="1685"/>
      <c r="L66" s="16"/>
      <c r="M66" s="25"/>
      <c r="N66" s="22" t="str">
        <f t="shared" si="14"/>
        <v>MJ</v>
      </c>
      <c r="O66" s="15"/>
      <c r="P66" s="154"/>
      <c r="Q66" s="59">
        <f t="shared" si="15"/>
        <v>1</v>
      </c>
      <c r="R66" s="15"/>
      <c r="S66" s="24">
        <f t="shared" si="16"/>
        <v>0</v>
      </c>
      <c r="T66" s="47" t="str">
        <f>IFERROR(INDEX(energiedragers_EP_eenheden,MATCH($J66,tabellen_EMD!$C$196:$C$204,0),MATCH($B66,energiedragers_EP_eenheden_titel,0)),"-")</f>
        <v>-</v>
      </c>
      <c r="U66" s="39"/>
      <c r="V66" s="154"/>
      <c r="W66" s="59">
        <f t="shared" si="17"/>
        <v>0</v>
      </c>
      <c r="X66" s="47" t="str">
        <f t="shared" si="18"/>
        <v>kg/-</v>
      </c>
      <c r="Y66" s="12"/>
      <c r="Z66" s="24">
        <f t="shared" si="19"/>
        <v>0</v>
      </c>
      <c r="AA66" s="47" t="s">
        <v>468</v>
      </c>
      <c r="AB66" s="67"/>
      <c r="AC66" s="995"/>
      <c r="AD66" s="1405"/>
      <c r="AE66" s="1405"/>
      <c r="AF66" s="1405"/>
      <c r="AG66" s="1405"/>
      <c r="AH66" s="1405"/>
      <c r="AI66" s="1405"/>
      <c r="AJ66" s="1405"/>
      <c r="AK66" s="1405"/>
      <c r="AL66" s="1405"/>
      <c r="AM66" s="1405"/>
      <c r="AN66" s="1405"/>
      <c r="AO66" s="1405"/>
      <c r="AP66" s="1405"/>
      <c r="AQ66" s="1405"/>
      <c r="AR66" s="1405"/>
      <c r="AS66" s="67"/>
      <c r="AT66" s="995"/>
      <c r="AU66" s="12"/>
      <c r="AV66" s="22" t="str">
        <f t="shared" si="10"/>
        <v>koeling</v>
      </c>
      <c r="AW66" s="46">
        <f t="shared" si="12"/>
        <v>0</v>
      </c>
      <c r="AX66" s="24"/>
      <c r="AY66" s="12"/>
      <c r="AZ66" s="115">
        <v>1</v>
      </c>
      <c r="BA66" s="24">
        <f>IFERROR(INDEX(tabellen_EMD!$C$185:$N$193,MATCH($J66,tabellen_EMD!$C$185:$C$193,0),MATCH(BA$63,tabellen_EMD!$C$185:$N$185,0)),0)</f>
        <v>0</v>
      </c>
      <c r="BB66" s="115" t="e">
        <f t="shared" si="20"/>
        <v>#N/A</v>
      </c>
      <c r="BC66" s="15"/>
      <c r="BD66" s="115">
        <f t="shared" si="21"/>
        <v>1</v>
      </c>
      <c r="BE66" s="47" t="str">
        <f t="shared" si="22"/>
        <v>MJ/-</v>
      </c>
      <c r="BF66" s="15"/>
      <c r="BG66" s="218">
        <f>IFERROR(INDEX(tabellen_EMD!$C$240:$Z$248,MATCH($J66,tabellen_EMD!$C$240:$C$248,0),MATCH($B66,tabellen_EMD!$C$240:$Z$240,0))*(F66&lt;&gt;"zomercomfort"),0)</f>
        <v>0</v>
      </c>
      <c r="BH66" s="47" t="str">
        <f t="shared" si="23"/>
        <v>kg/-</v>
      </c>
      <c r="BI66" s="15"/>
    </row>
    <row r="67" spans="1:61">
      <c r="A67" s="86"/>
      <c r="B67" s="47" t="str">
        <f t="shared" si="13"/>
        <v>VABI EPA-U</v>
      </c>
      <c r="C67" s="47" t="str">
        <f t="shared" si="11"/>
        <v>ISSO 75.3</v>
      </c>
      <c r="D67" s="943"/>
      <c r="E67" s="14"/>
      <c r="F67" s="22" t="s">
        <v>503</v>
      </c>
      <c r="G67" s="22"/>
      <c r="H67" s="22"/>
      <c r="I67" s="905"/>
      <c r="J67" s="1685"/>
      <c r="K67" s="1685"/>
      <c r="L67" s="16"/>
      <c r="M67" s="25"/>
      <c r="N67" s="22" t="str">
        <f t="shared" si="14"/>
        <v>MJ</v>
      </c>
      <c r="O67" s="15"/>
      <c r="P67" s="154"/>
      <c r="Q67" s="59">
        <f t="shared" si="15"/>
        <v>1</v>
      </c>
      <c r="R67" s="15"/>
      <c r="S67" s="24">
        <f t="shared" si="16"/>
        <v>0</v>
      </c>
      <c r="T67" s="47" t="str">
        <f>IFERROR(INDEX(energiedragers_EP_eenheden,MATCH($J67,tabellen_EMD!$C$196:$C$204,0),MATCH($B67,energiedragers_EP_eenheden_titel,0)),"-")</f>
        <v>-</v>
      </c>
      <c r="U67" s="39"/>
      <c r="V67" s="154"/>
      <c r="W67" s="59">
        <f t="shared" si="17"/>
        <v>0</v>
      </c>
      <c r="X67" s="47" t="str">
        <f t="shared" si="18"/>
        <v>kg/-</v>
      </c>
      <c r="Y67" s="12"/>
      <c r="Z67" s="24">
        <f t="shared" si="19"/>
        <v>0</v>
      </c>
      <c r="AA67" s="47" t="s">
        <v>468</v>
      </c>
      <c r="AB67" s="67"/>
      <c r="AC67" s="995"/>
      <c r="AD67" s="1405"/>
      <c r="AE67" s="1405"/>
      <c r="AF67" s="1405"/>
      <c r="AG67" s="1405"/>
      <c r="AH67" s="1405"/>
      <c r="AI67" s="1405"/>
      <c r="AJ67" s="1405"/>
      <c r="AK67" s="1405"/>
      <c r="AL67" s="1405"/>
      <c r="AM67" s="1405"/>
      <c r="AN67" s="1405"/>
      <c r="AO67" s="1405"/>
      <c r="AP67" s="1405"/>
      <c r="AQ67" s="1405"/>
      <c r="AR67" s="1405"/>
      <c r="AS67" s="67"/>
      <c r="AT67" s="995"/>
      <c r="AU67" s="12"/>
      <c r="AV67" s="22" t="str">
        <f t="shared" si="10"/>
        <v>tapwater</v>
      </c>
      <c r="AW67" s="46">
        <f t="shared" si="12"/>
        <v>0</v>
      </c>
      <c r="AX67" s="24"/>
      <c r="AY67" s="12"/>
      <c r="AZ67" s="115">
        <v>1</v>
      </c>
      <c r="BA67" s="24">
        <f>IFERROR(INDEX(tabellen_EMD!$C$185:$N$193,MATCH($J67,tabellen_EMD!$C$185:$C$193,0),MATCH(BA$63,tabellen_EMD!$C$185:$N$185,0)),0)</f>
        <v>0</v>
      </c>
      <c r="BB67" s="115" t="e">
        <f t="shared" si="20"/>
        <v>#N/A</v>
      </c>
      <c r="BC67" s="15"/>
      <c r="BD67" s="115">
        <f t="shared" si="21"/>
        <v>1</v>
      </c>
      <c r="BE67" s="47" t="str">
        <f t="shared" si="22"/>
        <v>MJ/-</v>
      </c>
      <c r="BF67" s="15"/>
      <c r="BG67" s="218">
        <f>IFERROR(INDEX(tabellen_EMD!$C$240:$Z$248,MATCH($J67,tabellen_EMD!$C$240:$C$248,0),MATCH($B67,tabellen_EMD!$C$240:$Z$240,0))*(F67&lt;&gt;"zomercomfort"),0)</f>
        <v>0</v>
      </c>
      <c r="BH67" s="47" t="str">
        <f t="shared" si="23"/>
        <v>kg/-</v>
      </c>
      <c r="BI67" s="15"/>
    </row>
    <row r="68" spans="1:61">
      <c r="A68" s="86"/>
      <c r="B68" s="47" t="str">
        <f t="shared" si="13"/>
        <v>VABI EPA-U</v>
      </c>
      <c r="C68" s="47" t="str">
        <f t="shared" si="11"/>
        <v>ISSO 75.3</v>
      </c>
      <c r="D68" s="943"/>
      <c r="E68" s="14"/>
      <c r="F68" s="22" t="s">
        <v>505</v>
      </c>
      <c r="G68" s="22"/>
      <c r="H68" s="22"/>
      <c r="I68" s="905"/>
      <c r="J68" s="1691" t="s">
        <v>465</v>
      </c>
      <c r="K68" s="1698"/>
      <c r="L68" s="16"/>
      <c r="M68" s="25"/>
      <c r="N68" s="22" t="str">
        <f t="shared" si="14"/>
        <v>MJ</v>
      </c>
      <c r="O68" s="15"/>
      <c r="P68" s="39"/>
      <c r="Q68" s="59">
        <f t="shared" si="15"/>
        <v>2.5641025641025639</v>
      </c>
      <c r="R68" s="15"/>
      <c r="S68" s="24">
        <f t="shared" si="16"/>
        <v>0</v>
      </c>
      <c r="T68" s="47" t="str">
        <f>IFERROR(INDEX(energiedragers_EP_eenheden,MATCH($J68,tabellen_EMD!$C$196:$C$204,0),MATCH($B68,energiedragers_EP_eenheden_titel,0)),"-")</f>
        <v>kWh</v>
      </c>
      <c r="U68" s="39"/>
      <c r="V68" s="15"/>
      <c r="W68" s="59">
        <f t="shared" si="17"/>
        <v>0.56599999999999995</v>
      </c>
      <c r="X68" s="47" t="str">
        <f t="shared" si="18"/>
        <v>kg/kWh</v>
      </c>
      <c r="Y68" s="12"/>
      <c r="Z68" s="24">
        <f t="shared" si="19"/>
        <v>0</v>
      </c>
      <c r="AA68" s="47" t="s">
        <v>468</v>
      </c>
      <c r="AB68" s="67"/>
      <c r="AC68" s="995"/>
      <c r="AD68" s="1405"/>
      <c r="AE68" s="1405"/>
      <c r="AF68" s="1405"/>
      <c r="AG68" s="1405"/>
      <c r="AH68" s="1405"/>
      <c r="AI68" s="1405"/>
      <c r="AJ68" s="1405"/>
      <c r="AK68" s="1405"/>
      <c r="AL68" s="1405"/>
      <c r="AM68" s="1405"/>
      <c r="AN68" s="1405"/>
      <c r="AO68" s="1405"/>
      <c r="AP68" s="1405"/>
      <c r="AQ68" s="1405"/>
      <c r="AR68" s="1405"/>
      <c r="AS68" s="67"/>
      <c r="AT68" s="995"/>
      <c r="AU68" s="12"/>
      <c r="AV68" s="22" t="str">
        <f t="shared" si="10"/>
        <v>bevochtiging</v>
      </c>
      <c r="AW68" s="46" t="str">
        <f t="shared" si="12"/>
        <v>elektriciteit</v>
      </c>
      <c r="AX68" s="24"/>
      <c r="AY68" s="12"/>
      <c r="AZ68" s="115">
        <v>1</v>
      </c>
      <c r="BA68" s="24">
        <f>IFERROR(INDEX(tabellen_EMD!$C$185:$N$193,MATCH($J68,tabellen_EMD!$C$185:$C$193,0),MATCH(BA$63,tabellen_EMD!$C$185:$N$185,0)),0)</f>
        <v>0</v>
      </c>
      <c r="BB68" s="115">
        <f t="shared" si="20"/>
        <v>2.5641025641025639</v>
      </c>
      <c r="BC68" s="15"/>
      <c r="BD68" s="115">
        <f t="shared" si="21"/>
        <v>3.6</v>
      </c>
      <c r="BE68" s="47" t="str">
        <f t="shared" si="22"/>
        <v>MJ/kWh</v>
      </c>
      <c r="BF68" s="15"/>
      <c r="BG68" s="218">
        <f>IFERROR(INDEX(tabellen_EMD!$C$240:$Z$248,MATCH($J68,tabellen_EMD!$C$240:$C$248,0),MATCH($B68,tabellen_EMD!$C$240:$Z$240,0))*(F68&lt;&gt;"zomercomfort"),0)</f>
        <v>0.56599999999999995</v>
      </c>
      <c r="BH68" s="47" t="str">
        <f t="shared" si="23"/>
        <v>kg/kWh</v>
      </c>
      <c r="BI68" s="15"/>
    </row>
    <row r="69" spans="1:61">
      <c r="A69" s="86"/>
      <c r="B69" s="47" t="str">
        <f t="shared" si="13"/>
        <v>VABI EPA-U</v>
      </c>
      <c r="C69" s="47" t="str">
        <f t="shared" si="11"/>
        <v>ISSO 75.3</v>
      </c>
      <c r="D69" s="943"/>
      <c r="E69" s="14"/>
      <c r="F69" s="22" t="s">
        <v>507</v>
      </c>
      <c r="G69" s="22"/>
      <c r="H69" s="22"/>
      <c r="I69" s="905"/>
      <c r="J69" s="1691" t="s">
        <v>465</v>
      </c>
      <c r="K69" s="1698"/>
      <c r="L69" s="16"/>
      <c r="M69" s="25"/>
      <c r="N69" s="22" t="str">
        <f t="shared" si="14"/>
        <v>MJ</v>
      </c>
      <c r="O69" s="15"/>
      <c r="P69" s="39"/>
      <c r="Q69" s="59">
        <f t="shared" si="15"/>
        <v>2.5641025641025639</v>
      </c>
      <c r="R69" s="15"/>
      <c r="S69" s="24">
        <f t="shared" si="16"/>
        <v>0</v>
      </c>
      <c r="T69" s="47" t="str">
        <f>IFERROR(INDEX(energiedragers_EP_eenheden,MATCH($J69,tabellen_EMD!$C$196:$C$204,0),MATCH($B69,energiedragers_EP_eenheden_titel,0)),"-")</f>
        <v>kWh</v>
      </c>
      <c r="U69" s="39"/>
      <c r="V69" s="15"/>
      <c r="W69" s="59">
        <f t="shared" si="17"/>
        <v>0.56599999999999995</v>
      </c>
      <c r="X69" s="47" t="str">
        <f t="shared" si="18"/>
        <v>kg/kWh</v>
      </c>
      <c r="Y69" s="12"/>
      <c r="Z69" s="24">
        <f t="shared" si="19"/>
        <v>0</v>
      </c>
      <c r="AA69" s="47" t="s">
        <v>468</v>
      </c>
      <c r="AB69" s="67"/>
      <c r="AC69" s="995"/>
      <c r="AD69" s="1405"/>
      <c r="AE69" s="1405"/>
      <c r="AF69" s="1405"/>
      <c r="AG69" s="1405"/>
      <c r="AH69" s="1405"/>
      <c r="AI69" s="1405"/>
      <c r="AJ69" s="1405"/>
      <c r="AK69" s="1405"/>
      <c r="AL69" s="1405"/>
      <c r="AM69" s="1405"/>
      <c r="AN69" s="1405"/>
      <c r="AO69" s="1405"/>
      <c r="AP69" s="1405"/>
      <c r="AQ69" s="1405"/>
      <c r="AR69" s="1405"/>
      <c r="AS69" s="67"/>
      <c r="AT69" s="995"/>
      <c r="AU69" s="12"/>
      <c r="AV69" s="22" t="str">
        <f t="shared" si="10"/>
        <v>verlichting</v>
      </c>
      <c r="AW69" s="46" t="str">
        <f t="shared" si="12"/>
        <v>elektriciteit</v>
      </c>
      <c r="AX69" s="24"/>
      <c r="AY69" s="12"/>
      <c r="AZ69" s="115">
        <v>1</v>
      </c>
      <c r="BA69" s="24">
        <f>IFERROR(INDEX(tabellen_EMD!$C$185:$N$193,MATCH($J69,tabellen_EMD!$C$185:$C$193,0),MATCH(BA$63,tabellen_EMD!$C$185:$N$185,0)),0)</f>
        <v>0</v>
      </c>
      <c r="BB69" s="115">
        <f t="shared" si="20"/>
        <v>2.5641025641025639</v>
      </c>
      <c r="BC69" s="15"/>
      <c r="BD69" s="115">
        <f t="shared" si="21"/>
        <v>3.6</v>
      </c>
      <c r="BE69" s="47" t="str">
        <f t="shared" si="22"/>
        <v>MJ/kWh</v>
      </c>
      <c r="BF69" s="15"/>
      <c r="BG69" s="218">
        <f>IFERROR(INDEX(tabellen_EMD!$C$240:$Z$248,MATCH($J69,tabellen_EMD!$C$240:$C$248,0),MATCH($B69,tabellen_EMD!$C$240:$Z$240,0))*(F69&lt;&gt;"zomercomfort"),0)</f>
        <v>0.56599999999999995</v>
      </c>
      <c r="BH69" s="47" t="str">
        <f t="shared" si="23"/>
        <v>kg/kWh</v>
      </c>
      <c r="BI69" s="15"/>
    </row>
    <row r="70" spans="1:61" s="952" customFormat="1">
      <c r="B70" s="47" t="str">
        <f t="shared" si="13"/>
        <v>VABI EPA-U</v>
      </c>
      <c r="C70" s="47" t="str">
        <f t="shared" si="11"/>
        <v>ISSO 75.3</v>
      </c>
      <c r="D70" s="943"/>
      <c r="E70" s="953"/>
      <c r="F70" s="954" t="s">
        <v>1374</v>
      </c>
      <c r="G70" s="954"/>
      <c r="H70" s="954"/>
      <c r="I70" s="955"/>
      <c r="J70" s="1691" t="s">
        <v>465</v>
      </c>
      <c r="K70" s="1698"/>
      <c r="L70" s="140"/>
      <c r="M70" s="1325"/>
      <c r="N70" s="954" t="str">
        <f t="shared" si="14"/>
        <v>MJ</v>
      </c>
      <c r="O70" s="956"/>
      <c r="P70" s="39"/>
      <c r="Q70" s="59">
        <f t="shared" si="15"/>
        <v>2.5641025641025639</v>
      </c>
      <c r="R70" s="15"/>
      <c r="S70" s="24">
        <f t="shared" si="16"/>
        <v>0</v>
      </c>
      <c r="T70" s="47" t="str">
        <f>IFERROR(INDEX(energiedragers_EP_eenheden,MATCH($J70,tabellen_EMD!$C$196:$C$204,0),MATCH($B70,energiedragers_EP_eenheden_titel,0)),"-")</f>
        <v>kWh</v>
      </c>
      <c r="U70" s="39"/>
      <c r="V70" s="15"/>
      <c r="W70" s="59">
        <f t="shared" si="17"/>
        <v>0.56599999999999995</v>
      </c>
      <c r="X70" s="47" t="str">
        <f t="shared" si="18"/>
        <v>kg/kWh</v>
      </c>
      <c r="Y70" s="12"/>
      <c r="Z70" s="24">
        <f t="shared" si="19"/>
        <v>0</v>
      </c>
      <c r="AA70" s="47" t="s">
        <v>468</v>
      </c>
      <c r="AB70" s="1392"/>
      <c r="AC70" s="1000"/>
      <c r="AD70" s="1405"/>
      <c r="AE70" s="1405"/>
      <c r="AF70" s="1405"/>
      <c r="AG70" s="1405"/>
      <c r="AH70" s="1405"/>
      <c r="AI70" s="1405"/>
      <c r="AJ70" s="1405"/>
      <c r="AK70" s="1405"/>
      <c r="AL70" s="1405"/>
      <c r="AM70" s="1405"/>
      <c r="AN70" s="1405"/>
      <c r="AO70" s="1405"/>
      <c r="AP70" s="1405"/>
      <c r="AQ70" s="1405"/>
      <c r="AR70" s="1405"/>
      <c r="AS70" s="1392"/>
      <c r="AT70" s="1000"/>
      <c r="AU70" s="957"/>
      <c r="AV70" s="958" t="str">
        <f t="shared" si="10"/>
        <v>apparatuur</v>
      </c>
      <c r="AW70" s="959" t="str">
        <f t="shared" si="12"/>
        <v>elektriciteit</v>
      </c>
      <c r="AX70" s="960"/>
      <c r="AY70" s="957"/>
      <c r="AZ70" s="115">
        <v>0</v>
      </c>
      <c r="BA70" s="24">
        <f>IFERROR(INDEX(tabellen_EMD!$C$185:$N$193,MATCH($J70,tabellen_EMD!$C$185:$C$193,0),MATCH(BA$63,tabellen_EMD!$C$185:$N$185,0)),0)</f>
        <v>0</v>
      </c>
      <c r="BB70" s="962">
        <f t="shared" si="20"/>
        <v>2.5641025641025639</v>
      </c>
      <c r="BC70" s="963"/>
      <c r="BD70" s="962">
        <f t="shared" si="21"/>
        <v>3.6</v>
      </c>
      <c r="BE70" s="961" t="str">
        <f t="shared" si="22"/>
        <v>MJ/kWh</v>
      </c>
      <c r="BF70" s="963"/>
      <c r="BG70" s="964">
        <f>IFERROR(INDEX(tabellen_EMD!$C$240:$Z$248,MATCH($J70,tabellen_EMD!$C$240:$C$248,0),MATCH($B70,tabellen_EMD!$C$240:$Z$240,0))*(F70&lt;&gt;"zomercomfort"),0)</f>
        <v>0.56599999999999995</v>
      </c>
      <c r="BH70" s="961" t="str">
        <f t="shared" si="23"/>
        <v>kg/kWh</v>
      </c>
      <c r="BI70" s="963"/>
    </row>
    <row r="71" spans="1:61">
      <c r="A71" s="18"/>
      <c r="B71" s="47" t="str">
        <f t="shared" si="13"/>
        <v>VABI EPA-U</v>
      </c>
      <c r="C71" s="47" t="str">
        <f t="shared" si="11"/>
        <v>ISSO 75.3</v>
      </c>
      <c r="D71" s="943"/>
      <c r="E71" s="14"/>
      <c r="F71" s="22" t="s">
        <v>1375</v>
      </c>
      <c r="G71" s="22"/>
      <c r="H71" s="22"/>
      <c r="I71" s="905"/>
      <c r="J71" s="1691" t="s">
        <v>465</v>
      </c>
      <c r="K71" s="1698"/>
      <c r="L71" s="16"/>
      <c r="M71" s="25"/>
      <c r="N71" s="22" t="str">
        <f t="shared" si="14"/>
        <v>MJ</v>
      </c>
      <c r="O71" s="15"/>
      <c r="P71" s="39"/>
      <c r="Q71" s="59">
        <f t="shared" si="15"/>
        <v>2.5641025641025639</v>
      </c>
      <c r="R71" s="15"/>
      <c r="S71" s="24">
        <f t="shared" si="16"/>
        <v>0</v>
      </c>
      <c r="T71" s="47" t="str">
        <f>IFERROR(INDEX(energiedragers_EP_eenheden,MATCH($J71,tabellen_EMD!$C$196:$C$204,0),MATCH($B71,energiedragers_EP_eenheden_titel,0)),"-")</f>
        <v>kWh</v>
      </c>
      <c r="U71" s="39"/>
      <c r="V71" s="15"/>
      <c r="W71" s="59">
        <f t="shared" si="17"/>
        <v>0.56599999999999995</v>
      </c>
      <c r="X71" s="47" t="str">
        <f t="shared" si="18"/>
        <v>kg/kWh</v>
      </c>
      <c r="Y71" s="12"/>
      <c r="Z71" s="24">
        <f t="shared" si="19"/>
        <v>0</v>
      </c>
      <c r="AA71" s="47" t="s">
        <v>468</v>
      </c>
      <c r="AB71" s="67"/>
      <c r="AC71" s="995"/>
      <c r="AD71" s="1405"/>
      <c r="AE71" s="1405"/>
      <c r="AF71" s="1405"/>
      <c r="AG71" s="1405"/>
      <c r="AH71" s="1405"/>
      <c r="AI71" s="1405"/>
      <c r="AJ71" s="1405"/>
      <c r="AK71" s="1405"/>
      <c r="AL71" s="1405"/>
      <c r="AM71" s="1405"/>
      <c r="AN71" s="1405"/>
      <c r="AO71" s="1405"/>
      <c r="AP71" s="1405"/>
      <c r="AQ71" s="1405"/>
      <c r="AR71" s="1405"/>
      <c r="AS71" s="67"/>
      <c r="AT71" s="995"/>
      <c r="AU71" s="12"/>
      <c r="AV71" s="22" t="str">
        <f t="shared" si="10"/>
        <v>ventilatoren</v>
      </c>
      <c r="AW71" s="46" t="str">
        <f t="shared" si="12"/>
        <v>elektriciteit</v>
      </c>
      <c r="AX71" s="24"/>
      <c r="AY71" s="12"/>
      <c r="AZ71" s="115">
        <v>1</v>
      </c>
      <c r="BA71" s="24">
        <f>IFERROR(INDEX(tabellen_EMD!$C$185:$N$193,MATCH($J71,tabellen_EMD!$C$185:$C$193,0),MATCH(BA$63,tabellen_EMD!$C$185:$N$185,0)),0)</f>
        <v>0</v>
      </c>
      <c r="BB71" s="115">
        <f t="shared" si="20"/>
        <v>2.5641025641025639</v>
      </c>
      <c r="BC71" s="15"/>
      <c r="BD71" s="115">
        <f t="shared" si="21"/>
        <v>3.6</v>
      </c>
      <c r="BE71" s="47" t="str">
        <f t="shared" si="22"/>
        <v>MJ/kWh</v>
      </c>
      <c r="BF71" s="15"/>
      <c r="BG71" s="218">
        <f>IFERROR(INDEX(tabellen_EMD!$C$240:$Z$248,MATCH($J71,tabellen_EMD!$C$240:$C$248,0),MATCH($B71,tabellen_EMD!$C$240:$Z$240,0))*(F71&lt;&gt;"zomercomfort"),0)</f>
        <v>0.56599999999999995</v>
      </c>
      <c r="BH71" s="47" t="str">
        <f t="shared" si="23"/>
        <v>kg/kWh</v>
      </c>
      <c r="BI71" s="15"/>
    </row>
    <row r="72" spans="1:61">
      <c r="A72" s="18"/>
      <c r="B72" s="47" t="str">
        <f t="shared" si="13"/>
        <v>VABI EPA-U</v>
      </c>
      <c r="C72" s="47" t="str">
        <f t="shared" si="11"/>
        <v>ISSO 75.3</v>
      </c>
      <c r="D72" s="943"/>
      <c r="E72" s="14"/>
      <c r="F72" s="22" t="s">
        <v>1376</v>
      </c>
      <c r="G72" s="22"/>
      <c r="H72" s="22"/>
      <c r="I72" s="905"/>
      <c r="J72" s="1691" t="s">
        <v>465</v>
      </c>
      <c r="K72" s="1698"/>
      <c r="L72" s="16"/>
      <c r="M72" s="25"/>
      <c r="N72" s="22" t="str">
        <f t="shared" si="14"/>
        <v>MJ</v>
      </c>
      <c r="O72" s="15"/>
      <c r="P72" s="39"/>
      <c r="Q72" s="59">
        <f t="shared" si="15"/>
        <v>2.5641025641025639</v>
      </c>
      <c r="R72" s="15"/>
      <c r="S72" s="24">
        <f t="shared" si="16"/>
        <v>0</v>
      </c>
      <c r="T72" s="47" t="str">
        <f>IFERROR(INDEX(energiedragers_EP_eenheden,MATCH($J72,tabellen_EMD!$C$196:$C$204,0),MATCH($B72,energiedragers_EP_eenheden_titel,0)),"-")</f>
        <v>kWh</v>
      </c>
      <c r="U72" s="39"/>
      <c r="V72" s="15"/>
      <c r="W72" s="59">
        <f t="shared" si="17"/>
        <v>0.56599999999999995</v>
      </c>
      <c r="X72" s="47" t="str">
        <f t="shared" si="18"/>
        <v>kg/kWh</v>
      </c>
      <c r="Y72" s="12"/>
      <c r="Z72" s="24">
        <f t="shared" si="19"/>
        <v>0</v>
      </c>
      <c r="AA72" s="47" t="s">
        <v>468</v>
      </c>
      <c r="AB72" s="67"/>
      <c r="AC72" s="995"/>
      <c r="AD72" s="1405"/>
      <c r="AE72" s="1405"/>
      <c r="AF72" s="1405"/>
      <c r="AG72" s="1405"/>
      <c r="AH72" s="1405"/>
      <c r="AI72" s="1405"/>
      <c r="AJ72" s="1405"/>
      <c r="AK72" s="1405"/>
      <c r="AL72" s="1405"/>
      <c r="AM72" s="1405"/>
      <c r="AN72" s="1405"/>
      <c r="AO72" s="1405"/>
      <c r="AP72" s="1405"/>
      <c r="AQ72" s="1405"/>
      <c r="AR72" s="1405"/>
      <c r="AS72" s="67"/>
      <c r="AT72" s="995"/>
      <c r="AU72" s="12"/>
      <c r="AV72" s="22" t="str">
        <f t="shared" si="10"/>
        <v>pompen</v>
      </c>
      <c r="AW72" s="46" t="str">
        <f t="shared" si="12"/>
        <v>elektriciteit</v>
      </c>
      <c r="AX72" s="24"/>
      <c r="AY72" s="12"/>
      <c r="AZ72" s="115">
        <v>1</v>
      </c>
      <c r="BA72" s="24">
        <f>IFERROR(INDEX(tabellen_EMD!$C$185:$N$193,MATCH($J72,tabellen_EMD!$C$185:$C$193,0),MATCH(BA$63,tabellen_EMD!$C$185:$N$185,0)),0)</f>
        <v>0</v>
      </c>
      <c r="BB72" s="115">
        <f t="shared" si="20"/>
        <v>2.5641025641025639</v>
      </c>
      <c r="BC72" s="899"/>
      <c r="BD72" s="115">
        <f t="shared" si="21"/>
        <v>3.6</v>
      </c>
      <c r="BE72" s="47" t="str">
        <f t="shared" si="22"/>
        <v>MJ/kWh</v>
      </c>
      <c r="BF72" s="899"/>
      <c r="BG72" s="218">
        <f>IFERROR(INDEX(tabellen_EMD!$C$240:$Z$248,MATCH($J72,tabellen_EMD!$C$240:$C$248,0),MATCH($B72,tabellen_EMD!$C$240:$Z$240,0))*(F72&lt;&gt;"zomercomfort"),0)</f>
        <v>0.56599999999999995</v>
      </c>
      <c r="BH72" s="47" t="str">
        <f t="shared" si="23"/>
        <v>kg/kWh</v>
      </c>
      <c r="BI72" s="899"/>
    </row>
    <row r="73" spans="1:61" s="18" customFormat="1">
      <c r="A73" s="139" t="s">
        <v>396</v>
      </c>
      <c r="B73" s="47" t="str">
        <f t="shared" si="13"/>
        <v>VABI EPA-U</v>
      </c>
      <c r="C73" s="47" t="str">
        <f t="shared" si="11"/>
        <v>ISSO 75.3</v>
      </c>
      <c r="D73" s="943"/>
      <c r="E73" s="14"/>
      <c r="F73" s="22" t="s">
        <v>1467</v>
      </c>
      <c r="G73" s="22"/>
      <c r="H73" s="22"/>
      <c r="I73" s="905"/>
      <c r="J73" s="1691" t="s">
        <v>465</v>
      </c>
      <c r="K73" s="1698"/>
      <c r="L73" s="16"/>
      <c r="M73" s="25"/>
      <c r="N73" s="22" t="str">
        <f t="shared" si="14"/>
        <v>MJ</v>
      </c>
      <c r="O73" s="15"/>
      <c r="P73" s="39"/>
      <c r="Q73" s="59">
        <f t="shared" si="15"/>
        <v>2.5641025641025639</v>
      </c>
      <c r="R73" s="15"/>
      <c r="S73" s="24">
        <f t="shared" si="16"/>
        <v>0</v>
      </c>
      <c r="T73" s="47" t="str">
        <f>IFERROR(INDEX(energiedragers_EP_eenheden,MATCH($J73,tabellen_EMD!$C$196:$C$204,0),MATCH($B73,energiedragers_EP_eenheden_titel,0)),"-")</f>
        <v>kWh</v>
      </c>
      <c r="U73" s="39"/>
      <c r="V73" s="15"/>
      <c r="W73" s="59">
        <f t="shared" si="17"/>
        <v>0.56599999999999995</v>
      </c>
      <c r="X73" s="47" t="str">
        <f t="shared" si="18"/>
        <v>kg/kWh</v>
      </c>
      <c r="Y73" s="12"/>
      <c r="Z73" s="24">
        <f t="shared" si="19"/>
        <v>0</v>
      </c>
      <c r="AA73" s="47" t="s">
        <v>468</v>
      </c>
      <c r="AB73" s="67"/>
      <c r="AC73" s="995"/>
      <c r="AD73" s="1405"/>
      <c r="AE73" s="1405"/>
      <c r="AF73" s="1405"/>
      <c r="AG73" s="1405"/>
      <c r="AH73" s="1405"/>
      <c r="AI73" s="1405"/>
      <c r="AJ73" s="1405"/>
      <c r="AK73" s="1405"/>
      <c r="AL73" s="1405"/>
      <c r="AM73" s="1405"/>
      <c r="AN73" s="1405"/>
      <c r="AO73" s="1405"/>
      <c r="AP73" s="1405"/>
      <c r="AQ73" s="1405"/>
      <c r="AR73" s="1405"/>
      <c r="AS73" s="67"/>
      <c r="AT73" s="995"/>
      <c r="AU73" s="12"/>
      <c r="AV73" s="22" t="str">
        <f t="shared" si="10"/>
        <v>pv-cellen</v>
      </c>
      <c r="AW73" s="46" t="str">
        <f t="shared" si="12"/>
        <v>elektriciteit</v>
      </c>
      <c r="AX73" s="24"/>
      <c r="AY73" s="12"/>
      <c r="AZ73" s="115">
        <v>1</v>
      </c>
      <c r="BA73" s="24">
        <f>IFERROR(INDEX(tabellen_EMD!$C$185:$N$193,MATCH($J73,tabellen_EMD!$C$185:$C$193,0),MATCH(BA$63,tabellen_EMD!$C$185:$N$185,0)),0)</f>
        <v>0</v>
      </c>
      <c r="BB73" s="115">
        <f t="shared" si="20"/>
        <v>2.5641025641025639</v>
      </c>
      <c r="BC73" s="899"/>
      <c r="BD73" s="115">
        <f t="shared" si="21"/>
        <v>3.6</v>
      </c>
      <c r="BE73" s="47" t="str">
        <f t="shared" si="22"/>
        <v>MJ/kWh</v>
      </c>
      <c r="BF73" s="899"/>
      <c r="BG73" s="218">
        <f>IFERROR(INDEX(tabellen_EMD!$C$240:$Z$248,MATCH($J73,tabellen_EMD!$C$240:$C$248,0),MATCH($B73,tabellen_EMD!$C$240:$Z$240,0))*(F73&lt;&gt;"zomercomfort"),0)</f>
        <v>0.56599999999999995</v>
      </c>
      <c r="BH73" s="47" t="str">
        <f t="shared" si="23"/>
        <v>kg/kWh</v>
      </c>
      <c r="BI73" s="899"/>
    </row>
    <row r="74" spans="1:61">
      <c r="A74" s="18"/>
      <c r="B74" s="47" t="str">
        <f t="shared" si="13"/>
        <v>VABI EPA-U</v>
      </c>
      <c r="C74" s="47" t="str">
        <f t="shared" si="11"/>
        <v>ISSO 75.3</v>
      </c>
      <c r="D74" s="943"/>
      <c r="E74" s="14"/>
      <c r="F74" s="22" t="s">
        <v>1468</v>
      </c>
      <c r="G74" s="22"/>
      <c r="H74" s="22"/>
      <c r="I74" s="905"/>
      <c r="J74" s="1691" t="s">
        <v>463</v>
      </c>
      <c r="K74" s="1698"/>
      <c r="L74" s="16"/>
      <c r="M74" s="25"/>
      <c r="N74" s="22" t="str">
        <f t="shared" si="14"/>
        <v>MJ</v>
      </c>
      <c r="O74" s="15"/>
      <c r="P74" s="39"/>
      <c r="Q74" s="59">
        <f t="shared" si="15"/>
        <v>1</v>
      </c>
      <c r="R74" s="15"/>
      <c r="S74" s="24">
        <f t="shared" si="16"/>
        <v>0</v>
      </c>
      <c r="T74" s="47" t="str">
        <f>IFERROR(INDEX(energiedragers_EP_eenheden,MATCH($J74,tabellen_EMD!$C$196:$C$204,0),MATCH($B74,energiedragers_EP_eenheden_titel,0)),"-")</f>
        <v>m3</v>
      </c>
      <c r="U74" s="39"/>
      <c r="V74" s="15"/>
      <c r="W74" s="59">
        <f t="shared" si="17"/>
        <v>1.78</v>
      </c>
      <c r="X74" s="47" t="str">
        <f t="shared" si="18"/>
        <v>kg/m3</v>
      </c>
      <c r="Y74" s="12"/>
      <c r="Z74" s="24">
        <f t="shared" si="19"/>
        <v>0</v>
      </c>
      <c r="AA74" s="47" t="s">
        <v>468</v>
      </c>
      <c r="AB74" s="67"/>
      <c r="AC74" s="995"/>
      <c r="AD74" s="1405"/>
      <c r="AE74" s="1405"/>
      <c r="AF74" s="1405"/>
      <c r="AG74" s="1405"/>
      <c r="AH74" s="1405"/>
      <c r="AI74" s="1405"/>
      <c r="AJ74" s="1405"/>
      <c r="AK74" s="1405"/>
      <c r="AL74" s="1405"/>
      <c r="AM74" s="1405"/>
      <c r="AN74" s="1405"/>
      <c r="AO74" s="1405"/>
      <c r="AP74" s="1405"/>
      <c r="AQ74" s="1405"/>
      <c r="AR74" s="1405"/>
      <c r="AS74" s="67"/>
      <c r="AT74" s="995"/>
      <c r="AU74" s="12"/>
      <c r="AV74" s="22" t="str">
        <f t="shared" si="10"/>
        <v>warmtekracht</v>
      </c>
      <c r="AW74" s="46" t="str">
        <f t="shared" si="12"/>
        <v>aardgas</v>
      </c>
      <c r="AX74" s="24"/>
      <c r="AY74" s="12"/>
      <c r="AZ74" s="115">
        <v>1</v>
      </c>
      <c r="BA74" s="24">
        <f>IFERROR(INDEX(tabellen_EMD!$C$185:$N$193,MATCH($J74,tabellen_EMD!$C$185:$C$193,0),MATCH(BA$63,tabellen_EMD!$C$185:$N$185,0)),0)</f>
        <v>0</v>
      </c>
      <c r="BB74" s="115">
        <f t="shared" si="20"/>
        <v>1</v>
      </c>
      <c r="BC74" s="899"/>
      <c r="BD74" s="115">
        <f t="shared" si="21"/>
        <v>35.17</v>
      </c>
      <c r="BE74" s="47" t="str">
        <f t="shared" si="22"/>
        <v>MJ/m3</v>
      </c>
      <c r="BF74" s="899"/>
      <c r="BG74" s="218">
        <f>IFERROR(INDEX(tabellen_EMD!$C$240:$Z$248,MATCH($J74,tabellen_EMD!$C$240:$C$248,0),MATCH($B74,tabellen_EMD!$C$240:$Z$240,0))*(F74&lt;&gt;"zomercomfort"),0)</f>
        <v>1.78</v>
      </c>
      <c r="BH74" s="47" t="str">
        <f t="shared" si="23"/>
        <v>kg/m3</v>
      </c>
      <c r="BI74" s="899"/>
    </row>
    <row r="75" spans="1:61" s="940" customFormat="1">
      <c r="A75" s="18"/>
      <c r="B75" s="47" t="str">
        <f t="shared" si="13"/>
        <v>VABI EPA-U</v>
      </c>
      <c r="C75" s="47" t="str">
        <f t="shared" si="11"/>
        <v>ISSO 75.3</v>
      </c>
      <c r="D75" s="945"/>
      <c r="E75" s="14"/>
      <c r="F75" s="15" t="s">
        <v>1391</v>
      </c>
      <c r="G75" s="15"/>
      <c r="H75" s="15"/>
      <c r="I75" s="905"/>
      <c r="J75" s="43" t="s">
        <v>1391</v>
      </c>
      <c r="K75" s="43"/>
      <c r="L75" s="16"/>
      <c r="M75" s="950">
        <f>SUM(M65:M69,M71:M72,M74)-M73</f>
        <v>0</v>
      </c>
      <c r="N75" s="15" t="str">
        <f t="shared" si="14"/>
        <v>MJ</v>
      </c>
      <c r="O75" s="15"/>
      <c r="P75" s="39"/>
      <c r="Q75" s="39"/>
      <c r="R75" s="15"/>
      <c r="S75" s="899"/>
      <c r="T75" s="899"/>
      <c r="U75" s="39"/>
      <c r="V75" s="39"/>
      <c r="W75" s="39"/>
      <c r="X75" s="39"/>
      <c r="Y75" s="12"/>
      <c r="Z75" s="922">
        <f>SUM(Z65:Z74)</f>
        <v>0</v>
      </c>
      <c r="AA75" s="939" t="s">
        <v>468</v>
      </c>
      <c r="AB75" s="67"/>
      <c r="AC75" s="995"/>
      <c r="AD75" s="1405"/>
      <c r="AE75" s="1405"/>
      <c r="AF75" s="1405"/>
      <c r="AG75" s="1405"/>
      <c r="AH75" s="1405"/>
      <c r="AI75" s="1405"/>
      <c r="AJ75" s="1405"/>
      <c r="AK75" s="1405"/>
      <c r="AL75" s="1405"/>
      <c r="AM75" s="1405"/>
      <c r="AN75" s="1405"/>
      <c r="AO75" s="1405"/>
      <c r="AP75" s="1405"/>
      <c r="AQ75" s="1405"/>
      <c r="AR75" s="1405"/>
      <c r="AS75" s="67"/>
      <c r="AT75" s="995"/>
      <c r="AU75" s="12"/>
      <c r="AV75" s="15" t="str">
        <f t="shared" si="10"/>
        <v>totaal</v>
      </c>
      <c r="AW75" s="15" t="str">
        <f t="shared" si="12"/>
        <v>totaal</v>
      </c>
      <c r="AX75" s="16"/>
      <c r="AY75" s="12"/>
      <c r="AZ75" s="12"/>
      <c r="BA75" s="12"/>
      <c r="BB75" s="12"/>
      <c r="BC75" s="899"/>
      <c r="BD75" s="899"/>
      <c r="BE75" s="899"/>
      <c r="BF75" s="899"/>
      <c r="BG75" s="15"/>
      <c r="BH75" s="15"/>
      <c r="BI75" s="899"/>
    </row>
    <row r="76" spans="1:61" s="49" customFormat="1">
      <c r="A76" s="212"/>
      <c r="B76" s="47" t="str">
        <f t="shared" si="13"/>
        <v>VABI EPA-U</v>
      </c>
      <c r="C76" s="47" t="str">
        <f t="shared" si="11"/>
        <v>ISSO 75.3</v>
      </c>
      <c r="D76" s="943"/>
      <c r="E76" s="50"/>
      <c r="F76" s="452" t="str">
        <f>IFERROR(IF($P$23=$B76,_xlfn.CONCAT("Bij 1.1 ingevuld: ",FIXED($J$35,2,FALSE)," ",$K$35),""),"invoer niet correct")</f>
        <v/>
      </c>
      <c r="G76" s="452"/>
      <c r="H76" s="452"/>
      <c r="I76" s="905"/>
      <c r="J76" s="909" t="str">
        <f>IFERROR(IF($P$23=$B76,IF(ABS((M76-$J$35)/$J$35)&gt;1%,"Afwijking &gt;1% met subthema 1.1",""),""),"invoer niet correct")</f>
        <v/>
      </c>
      <c r="K76" s="909"/>
      <c r="L76" s="910"/>
      <c r="M76" s="1339" t="str">
        <f>IFERROR(IF($P$23=$B76,M75/$J$59,""),"")</f>
        <v/>
      </c>
      <c r="N76" s="452" t="str">
        <f>IF($P$23=$B76,_xlfn.CONCAT(N75,"/m2"),"")</f>
        <v/>
      </c>
      <c r="O76" s="452"/>
      <c r="P76" s="39"/>
      <c r="Q76" s="39"/>
      <c r="R76" s="899"/>
      <c r="S76" s="899"/>
      <c r="T76" s="899"/>
      <c r="U76" s="39"/>
      <c r="V76" s="39"/>
      <c r="W76" s="910" t="str">
        <f>IFERROR(IF($P$23=$B76,_xlfn.CONCAT("Bij 1.1 ingevuld: ",FIXED($AG$40,1,FALSE)," ",$AH$40),""),"invoer niet correct")</f>
        <v/>
      </c>
      <c r="X76" s="909" t="str">
        <f>IFERROR(IF($P$23=$B76,IF(ABS((Z76-$AG$40)/$AG$40)&gt;1%,"afwijking &gt;1% met subthema 1.1",""),""),"invoer niet correct")</f>
        <v/>
      </c>
      <c r="Y76" s="12"/>
      <c r="Z76" s="951" t="str">
        <f>IFERROR(IF($P$23=$B76,Z75/$J$58,""),"")</f>
        <v/>
      </c>
      <c r="AA76" s="452" t="str">
        <f>IF($P$23=$B76,_xlfn.CONCAT(AA75,"/m2"),"")</f>
        <v/>
      </c>
      <c r="AB76" s="1393"/>
      <c r="AC76" s="1001"/>
      <c r="AD76" s="1405"/>
      <c r="AE76" s="1405"/>
      <c r="AF76" s="1405"/>
      <c r="AG76" s="1405"/>
      <c r="AH76" s="1405"/>
      <c r="AI76" s="1405"/>
      <c r="AJ76" s="1405"/>
      <c r="AK76" s="1405"/>
      <c r="AL76" s="1405"/>
      <c r="AM76" s="1405"/>
      <c r="AN76" s="1405"/>
      <c r="AO76" s="1405"/>
      <c r="AP76" s="1405"/>
      <c r="AQ76" s="1405"/>
      <c r="AR76" s="1405"/>
      <c r="AS76" s="1393"/>
      <c r="AT76" s="1001"/>
      <c r="AU76" s="12"/>
      <c r="AV76" s="452"/>
      <c r="AW76" s="452"/>
      <c r="AX76" s="452"/>
      <c r="AY76" s="452"/>
      <c r="AZ76" s="452"/>
      <c r="BA76" s="452"/>
      <c r="BB76" s="452"/>
      <c r="BC76" s="452"/>
      <c r="BD76" s="452"/>
      <c r="BE76" s="452"/>
      <c r="BF76" s="452"/>
      <c r="BG76" s="452"/>
      <c r="BH76" s="452"/>
      <c r="BI76" s="899"/>
    </row>
    <row r="77" spans="1:61" s="49" customFormat="1">
      <c r="A77" s="18"/>
      <c r="B77" s="47" t="str">
        <f t="shared" si="13"/>
        <v>VABI EPA-U</v>
      </c>
      <c r="C77" s="47" t="str">
        <f t="shared" si="11"/>
        <v>ISSO 75.3</v>
      </c>
      <c r="D77" s="943"/>
      <c r="E77" s="50"/>
      <c r="F77" s="43"/>
      <c r="G77" s="43"/>
      <c r="H77" s="43"/>
      <c r="I77" s="905"/>
      <c r="J77" s="44"/>
      <c r="K77" s="44"/>
      <c r="L77" s="44"/>
      <c r="M77" s="44"/>
      <c r="N77" s="44"/>
      <c r="O77" s="44"/>
      <c r="P77" s="39"/>
      <c r="Q77" s="39"/>
      <c r="R77" s="899"/>
      <c r="S77" s="899"/>
      <c r="T77" s="899"/>
      <c r="U77" s="39"/>
      <c r="V77" s="39"/>
      <c r="W77" s="39"/>
      <c r="X77" s="39"/>
      <c r="Y77" s="12"/>
      <c r="Z77" s="899"/>
      <c r="AA77" s="899"/>
      <c r="AB77" s="1393"/>
      <c r="AC77" s="1001"/>
      <c r="AD77" s="1405"/>
      <c r="AE77" s="1405"/>
      <c r="AF77" s="1405"/>
      <c r="AG77" s="1405"/>
      <c r="AH77" s="1405"/>
      <c r="AI77" s="1405"/>
      <c r="AJ77" s="1405"/>
      <c r="AK77" s="1405"/>
      <c r="AL77" s="1405"/>
      <c r="AM77" s="1405"/>
      <c r="AN77" s="1405"/>
      <c r="AO77" s="1405"/>
      <c r="AP77" s="1405"/>
      <c r="AQ77" s="1405"/>
      <c r="AR77" s="1405"/>
      <c r="AS77" s="1393"/>
      <c r="AT77" s="1001"/>
      <c r="AU77" s="12"/>
      <c r="AV77" s="12"/>
      <c r="AW77" s="12"/>
      <c r="AX77" s="12"/>
      <c r="AY77" s="12"/>
      <c r="AZ77" s="44"/>
      <c r="BA77" s="12"/>
      <c r="BB77" s="44"/>
      <c r="BC77" s="899"/>
      <c r="BD77" s="899"/>
      <c r="BE77" s="899"/>
      <c r="BF77" s="899"/>
      <c r="BG77" s="899"/>
      <c r="BH77" s="899"/>
      <c r="BI77" s="899"/>
    </row>
    <row r="78" spans="1:61">
      <c r="A78" s="86"/>
      <c r="B78" s="939" t="str">
        <f>tabellen_EMD!$C$182</f>
        <v>Energielabel utiliteit</v>
      </c>
      <c r="C78" s="939" t="str">
        <f>VLOOKUP(B78,'ISSO75.3 naar GPR4'!$AV$40:$AY$48,COLUMNS($AV$40:$AX$40),FALSE)</f>
        <v>ISSO 75.3</v>
      </c>
      <c r="D78" s="943"/>
      <c r="E78" s="14"/>
      <c r="F78" s="15" t="str">
        <f>_xlfn.CONCAT("Overnemen uit '",B78,"': ",VLOOKUP(B78,$AV$41:$AZ$48,COLUMNS($AV$40:$AZ$40),FALSE))</f>
        <v>Overnemen uit 'Energielabel utiliteit': Standaard energiegebruik voor dit gebouw</v>
      </c>
      <c r="G78" s="15"/>
      <c r="H78" s="15"/>
      <c r="I78" s="905"/>
      <c r="J78" s="43"/>
      <c r="K78" s="43"/>
      <c r="L78" s="16"/>
      <c r="M78" s="909" t="s">
        <v>1485</v>
      </c>
      <c r="N78" s="41"/>
      <c r="O78" s="41"/>
      <c r="P78" s="453" t="s">
        <v>1487</v>
      </c>
      <c r="Q78" s="39"/>
      <c r="R78" s="39"/>
      <c r="S78" s="453" t="s">
        <v>1484</v>
      </c>
      <c r="T78" s="39"/>
      <c r="U78" s="39"/>
      <c r="V78" s="453" t="s">
        <v>1613</v>
      </c>
      <c r="W78" s="39"/>
      <c r="X78" s="39"/>
      <c r="Y78" s="12"/>
      <c r="Z78" s="453" t="s">
        <v>1536</v>
      </c>
      <c r="AA78" s="12"/>
      <c r="AB78" s="67"/>
      <c r="AC78" s="995"/>
      <c r="AD78" s="1405"/>
      <c r="AE78" s="1405"/>
      <c r="AF78" s="1405"/>
      <c r="AG78" s="1405"/>
      <c r="AH78" s="1405"/>
      <c r="AI78" s="1405"/>
      <c r="AJ78" s="1405"/>
      <c r="AK78" s="1405"/>
      <c r="AL78" s="1405"/>
      <c r="AM78" s="1405"/>
      <c r="AN78" s="1405"/>
      <c r="AO78" s="1405"/>
      <c r="AP78" s="1405"/>
      <c r="AQ78" s="1405"/>
      <c r="AR78" s="1405"/>
      <c r="AS78" s="67"/>
      <c r="AT78" s="995"/>
      <c r="AU78" s="12"/>
      <c r="AV78" s="12"/>
      <c r="AW78" s="12"/>
      <c r="AX78" s="12"/>
      <c r="AY78" s="12"/>
      <c r="AZ78" s="888" t="str">
        <f>AZ$63</f>
        <v>Eenheid energie</v>
      </c>
      <c r="BA78" s="888" t="s">
        <v>1628</v>
      </c>
      <c r="BB78" s="888" t="str">
        <f>BB$63</f>
        <v>PEF finaal → primair</v>
      </c>
      <c r="BC78" s="452"/>
      <c r="BD78" s="452" t="str">
        <f>BD$63</f>
        <v>eenheden omrekenen</v>
      </c>
      <c r="BE78" s="452"/>
      <c r="BF78" s="452"/>
      <c r="BG78" s="888" t="str">
        <f>BG$63</f>
        <v>CO2</v>
      </c>
      <c r="BH78" s="39"/>
      <c r="BI78" s="899"/>
    </row>
    <row r="79" spans="1:61">
      <c r="A79" s="18"/>
      <c r="B79" s="47" t="str">
        <f t="shared" ref="B79:C85" si="24">B78</f>
        <v>Energielabel utiliteit</v>
      </c>
      <c r="C79" s="47" t="str">
        <f t="shared" si="24"/>
        <v>ISSO 75.3</v>
      </c>
      <c r="D79" s="943"/>
      <c r="E79" s="14"/>
      <c r="F79" s="892" t="s">
        <v>496</v>
      </c>
      <c r="G79" s="892"/>
      <c r="H79" s="892"/>
      <c r="I79" s="905"/>
      <c r="J79" s="909" t="s">
        <v>458</v>
      </c>
      <c r="K79" s="909"/>
      <c r="L79" s="889"/>
      <c r="M79" s="910" t="s">
        <v>1534</v>
      </c>
      <c r="N79" s="452" t="s">
        <v>204</v>
      </c>
      <c r="O79" s="39"/>
      <c r="P79" s="888" t="s">
        <v>1533</v>
      </c>
      <c r="Q79" s="910" t="s">
        <v>1532</v>
      </c>
      <c r="R79" s="452"/>
      <c r="S79" s="888" t="s">
        <v>1534</v>
      </c>
      <c r="T79" s="889" t="s">
        <v>204</v>
      </c>
      <c r="U79" s="39"/>
      <c r="V79" s="888" t="s">
        <v>1533</v>
      </c>
      <c r="W79" s="910" t="s">
        <v>1532</v>
      </c>
      <c r="X79" s="889" t="s">
        <v>204</v>
      </c>
      <c r="Y79" s="12"/>
      <c r="Z79" s="888" t="s">
        <v>1534</v>
      </c>
      <c r="AA79" s="889" t="s">
        <v>204</v>
      </c>
      <c r="AB79" s="67"/>
      <c r="AC79" s="995"/>
      <c r="AD79" s="1405"/>
      <c r="AE79" s="1405"/>
      <c r="AF79" s="1405"/>
      <c r="AG79" s="1405"/>
      <c r="AH79" s="1405"/>
      <c r="AI79" s="1405"/>
      <c r="AJ79" s="1405"/>
      <c r="AK79" s="1405"/>
      <c r="AL79" s="1405"/>
      <c r="AM79" s="1405"/>
      <c r="AN79" s="1405"/>
      <c r="AO79" s="1405"/>
      <c r="AP79" s="1405"/>
      <c r="AQ79" s="1405"/>
      <c r="AR79" s="1405"/>
      <c r="AS79" s="67"/>
      <c r="AT79" s="995"/>
      <c r="AU79" s="12"/>
      <c r="AV79" s="892" t="str">
        <f>F79</f>
        <v>energiefunctie</v>
      </c>
      <c r="AW79" s="452" t="str">
        <f>J79</f>
        <v>energiedrager</v>
      </c>
      <c r="AX79" s="910"/>
      <c r="AY79" s="12"/>
      <c r="AZ79" s="888" t="str">
        <f>AZ$64</f>
        <v>pos/neg</v>
      </c>
      <c r="BA79" s="888"/>
      <c r="BB79" s="888" t="str">
        <f>BB$64</f>
        <v>default</v>
      </c>
      <c r="BC79" s="452"/>
      <c r="BD79" s="452" t="str">
        <f>BD$64</f>
        <v>waarde</v>
      </c>
      <c r="BE79" s="452" t="str">
        <f>BE$64</f>
        <v>eenheden</v>
      </c>
      <c r="BF79" s="452"/>
      <c r="BG79" s="888" t="str">
        <f>BG$64</f>
        <v>default</v>
      </c>
      <c r="BH79" s="888" t="str">
        <f>BH$64</f>
        <v>eenheid</v>
      </c>
      <c r="BI79" s="452"/>
    </row>
    <row r="80" spans="1:61">
      <c r="A80" s="86"/>
      <c r="B80" s="47" t="str">
        <f t="shared" si="24"/>
        <v>Energielabel utiliteit</v>
      </c>
      <c r="C80" s="47" t="str">
        <f t="shared" si="24"/>
        <v>ISSO 75.3</v>
      </c>
      <c r="D80" s="943"/>
      <c r="E80" s="14"/>
      <c r="F80" s="22" t="s">
        <v>1465</v>
      </c>
      <c r="G80" s="22"/>
      <c r="H80" s="22"/>
      <c r="I80" s="905"/>
      <c r="J80" s="1691" t="s">
        <v>465</v>
      </c>
      <c r="K80" s="1698"/>
      <c r="L80" s="16"/>
      <c r="M80" s="24">
        <f>Q80*S80*BD80</f>
        <v>0</v>
      </c>
      <c r="N80" s="22" t="str">
        <f>INDEX(EP_methode_eenheid,1,MATCH($C80,EP_methode,0))</f>
        <v>MJ</v>
      </c>
      <c r="O80" s="909"/>
      <c r="P80" s="39"/>
      <c r="Q80" s="59">
        <f>IFERROR(IF(AND(P80&lt;&gt;"",$BA80=1),P80,BB80),1)</f>
        <v>2.5641025641025639</v>
      </c>
      <c r="R80" s="15"/>
      <c r="S80" s="25"/>
      <c r="T80" s="47" t="str">
        <f>IFERROR(INDEX(energiedragers_EP_eenheden,MATCH($J80,tabellen_EMD!$C$196:$C$204,0),MATCH($B80,energiedragers_EP_eenheden_titel,0)),"-")</f>
        <v>kWh</v>
      </c>
      <c r="U80" s="39"/>
      <c r="V80" s="15"/>
      <c r="W80" s="59">
        <f>IF(AND(V80&lt;&gt;"",$BA80=1),V80,BG80)</f>
        <v>0.56599999999999995</v>
      </c>
      <c r="X80" s="47" t="str">
        <f>BH80</f>
        <v>kg/kWh</v>
      </c>
      <c r="Y80" s="12"/>
      <c r="Z80" s="24">
        <f>S80*W80*ABS(AZ80)</f>
        <v>0</v>
      </c>
      <c r="AA80" s="47" t="s">
        <v>468</v>
      </c>
      <c r="AB80" s="67"/>
      <c r="AC80" s="995"/>
      <c r="AD80" s="1405"/>
      <c r="AE80" s="1405"/>
      <c r="AF80" s="1405"/>
      <c r="AG80" s="1405"/>
      <c r="AH80" s="1405"/>
      <c r="AI80" s="1405"/>
      <c r="AJ80" s="1405"/>
      <c r="AK80" s="1405"/>
      <c r="AL80" s="1405"/>
      <c r="AM80" s="1405"/>
      <c r="AN80" s="1405"/>
      <c r="AO80" s="1405"/>
      <c r="AP80" s="1405"/>
      <c r="AQ80" s="1405"/>
      <c r="AR80" s="1405"/>
      <c r="AS80" s="67"/>
      <c r="AT80" s="995"/>
      <c r="AU80" s="12"/>
      <c r="AV80" s="22" t="str">
        <f>F80</f>
        <v>elektriciteitsverbruik</v>
      </c>
      <c r="AW80" s="46" t="str">
        <f>J80</f>
        <v>elektriciteit</v>
      </c>
      <c r="AX80" s="24"/>
      <c r="AY80" s="12"/>
      <c r="AZ80" s="115">
        <v>1</v>
      </c>
      <c r="BA80" s="24">
        <f>IFERROR(INDEX(tabellen_EMD!$C$185:$N$193,MATCH($J80,tabellen_EMD!$C$185:$C$193,0),MATCH(BA$63,tabellen_EMD!$C$185:$N$185,0)),0)</f>
        <v>0</v>
      </c>
      <c r="BB80" s="115">
        <f>VLOOKUP($J80,energiedragers_EP_PEF,MATCH(_xlfn.CONCAT($C80," | PEF"),energiedragers_EP_PEF_titel,0),FALSE)</f>
        <v>2.5641025641025639</v>
      </c>
      <c r="BC80" s="899"/>
      <c r="BD80" s="115">
        <f>IFERROR(VLOOKUP($J80,energiedragers_EP_omrekenen,MATCH($B80,energiedragers_EP_omrekenen_titel,0),FALSE),1)</f>
        <v>3.6</v>
      </c>
      <c r="BE80" s="47" t="str">
        <f>_xlfn.CONCAT(N80,"/",T80)</f>
        <v>MJ/kWh</v>
      </c>
      <c r="BF80" s="899"/>
      <c r="BG80" s="218">
        <f>IFERROR(INDEX(tabellen_EMD!$C$240:$Z$248,MATCH($J80,tabellen_EMD!$C$240:$C$248,0),MATCH($B80,tabellen_EMD!$C$240:$Z$240,0))*(F80&lt;&gt;"zomercomfort"),0)</f>
        <v>0.56599999999999995</v>
      </c>
      <c r="BH80" s="47" t="str">
        <f>"kg/"&amp;T80</f>
        <v>kg/kWh</v>
      </c>
      <c r="BI80" s="899"/>
    </row>
    <row r="81" spans="1:61">
      <c r="A81" s="86"/>
      <c r="B81" s="47" t="str">
        <f t="shared" si="24"/>
        <v>Energielabel utiliteit</v>
      </c>
      <c r="C81" s="47" t="str">
        <f t="shared" si="24"/>
        <v>ISSO 75.3</v>
      </c>
      <c r="D81" s="943"/>
      <c r="E81" s="14"/>
      <c r="F81" s="22" t="s">
        <v>1464</v>
      </c>
      <c r="G81" s="22"/>
      <c r="H81" s="22"/>
      <c r="I81" s="905"/>
      <c r="J81" s="1691" t="s">
        <v>463</v>
      </c>
      <c r="K81" s="1698"/>
      <c r="L81" s="16"/>
      <c r="M81" s="24">
        <f>Q81*S81*BD81</f>
        <v>0</v>
      </c>
      <c r="N81" s="22" t="str">
        <f>INDEX(EP_methode_eenheid,1,MATCH($C81,EP_methode,0))</f>
        <v>MJ</v>
      </c>
      <c r="O81" s="909"/>
      <c r="P81" s="39"/>
      <c r="Q81" s="59">
        <f>IFERROR(IF(AND(P81&lt;&gt;"",$BA81=1),P81,BB81),1)</f>
        <v>1</v>
      </c>
      <c r="R81" s="15"/>
      <c r="S81" s="25"/>
      <c r="T81" s="47" t="str">
        <f>IFERROR(INDEX(energiedragers_EP_eenheden,MATCH($J81,tabellen_EMD!$C$196:$C$204,0),MATCH($B81,energiedragers_EP_eenheden_titel,0)),"-")</f>
        <v>m3</v>
      </c>
      <c r="U81" s="39"/>
      <c r="V81" s="15"/>
      <c r="W81" s="59">
        <f>IF(AND(V81&lt;&gt;"",$BA81=1),V81,BG81)</f>
        <v>1.78</v>
      </c>
      <c r="X81" s="47" t="str">
        <f>BH81</f>
        <v>kg/m3</v>
      </c>
      <c r="Y81" s="12"/>
      <c r="Z81" s="24">
        <f>S81*W81*ABS(AZ81)</f>
        <v>0</v>
      </c>
      <c r="AA81" s="47" t="s">
        <v>468</v>
      </c>
      <c r="AB81" s="67"/>
      <c r="AC81" s="995"/>
      <c r="AD81" s="1405"/>
      <c r="AE81" s="1405"/>
      <c r="AF81" s="1405"/>
      <c r="AG81" s="1405"/>
      <c r="AH81" s="1405"/>
      <c r="AI81" s="1405"/>
      <c r="AJ81" s="1405"/>
      <c r="AK81" s="1405"/>
      <c r="AL81" s="1405"/>
      <c r="AM81" s="1405"/>
      <c r="AN81" s="1405"/>
      <c r="AO81" s="1405"/>
      <c r="AP81" s="1405"/>
      <c r="AQ81" s="1405"/>
      <c r="AR81" s="1405"/>
      <c r="AS81" s="67"/>
      <c r="AT81" s="995"/>
      <c r="AU81" s="12"/>
      <c r="AV81" s="22" t="str">
        <f>F81</f>
        <v>gasverbruik</v>
      </c>
      <c r="AW81" s="46" t="str">
        <f>J81</f>
        <v>aardgas</v>
      </c>
      <c r="AX81" s="24"/>
      <c r="AY81" s="12"/>
      <c r="AZ81" s="115">
        <v>1</v>
      </c>
      <c r="BA81" s="24">
        <f>IFERROR(INDEX(tabellen_EMD!$C$185:$N$193,MATCH($J81,tabellen_EMD!$C$185:$C$193,0),MATCH(BA$63,tabellen_EMD!$C$185:$N$185,0)),0)</f>
        <v>0</v>
      </c>
      <c r="BB81" s="115">
        <f>VLOOKUP($J81,energiedragers_EP_PEF,MATCH(_xlfn.CONCAT($C81," | PEF"),energiedragers_EP_PEF_titel,0),FALSE)</f>
        <v>1</v>
      </c>
      <c r="BC81" s="899"/>
      <c r="BD81" s="115">
        <f>IFERROR(VLOOKUP($J81,energiedragers_EP_omrekenen,MATCH($B81,energiedragers_EP_omrekenen_titel,0),FALSE),1)</f>
        <v>35.17</v>
      </c>
      <c r="BE81" s="47" t="str">
        <f>_xlfn.CONCAT(N81,"/",T81)</f>
        <v>MJ/m3</v>
      </c>
      <c r="BF81" s="899"/>
      <c r="BG81" s="218">
        <f>IFERROR(INDEX(tabellen_EMD!$C$240:$Z$248,MATCH($J81,tabellen_EMD!$C$240:$C$248,0),MATCH($B81,tabellen_EMD!$C$240:$Z$240,0))*(F81&lt;&gt;"zomercomfort"),0)</f>
        <v>1.78</v>
      </c>
      <c r="BH81" s="47" t="str">
        <f>"kg/"&amp;T81</f>
        <v>kg/m3</v>
      </c>
      <c r="BI81" s="899"/>
    </row>
    <row r="82" spans="1:61">
      <c r="A82" s="86"/>
      <c r="B82" s="47" t="str">
        <f t="shared" si="24"/>
        <v>Energielabel utiliteit</v>
      </c>
      <c r="C82" s="47" t="str">
        <f t="shared" si="24"/>
        <v>ISSO 75.3</v>
      </c>
      <c r="D82" s="943"/>
      <c r="E82" s="14"/>
      <c r="F82" s="22" t="s">
        <v>1466</v>
      </c>
      <c r="G82" s="22"/>
      <c r="H82" s="22"/>
      <c r="I82" s="905"/>
      <c r="J82" s="1691" t="s">
        <v>1539</v>
      </c>
      <c r="K82" s="1698"/>
      <c r="L82" s="16"/>
      <c r="M82" s="24">
        <f>Q82*S82*BD82</f>
        <v>0</v>
      </c>
      <c r="N82" s="22" t="str">
        <f>INDEX(EP_methode_eenheid,1,MATCH($C82,EP_methode,0))</f>
        <v>MJ</v>
      </c>
      <c r="O82" s="909"/>
      <c r="P82" s="39"/>
      <c r="Q82" s="59">
        <f>IFERROR(IF(AND(P82&lt;&gt;"",$BA82=1),P82,BB82),1)</f>
        <v>0.90909090909090906</v>
      </c>
      <c r="R82" s="15"/>
      <c r="S82" s="25"/>
      <c r="T82" s="47" t="str">
        <f>IFERROR(INDEX(energiedragers_EP_eenheden,MATCH($J82,tabellen_EMD!$C$196:$C$204,0),MATCH($B82,energiedragers_EP_eenheden_titel,0)),"-")</f>
        <v>GJ</v>
      </c>
      <c r="U82" s="39"/>
      <c r="V82" s="154"/>
      <c r="W82" s="59">
        <f>IF(AND(V82&lt;&gt;"",$BA82=1),V82,BG82)</f>
        <v>87.7</v>
      </c>
      <c r="X82" s="47" t="str">
        <f>BH82</f>
        <v>kg/GJ</v>
      </c>
      <c r="Y82" s="12"/>
      <c r="Z82" s="24">
        <f>S82*W82*ABS(AZ82)</f>
        <v>0</v>
      </c>
      <c r="AA82" s="47" t="s">
        <v>468</v>
      </c>
      <c r="AB82" s="67"/>
      <c r="AC82" s="995"/>
      <c r="AD82" s="1405"/>
      <c r="AE82" s="1405"/>
      <c r="AF82" s="1405"/>
      <c r="AG82" s="1405"/>
      <c r="AH82" s="1405"/>
      <c r="AI82" s="1405"/>
      <c r="AJ82" s="1405"/>
      <c r="AK82" s="1405"/>
      <c r="AL82" s="1405"/>
      <c r="AM82" s="1405"/>
      <c r="AN82" s="1405"/>
      <c r="AO82" s="1405"/>
      <c r="AP82" s="1405"/>
      <c r="AQ82" s="1405"/>
      <c r="AR82" s="1405"/>
      <c r="AS82" s="67"/>
      <c r="AT82" s="995"/>
      <c r="AU82" s="12"/>
      <c r="AV82" s="12"/>
      <c r="AW82" s="12"/>
      <c r="AX82" s="12"/>
      <c r="AY82" s="12"/>
      <c r="AZ82" s="115">
        <v>1</v>
      </c>
      <c r="BA82" s="24">
        <f>IFERROR(INDEX(tabellen_EMD!$C$185:$N$193,MATCH($J82,tabellen_EMD!$C$185:$C$193,0),MATCH(BA$63,tabellen_EMD!$C$185:$N$185,0)),0)</f>
        <v>1</v>
      </c>
      <c r="BB82" s="115">
        <f>VLOOKUP($J82,energiedragers_EP_PEF,MATCH(_xlfn.CONCAT($C82," | PEF"),energiedragers_EP_PEF_titel,0),FALSE)</f>
        <v>0.90909090909090906</v>
      </c>
      <c r="BC82" s="899"/>
      <c r="BD82" s="115">
        <f>IFERROR(VLOOKUP($J82,energiedragers_EP_omrekenen,MATCH($B82,energiedragers_EP_omrekenen_titel,0),FALSE),1)</f>
        <v>1000</v>
      </c>
      <c r="BE82" s="47" t="str">
        <f>_xlfn.CONCAT(N82,"/",T82)</f>
        <v>MJ/GJ</v>
      </c>
      <c r="BF82" s="899"/>
      <c r="BG82" s="218">
        <f>IFERROR(INDEX(tabellen_EMD!$C$240:$Z$248,MATCH($J82,tabellen_EMD!$C$240:$C$248,0),MATCH($B82,tabellen_EMD!$C$240:$Z$240,0))*(F82&lt;&gt;"zomercomfort"),0)</f>
        <v>87.7</v>
      </c>
      <c r="BH82" s="47" t="str">
        <f>"kg/"&amp;T82</f>
        <v>kg/GJ</v>
      </c>
      <c r="BI82" s="899"/>
    </row>
    <row r="83" spans="1:61" s="940" customFormat="1">
      <c r="A83" s="18"/>
      <c r="B83" s="47" t="str">
        <f t="shared" si="24"/>
        <v>Energielabel utiliteit</v>
      </c>
      <c r="C83" s="47" t="str">
        <f t="shared" si="24"/>
        <v>ISSO 75.3</v>
      </c>
      <c r="D83" s="943"/>
      <c r="E83" s="14"/>
      <c r="F83" s="15" t="s">
        <v>1391</v>
      </c>
      <c r="G83" s="15"/>
      <c r="H83" s="15"/>
      <c r="I83" s="905"/>
      <c r="J83" s="43" t="s">
        <v>1391</v>
      </c>
      <c r="K83" s="43"/>
      <c r="L83" s="16"/>
      <c r="M83" s="950">
        <f>SUM(M80:M82)</f>
        <v>0</v>
      </c>
      <c r="N83" s="15" t="str">
        <f>INDEX(EP_methode_eenheid,1,MATCH($C83,EP_methode,0))</f>
        <v>MJ</v>
      </c>
      <c r="O83" s="15"/>
      <c r="P83" s="39"/>
      <c r="Q83" s="39"/>
      <c r="R83" s="15"/>
      <c r="S83" s="899"/>
      <c r="T83" s="899"/>
      <c r="U83" s="39"/>
      <c r="V83" s="39"/>
      <c r="W83" s="39"/>
      <c r="X83" s="39"/>
      <c r="Y83" s="12"/>
      <c r="Z83" s="950">
        <f>SUM(Z80:Z82)</f>
        <v>0</v>
      </c>
      <c r="AA83" s="15" t="s">
        <v>468</v>
      </c>
      <c r="AB83" s="67"/>
      <c r="AC83" s="995"/>
      <c r="AD83" s="1405"/>
      <c r="AE83" s="1405"/>
      <c r="AF83" s="1405"/>
      <c r="AG83" s="1405"/>
      <c r="AH83" s="1405"/>
      <c r="AI83" s="1405"/>
      <c r="AJ83" s="1405"/>
      <c r="AK83" s="1405"/>
      <c r="AL83" s="1405"/>
      <c r="AM83" s="1405"/>
      <c r="AN83" s="1405"/>
      <c r="AO83" s="1405"/>
      <c r="AP83" s="1405"/>
      <c r="AQ83" s="1405"/>
      <c r="AR83" s="1405"/>
      <c r="AS83" s="67"/>
      <c r="AT83" s="995"/>
      <c r="AU83" s="12"/>
      <c r="AV83" s="12"/>
      <c r="AW83" s="12"/>
      <c r="AX83" s="12"/>
      <c r="AY83" s="12"/>
      <c r="AZ83" s="12"/>
      <c r="BA83" s="12"/>
      <c r="BB83" s="12"/>
      <c r="BC83" s="899"/>
      <c r="BD83" s="899"/>
      <c r="BE83" s="899"/>
      <c r="BF83" s="899"/>
      <c r="BG83" s="15"/>
      <c r="BH83" s="15"/>
      <c r="BI83" s="899"/>
    </row>
    <row r="84" spans="1:61" s="49" customFormat="1">
      <c r="A84" s="212"/>
      <c r="B84" s="47" t="str">
        <f t="shared" si="24"/>
        <v>Energielabel utiliteit</v>
      </c>
      <c r="C84" s="47" t="str">
        <f t="shared" si="24"/>
        <v>ISSO 75.3</v>
      </c>
      <c r="D84" s="943"/>
      <c r="E84" s="50"/>
      <c r="F84" s="452" t="str">
        <f>IFERROR(IF($P$23=$B84,_xlfn.CONCAT("Bij 1.1 ingevuld: ",FIXED($J$35,2,FALSE)," ",$K$35),""),"invoer niet correct")</f>
        <v>Bij 1.1 ingevuld: 0.00 MJ/m2 Ag</v>
      </c>
      <c r="G84" s="452"/>
      <c r="H84" s="452"/>
      <c r="I84" s="905"/>
      <c r="J84" s="909" t="str">
        <f>IFERROR(IF($P$23=$B84,IF(ABS((M84-$J$35)/$J$35)&gt;1%,"Afwijking &gt;1% met subthema 1.1",""),""),"invoer niet correct")</f>
        <v>invoer niet correct</v>
      </c>
      <c r="K84" s="909"/>
      <c r="L84" s="910"/>
      <c r="M84" s="1339">
        <f>IFERROR(IF($P$23=$B84,M83/$J$59,""),"")</f>
        <v>0</v>
      </c>
      <c r="N84" s="452" t="str">
        <f>IF($P$23=$B84,_xlfn.CONCAT(N83,"/m2"),"")</f>
        <v>MJ/m2</v>
      </c>
      <c r="O84" s="452"/>
      <c r="P84" s="39"/>
      <c r="Q84" s="39"/>
      <c r="R84" s="899"/>
      <c r="S84" s="899"/>
      <c r="T84" s="899"/>
      <c r="U84" s="39"/>
      <c r="V84" s="39"/>
      <c r="W84" s="910" t="str">
        <f>IFERROR(IF($P$23=$B84,_xlfn.CONCAT("Bij 1.1 ingevuld: ",FIXED($AG$40,1,FALSE)," ",$AH$40),""),"invoer niet correct")</f>
        <v>Bij 1.1 ingevuld: 0.0 kg/m2 Ag</v>
      </c>
      <c r="X84" s="909" t="str">
        <f>IFERROR(IF($P$23=$B84,IF(ABS((Z84-$AG$40)/$AG$40)&gt;1%,"afwijking &gt;1% met subthema 1.1",""),""),"invoer niet correct")</f>
        <v>invoer niet correct</v>
      </c>
      <c r="Y84" s="12"/>
      <c r="Z84" s="951">
        <f>IFERROR(IF($P$23=$B84,Z83/$J$58,""),"")</f>
        <v>0</v>
      </c>
      <c r="AA84" s="452" t="str">
        <f>IF($P$23=$B84,_xlfn.CONCAT(AA83,"/m2"),"")</f>
        <v>kg/m2</v>
      </c>
      <c r="AB84" s="1393"/>
      <c r="AC84" s="1001"/>
      <c r="AD84" s="1405"/>
      <c r="AE84" s="1405"/>
      <c r="AF84" s="1405"/>
      <c r="AG84" s="1405"/>
      <c r="AH84" s="1405"/>
      <c r="AI84" s="1405"/>
      <c r="AJ84" s="1405"/>
      <c r="AK84" s="1405"/>
      <c r="AL84" s="1405"/>
      <c r="AM84" s="1405"/>
      <c r="AN84" s="1405"/>
      <c r="AO84" s="1405"/>
      <c r="AP84" s="1405"/>
      <c r="AQ84" s="1405"/>
      <c r="AR84" s="1405"/>
      <c r="AS84" s="1393"/>
      <c r="AT84" s="1001"/>
      <c r="AU84" s="12"/>
      <c r="AV84" s="452"/>
      <c r="AW84" s="452"/>
      <c r="AX84" s="452"/>
      <c r="AY84" s="452"/>
      <c r="AZ84" s="452"/>
      <c r="BA84" s="452"/>
      <c r="BB84" s="452"/>
      <c r="BC84" s="452"/>
      <c r="BD84" s="452"/>
      <c r="BE84" s="452"/>
      <c r="BF84" s="452"/>
      <c r="BG84" s="452"/>
      <c r="BH84" s="452"/>
      <c r="BI84" s="899"/>
    </row>
    <row r="85" spans="1:61" s="49" customFormat="1">
      <c r="A85" s="18"/>
      <c r="B85" s="47" t="str">
        <f t="shared" si="24"/>
        <v>Energielabel utiliteit</v>
      </c>
      <c r="C85" s="47" t="str">
        <f t="shared" si="24"/>
        <v>ISSO 75.3</v>
      </c>
      <c r="D85" s="943"/>
      <c r="E85" s="50"/>
      <c r="F85" s="43"/>
      <c r="G85" s="43"/>
      <c r="H85" s="43"/>
      <c r="I85" s="905"/>
      <c r="J85" s="44"/>
      <c r="K85" s="44"/>
      <c r="L85" s="44"/>
      <c r="M85" s="44"/>
      <c r="N85" s="44"/>
      <c r="O85" s="44"/>
      <c r="P85" s="39"/>
      <c r="Q85" s="39"/>
      <c r="R85" s="899"/>
      <c r="S85" s="899"/>
      <c r="T85" s="899"/>
      <c r="U85" s="39"/>
      <c r="V85" s="39"/>
      <c r="W85" s="39"/>
      <c r="X85" s="39"/>
      <c r="Y85" s="12"/>
      <c r="Z85" s="899"/>
      <c r="AA85" s="899"/>
      <c r="AB85" s="1393"/>
      <c r="AC85" s="1001"/>
      <c r="AD85" s="1405"/>
      <c r="AE85" s="1405"/>
      <c r="AF85" s="1405"/>
      <c r="AG85" s="1405"/>
      <c r="AH85" s="1405"/>
      <c r="AI85" s="1405"/>
      <c r="AJ85" s="1405"/>
      <c r="AK85" s="1405"/>
      <c r="AL85" s="1405"/>
      <c r="AM85" s="1405"/>
      <c r="AN85" s="1405"/>
      <c r="AO85" s="1405"/>
      <c r="AP85" s="1405"/>
      <c r="AQ85" s="1405"/>
      <c r="AR85" s="1405"/>
      <c r="AS85" s="1393"/>
      <c r="AT85" s="1001"/>
      <c r="AU85" s="12"/>
      <c r="AV85" s="12"/>
      <c r="AW85" s="12"/>
      <c r="AX85" s="12"/>
      <c r="AY85" s="12"/>
      <c r="AZ85" s="44"/>
      <c r="BA85" s="12"/>
      <c r="BB85" s="44"/>
      <c r="BC85" s="899"/>
      <c r="BD85" s="899"/>
      <c r="BE85" s="899"/>
      <c r="BF85" s="899"/>
      <c r="BG85" s="899"/>
      <c r="BH85" s="899"/>
      <c r="BI85" s="899"/>
    </row>
    <row r="86" spans="1:61" hidden="1">
      <c r="A86" s="139"/>
      <c r="B86" s="939" t="str">
        <f>tabellen_EMD!$C$175</f>
        <v>Enorm</v>
      </c>
      <c r="C86" s="939" t="str">
        <f>VLOOKUP(B86,'ISSO75.3 naar GPR4'!$AV$40:$AY$48,COLUMNS($AV$40:$AX$40),FALSE)</f>
        <v>NEN 7120</v>
      </c>
      <c r="D86" s="943"/>
      <c r="E86" s="14"/>
      <c r="F86" s="15" t="str">
        <f>_xlfn.CONCAT("Overnemen uit '",B86,"': ",VLOOKUP(B86,$AV$41:$AZ$48,COLUMNS($AV$40:$AZ$40),FALSE))</f>
        <v>Overnemen uit 'Enorm': Resultaten | Primair energiegebruik</v>
      </c>
      <c r="G86" s="15"/>
      <c r="H86" s="15"/>
      <c r="I86" s="905"/>
      <c r="J86" s="41"/>
      <c r="K86" s="41"/>
      <c r="L86" s="12"/>
      <c r="M86" s="909" t="s">
        <v>1485</v>
      </c>
      <c r="N86" s="41"/>
      <c r="O86" s="41"/>
      <c r="P86" s="453" t="s">
        <v>1487</v>
      </c>
      <c r="Q86" s="39"/>
      <c r="R86" s="39"/>
      <c r="S86" s="453" t="s">
        <v>1484</v>
      </c>
      <c r="T86" s="39"/>
      <c r="U86" s="39"/>
      <c r="V86" s="453" t="s">
        <v>1613</v>
      </c>
      <c r="W86" s="39"/>
      <c r="X86" s="39"/>
      <c r="Y86" s="12"/>
      <c r="Z86" s="453" t="s">
        <v>1536</v>
      </c>
      <c r="AA86" s="12"/>
      <c r="AB86" s="67"/>
      <c r="AC86" s="995"/>
      <c r="AD86" s="1405"/>
      <c r="AE86" s="1405"/>
      <c r="AF86" s="1405"/>
      <c r="AG86" s="1405"/>
      <c r="AH86" s="1405"/>
      <c r="AI86" s="1405"/>
      <c r="AJ86" s="1405"/>
      <c r="AK86" s="1405"/>
      <c r="AL86" s="1405"/>
      <c r="AM86" s="1405"/>
      <c r="AN86" s="1405"/>
      <c r="AO86" s="1405"/>
      <c r="AP86" s="1405"/>
      <c r="AQ86" s="1405"/>
      <c r="AR86" s="1405"/>
      <c r="AS86" s="67"/>
      <c r="AT86" s="995"/>
      <c r="AU86" s="12"/>
      <c r="AV86" s="12"/>
      <c r="AW86" s="12"/>
      <c r="AX86" s="12"/>
      <c r="AY86" s="12"/>
      <c r="AZ86" s="453" t="str">
        <f>AZ$63</f>
        <v>Eenheid energie</v>
      </c>
      <c r="BA86" s="888" t="s">
        <v>1628</v>
      </c>
      <c r="BB86" s="453" t="str">
        <f>BB$63</f>
        <v>PEF finaal → primair</v>
      </c>
      <c r="BC86" s="452"/>
      <c r="BD86" s="452" t="str">
        <f>BD$63</f>
        <v>eenheden omrekenen</v>
      </c>
      <c r="BE86" s="452"/>
      <c r="BF86" s="452"/>
      <c r="BG86" s="453" t="str">
        <f>BG$63</f>
        <v>CO2</v>
      </c>
      <c r="BH86" s="888"/>
      <c r="BI86" s="452"/>
    </row>
    <row r="87" spans="1:61" hidden="1">
      <c r="A87" s="18"/>
      <c r="B87" s="47" t="str">
        <f t="shared" ref="B87:C102" si="25">B86</f>
        <v>Enorm</v>
      </c>
      <c r="C87" s="47" t="str">
        <f t="shared" si="25"/>
        <v>NEN 7120</v>
      </c>
      <c r="D87" s="943"/>
      <c r="E87" s="14"/>
      <c r="F87" s="892" t="s">
        <v>496</v>
      </c>
      <c r="G87" s="892"/>
      <c r="H87" s="892"/>
      <c r="I87" s="905"/>
      <c r="J87" s="909" t="s">
        <v>458</v>
      </c>
      <c r="K87" s="909"/>
      <c r="L87" s="889"/>
      <c r="M87" s="910" t="s">
        <v>1534</v>
      </c>
      <c r="N87" s="452" t="s">
        <v>204</v>
      </c>
      <c r="O87" s="39"/>
      <c r="P87" s="888" t="s">
        <v>1533</v>
      </c>
      <c r="Q87" s="910" t="s">
        <v>1532</v>
      </c>
      <c r="R87" s="452"/>
      <c r="S87" s="888" t="s">
        <v>1534</v>
      </c>
      <c r="T87" s="889" t="s">
        <v>204</v>
      </c>
      <c r="U87" s="39"/>
      <c r="V87" s="888" t="s">
        <v>1533</v>
      </c>
      <c r="W87" s="910" t="s">
        <v>1532</v>
      </c>
      <c r="X87" s="889" t="s">
        <v>204</v>
      </c>
      <c r="Y87" s="888"/>
      <c r="Z87" s="888" t="s">
        <v>1534</v>
      </c>
      <c r="AA87" s="889" t="s">
        <v>204</v>
      </c>
      <c r="AB87" s="67"/>
      <c r="AC87" s="995"/>
      <c r="AD87" s="1405"/>
      <c r="AE87" s="1405"/>
      <c r="AF87" s="1405"/>
      <c r="AG87" s="1405"/>
      <c r="AH87" s="1405"/>
      <c r="AI87" s="1405"/>
      <c r="AJ87" s="1405"/>
      <c r="AK87" s="1405"/>
      <c r="AL87" s="1405"/>
      <c r="AM87" s="1405"/>
      <c r="AN87" s="1405"/>
      <c r="AO87" s="1405"/>
      <c r="AP87" s="1405"/>
      <c r="AQ87" s="1405"/>
      <c r="AR87" s="1405"/>
      <c r="AS87" s="67"/>
      <c r="AT87" s="995"/>
      <c r="AU87" s="12"/>
      <c r="AV87" s="892" t="str">
        <f t="shared" ref="AV87:AV104" si="26">F87</f>
        <v>energiefunctie</v>
      </c>
      <c r="AW87" s="452" t="str">
        <f t="shared" ref="AW87:AW104" si="27">J87</f>
        <v>energiedrager</v>
      </c>
      <c r="AX87" s="910"/>
      <c r="AY87" s="12"/>
      <c r="AZ87" s="888" t="str">
        <f>AZ$64</f>
        <v>pos/neg</v>
      </c>
      <c r="BA87" s="888"/>
      <c r="BB87" s="888" t="str">
        <f>BB$64</f>
        <v>default</v>
      </c>
      <c r="BC87" s="452"/>
      <c r="BD87" s="910" t="str">
        <f>BD$64</f>
        <v>waarde</v>
      </c>
      <c r="BE87" s="452" t="str">
        <f>BE$64</f>
        <v>eenheden</v>
      </c>
      <c r="BF87" s="452"/>
      <c r="BG87" s="888" t="str">
        <f>BG$64</f>
        <v>default</v>
      </c>
      <c r="BH87" s="888" t="str">
        <f>BH$64</f>
        <v>eenheid</v>
      </c>
      <c r="BI87" s="452"/>
    </row>
    <row r="88" spans="1:61" hidden="1">
      <c r="A88" s="86"/>
      <c r="B88" s="47" t="str">
        <f t="shared" si="25"/>
        <v>Enorm</v>
      </c>
      <c r="C88" s="47" t="str">
        <f t="shared" si="25"/>
        <v>NEN 7120</v>
      </c>
      <c r="D88" s="943"/>
      <c r="E88" s="14"/>
      <c r="F88" s="22" t="s">
        <v>502</v>
      </c>
      <c r="G88" s="22"/>
      <c r="H88" s="22"/>
      <c r="I88" s="905"/>
      <c r="J88" s="1685"/>
      <c r="K88" s="1685"/>
      <c r="L88" s="16"/>
      <c r="M88" s="25"/>
      <c r="N88" s="22" t="str">
        <f t="shared" ref="N88:N104" si="28">INDEX(EP_methode_eenheid,1,MATCH($C88,EP_methode,0))</f>
        <v>MJ</v>
      </c>
      <c r="O88" s="39" t="s">
        <v>1631</v>
      </c>
      <c r="P88" s="154"/>
      <c r="Q88" s="59">
        <f t="shared" ref="Q88:Q98" si="29">IFERROR(IF(AND(P88&lt;&gt;"",$BA88=1),P88,BB88),1)</f>
        <v>1</v>
      </c>
      <c r="R88" s="15"/>
      <c r="S88" s="24">
        <f t="shared" ref="S88:S98" si="30">M88/Q88/BD88</f>
        <v>0</v>
      </c>
      <c r="T88" s="47" t="str">
        <f>IFERROR(INDEX(energiedragers_EP_eenheden,MATCH($J88,tabellen_EMD!$C$196:$C$204,0),MATCH($B88,energiedragers_EP_eenheden_titel,0)),"-")</f>
        <v>-</v>
      </c>
      <c r="U88" s="39"/>
      <c r="V88" s="154"/>
      <c r="W88" s="59">
        <f t="shared" ref="W88:W98" si="31">IF(AND(V88&lt;&gt;"",$BA88=1),V88,BG88)</f>
        <v>0</v>
      </c>
      <c r="X88" s="47" t="str">
        <f t="shared" ref="X88:X98" si="32">BH88</f>
        <v>kg/-</v>
      </c>
      <c r="Y88" s="39"/>
      <c r="Z88" s="24">
        <f t="shared" ref="Z88:Z98" si="33">S88*W88*ABS(AZ88)</f>
        <v>0</v>
      </c>
      <c r="AA88" s="47" t="s">
        <v>468</v>
      </c>
      <c r="AB88" s="67"/>
      <c r="AC88" s="995"/>
      <c r="AD88" s="1405"/>
      <c r="AE88" s="1405"/>
      <c r="AF88" s="1405"/>
      <c r="AG88" s="1405"/>
      <c r="AH88" s="1405"/>
      <c r="AI88" s="1405"/>
      <c r="AJ88" s="1405"/>
      <c r="AK88" s="1405"/>
      <c r="AL88" s="1405"/>
      <c r="AM88" s="1405"/>
      <c r="AN88" s="1405"/>
      <c r="AO88" s="1405"/>
      <c r="AP88" s="1405"/>
      <c r="AQ88" s="1405"/>
      <c r="AR88" s="1405"/>
      <c r="AS88" s="67"/>
      <c r="AT88" s="995"/>
      <c r="AU88" s="12"/>
      <c r="AV88" s="22" t="str">
        <f t="shared" si="26"/>
        <v>verwarming</v>
      </c>
      <c r="AW88" s="46">
        <f t="shared" si="27"/>
        <v>0</v>
      </c>
      <c r="AX88" s="24"/>
      <c r="AY88" s="12"/>
      <c r="AZ88" s="115">
        <v>1</v>
      </c>
      <c r="BA88" s="24">
        <f>IFERROR(INDEX(tabellen_EMD!$C$185:$N$193,MATCH($J88,tabellen_EMD!$C$185:$C$193,0),MATCH(BA$63,tabellen_EMD!$C$185:$N$185,0)),0)</f>
        <v>0</v>
      </c>
      <c r="BB88" s="115" t="e">
        <f t="shared" ref="BB88:BB98" si="34">VLOOKUP($J88,energiedragers_EP_PEF,MATCH(_xlfn.CONCAT($C88," | PEF"),energiedragers_EP_PEF_titel,0),FALSE)</f>
        <v>#N/A</v>
      </c>
      <c r="BC88" s="15"/>
      <c r="BD88" s="115">
        <f t="shared" ref="BD88:BD98" si="35">IFERROR(VLOOKUP($J88,energiedragers_EP_omrekenen,MATCH($B88,energiedragers_EP_omrekenen_titel,0),FALSE),1)</f>
        <v>1</v>
      </c>
      <c r="BE88" s="47" t="str">
        <f t="shared" ref="BE88:BE98" si="36">_xlfn.CONCAT(N88,"/",T88)</f>
        <v>MJ/-</v>
      </c>
      <c r="BF88" s="15"/>
      <c r="BG88" s="218">
        <f>IFERROR(INDEX(tabellen_EMD!$C$240:$Z$248,MATCH($J88,tabellen_EMD!$C$240:$C$248,0),MATCH($B88,tabellen_EMD!$C$240:$Z$240,0))*(F88&lt;&gt;"zomercomfort"),0)</f>
        <v>0</v>
      </c>
      <c r="BH88" s="47" t="str">
        <f t="shared" ref="BH88:BH98" si="37">"kg/"&amp;T88</f>
        <v>kg/-</v>
      </c>
      <c r="BI88" s="15"/>
    </row>
    <row r="89" spans="1:61" hidden="1">
      <c r="A89" s="86"/>
      <c r="B89" s="47" t="str">
        <f t="shared" si="25"/>
        <v>Enorm</v>
      </c>
      <c r="C89" s="47" t="str">
        <f t="shared" si="25"/>
        <v>NEN 7120</v>
      </c>
      <c r="D89" s="943"/>
      <c r="E89" s="14"/>
      <c r="F89" s="209" t="s">
        <v>1502</v>
      </c>
      <c r="G89" s="209"/>
      <c r="H89" s="209"/>
      <c r="I89" s="905"/>
      <c r="J89" s="1691" t="s">
        <v>465</v>
      </c>
      <c r="K89" s="1698"/>
      <c r="L89" s="16"/>
      <c r="M89" s="25"/>
      <c r="N89" s="22" t="str">
        <f t="shared" si="28"/>
        <v>MJ</v>
      </c>
      <c r="O89" s="39"/>
      <c r="P89" s="39"/>
      <c r="Q89" s="59">
        <f t="shared" si="29"/>
        <v>2.56</v>
      </c>
      <c r="R89" s="15"/>
      <c r="S89" s="24">
        <f t="shared" si="30"/>
        <v>0</v>
      </c>
      <c r="T89" s="47" t="str">
        <f>IFERROR(INDEX(energiedragers_EP_eenheden,MATCH($J89,tabellen_EMD!$C$196:$C$204,0),MATCH($B89,energiedragers_EP_eenheden_titel,0)),"-")</f>
        <v>kWh</v>
      </c>
      <c r="U89" s="39"/>
      <c r="V89" s="15"/>
      <c r="W89" s="59">
        <f t="shared" si="31"/>
        <v>0.56499999999999995</v>
      </c>
      <c r="X89" s="47" t="str">
        <f t="shared" si="32"/>
        <v>kg/kWh</v>
      </c>
      <c r="Y89" s="12"/>
      <c r="Z89" s="24">
        <f t="shared" si="33"/>
        <v>0</v>
      </c>
      <c r="AA89" s="47" t="s">
        <v>468</v>
      </c>
      <c r="AB89" s="67"/>
      <c r="AC89" s="995"/>
      <c r="AD89" s="1405"/>
      <c r="AE89" s="1405"/>
      <c r="AF89" s="1405"/>
      <c r="AG89" s="1405"/>
      <c r="AH89" s="1405"/>
      <c r="AI89" s="1405"/>
      <c r="AJ89" s="1405"/>
      <c r="AK89" s="1405"/>
      <c r="AL89" s="1405"/>
      <c r="AM89" s="1405"/>
      <c r="AN89" s="1405"/>
      <c r="AO89" s="1405"/>
      <c r="AP89" s="1405"/>
      <c r="AQ89" s="1405"/>
      <c r="AR89" s="1405"/>
      <c r="AS89" s="67"/>
      <c r="AT89" s="995"/>
      <c r="AU89" s="12"/>
      <c r="AV89" s="22" t="str">
        <f t="shared" si="26"/>
        <v>hulpenergie</v>
      </c>
      <c r="AW89" s="46" t="str">
        <f t="shared" si="27"/>
        <v>elektriciteit</v>
      </c>
      <c r="AX89" s="24"/>
      <c r="AY89" s="12"/>
      <c r="AZ89" s="115">
        <v>1</v>
      </c>
      <c r="BA89" s="24">
        <f>IFERROR(INDEX(tabellen_EMD!$C$185:$N$193,MATCH($J89,tabellen_EMD!$C$185:$C$193,0),MATCH(BA$63,tabellen_EMD!$C$185:$N$185,0)),0)</f>
        <v>0</v>
      </c>
      <c r="BB89" s="115">
        <f t="shared" si="34"/>
        <v>2.56</v>
      </c>
      <c r="BC89" s="15"/>
      <c r="BD89" s="115">
        <f t="shared" si="35"/>
        <v>3.6</v>
      </c>
      <c r="BE89" s="47" t="str">
        <f t="shared" si="36"/>
        <v>MJ/kWh</v>
      </c>
      <c r="BF89" s="15"/>
      <c r="BG89" s="218">
        <f>IFERROR(INDEX(tabellen_EMD!$C$240:$Z$248,MATCH($J89,tabellen_EMD!$C$240:$C$248,0),MATCH($B89,tabellen_EMD!$C$240:$Z$240,0))*(F89&lt;&gt;"zomercomfort"),0)</f>
        <v>0.56499999999999995</v>
      </c>
      <c r="BH89" s="47" t="str">
        <f t="shared" si="37"/>
        <v>kg/kWh</v>
      </c>
      <c r="BI89" s="15"/>
    </row>
    <row r="90" spans="1:61" hidden="1">
      <c r="A90" s="86"/>
      <c r="B90" s="47" t="str">
        <f>B88</f>
        <v>Enorm</v>
      </c>
      <c r="C90" s="47" t="str">
        <f>C88</f>
        <v>NEN 7120</v>
      </c>
      <c r="D90" s="943"/>
      <c r="E90" s="14"/>
      <c r="F90" s="22" t="s">
        <v>503</v>
      </c>
      <c r="G90" s="22"/>
      <c r="H90" s="22"/>
      <c r="I90" s="905"/>
      <c r="J90" s="1685"/>
      <c r="K90" s="1685"/>
      <c r="L90" s="16"/>
      <c r="M90" s="25"/>
      <c r="N90" s="22" t="str">
        <f t="shared" si="28"/>
        <v>MJ</v>
      </c>
      <c r="O90" s="39"/>
      <c r="P90" s="154"/>
      <c r="Q90" s="59">
        <f>IFERROR(IF(AND(P90&lt;&gt;"",$BA90=1),P90,BB90),1)</f>
        <v>1</v>
      </c>
      <c r="R90" s="15"/>
      <c r="S90" s="24">
        <f t="shared" si="30"/>
        <v>0</v>
      </c>
      <c r="T90" s="47" t="str">
        <f>IFERROR(INDEX(energiedragers_EP_eenheden,MATCH($J90,tabellen_EMD!$C$196:$C$204,0),MATCH($B90,energiedragers_EP_eenheden_titel,0)),"-")</f>
        <v>-</v>
      </c>
      <c r="U90" s="39"/>
      <c r="V90" s="154"/>
      <c r="W90" s="59">
        <f t="shared" si="31"/>
        <v>0</v>
      </c>
      <c r="X90" s="47" t="str">
        <f t="shared" si="32"/>
        <v>kg/-</v>
      </c>
      <c r="Y90" s="39"/>
      <c r="Z90" s="24">
        <f t="shared" si="33"/>
        <v>0</v>
      </c>
      <c r="AA90" s="47" t="s">
        <v>468</v>
      </c>
      <c r="AB90" s="67"/>
      <c r="AC90" s="995"/>
      <c r="AD90" s="1405"/>
      <c r="AE90" s="1405"/>
      <c r="AF90" s="1405"/>
      <c r="AG90" s="1405"/>
      <c r="AH90" s="1405"/>
      <c r="AI90" s="1405"/>
      <c r="AJ90" s="1405"/>
      <c r="AK90" s="1405"/>
      <c r="AL90" s="1405"/>
      <c r="AM90" s="1405"/>
      <c r="AN90" s="1405"/>
      <c r="AO90" s="1405"/>
      <c r="AP90" s="1405"/>
      <c r="AQ90" s="1405"/>
      <c r="AR90" s="1405"/>
      <c r="AS90" s="67"/>
      <c r="AT90" s="995"/>
      <c r="AU90" s="12"/>
      <c r="AV90" s="22" t="str">
        <f t="shared" si="26"/>
        <v>tapwater</v>
      </c>
      <c r="AW90" s="46">
        <f t="shared" si="27"/>
        <v>0</v>
      </c>
      <c r="AX90" s="24"/>
      <c r="AY90" s="12"/>
      <c r="AZ90" s="115">
        <v>1</v>
      </c>
      <c r="BA90" s="24">
        <f>IFERROR(INDEX(tabellen_EMD!$C$185:$N$193,MATCH($J90,tabellen_EMD!$C$185:$C$193,0),MATCH(BA$63,tabellen_EMD!$C$185:$N$185,0)),0)</f>
        <v>0</v>
      </c>
      <c r="BB90" s="115" t="e">
        <f t="shared" si="34"/>
        <v>#N/A</v>
      </c>
      <c r="BC90" s="15"/>
      <c r="BD90" s="115">
        <f t="shared" si="35"/>
        <v>1</v>
      </c>
      <c r="BE90" s="47" t="str">
        <f t="shared" si="36"/>
        <v>MJ/-</v>
      </c>
      <c r="BF90" s="15"/>
      <c r="BG90" s="218">
        <f>IFERROR(INDEX(tabellen_EMD!$C$240:$Z$248,MATCH($J90,tabellen_EMD!$C$240:$C$248,0),MATCH($B90,tabellen_EMD!$C$240:$Z$240,0))*(F90&lt;&gt;"zomercomfort"),0)</f>
        <v>0</v>
      </c>
      <c r="BH90" s="47" t="str">
        <f t="shared" si="37"/>
        <v>kg/-</v>
      </c>
      <c r="BI90" s="15"/>
    </row>
    <row r="91" spans="1:61" hidden="1">
      <c r="A91" s="86"/>
      <c r="B91" s="47" t="str">
        <f t="shared" si="25"/>
        <v>Enorm</v>
      </c>
      <c r="C91" s="47" t="str">
        <f t="shared" si="25"/>
        <v>NEN 7120</v>
      </c>
      <c r="D91" s="943"/>
      <c r="E91" s="14"/>
      <c r="F91" s="209" t="s">
        <v>1502</v>
      </c>
      <c r="G91" s="209"/>
      <c r="H91" s="209"/>
      <c r="I91" s="905"/>
      <c r="J91" s="1691" t="s">
        <v>465</v>
      </c>
      <c r="K91" s="1698"/>
      <c r="L91" s="16"/>
      <c r="M91" s="25"/>
      <c r="N91" s="22" t="str">
        <f t="shared" si="28"/>
        <v>MJ</v>
      </c>
      <c r="O91" s="39"/>
      <c r="P91" s="39"/>
      <c r="Q91" s="59">
        <f t="shared" si="29"/>
        <v>2.56</v>
      </c>
      <c r="R91" s="15"/>
      <c r="S91" s="24">
        <f t="shared" si="30"/>
        <v>0</v>
      </c>
      <c r="T91" s="47" t="str">
        <f>IFERROR(INDEX(energiedragers_EP_eenheden,MATCH($J91,tabellen_EMD!$C$196:$C$204,0),MATCH($B91,energiedragers_EP_eenheden_titel,0)),"-")</f>
        <v>kWh</v>
      </c>
      <c r="U91" s="39"/>
      <c r="V91" s="15"/>
      <c r="W91" s="59">
        <f t="shared" si="31"/>
        <v>0.56499999999999995</v>
      </c>
      <c r="X91" s="47" t="str">
        <f t="shared" si="32"/>
        <v>kg/kWh</v>
      </c>
      <c r="Y91" s="12"/>
      <c r="Z91" s="24">
        <f t="shared" si="33"/>
        <v>0</v>
      </c>
      <c r="AA91" s="47" t="s">
        <v>468</v>
      </c>
      <c r="AB91" s="67"/>
      <c r="AC91" s="995"/>
      <c r="AD91" s="1405"/>
      <c r="AE91" s="1405"/>
      <c r="AF91" s="1405"/>
      <c r="AG91" s="1405"/>
      <c r="AH91" s="1405"/>
      <c r="AI91" s="1405"/>
      <c r="AJ91" s="1405"/>
      <c r="AK91" s="1405"/>
      <c r="AL91" s="1405"/>
      <c r="AM91" s="1405"/>
      <c r="AN91" s="1405"/>
      <c r="AO91" s="1405"/>
      <c r="AP91" s="1405"/>
      <c r="AQ91" s="1405"/>
      <c r="AR91" s="1405"/>
      <c r="AS91" s="67"/>
      <c r="AT91" s="995"/>
      <c r="AU91" s="12"/>
      <c r="AV91" s="22" t="str">
        <f t="shared" si="26"/>
        <v>hulpenergie</v>
      </c>
      <c r="AW91" s="46" t="str">
        <f t="shared" si="27"/>
        <v>elektriciteit</v>
      </c>
      <c r="AX91" s="24"/>
      <c r="AY91" s="12"/>
      <c r="AZ91" s="115">
        <v>1</v>
      </c>
      <c r="BA91" s="24">
        <f>IFERROR(INDEX(tabellen_EMD!$C$185:$N$193,MATCH($J91,tabellen_EMD!$C$185:$C$193,0),MATCH(BA$63,tabellen_EMD!$C$185:$N$185,0)),0)</f>
        <v>0</v>
      </c>
      <c r="BB91" s="115">
        <f t="shared" si="34"/>
        <v>2.56</v>
      </c>
      <c r="BC91" s="15"/>
      <c r="BD91" s="115">
        <f t="shared" si="35"/>
        <v>3.6</v>
      </c>
      <c r="BE91" s="47" t="str">
        <f t="shared" si="36"/>
        <v>MJ/kWh</v>
      </c>
      <c r="BF91" s="15"/>
      <c r="BG91" s="218">
        <f>IFERROR(INDEX(tabellen_EMD!$C$240:$Z$248,MATCH($J91,tabellen_EMD!$C$240:$C$248,0),MATCH($B91,tabellen_EMD!$C$240:$Z$240,0))*(F91&lt;&gt;"zomercomfort"),0)</f>
        <v>0.56499999999999995</v>
      </c>
      <c r="BH91" s="47" t="str">
        <f t="shared" si="37"/>
        <v>kg/kWh</v>
      </c>
      <c r="BI91" s="15"/>
    </row>
    <row r="92" spans="1:61" hidden="1">
      <c r="A92" s="86"/>
      <c r="B92" s="47" t="str">
        <f>B90</f>
        <v>Enorm</v>
      </c>
      <c r="C92" s="47" t="str">
        <f>C90</f>
        <v>NEN 7120</v>
      </c>
      <c r="D92" s="943"/>
      <c r="E92" s="14"/>
      <c r="F92" s="22" t="s">
        <v>504</v>
      </c>
      <c r="G92" s="22"/>
      <c r="H92" s="22"/>
      <c r="I92" s="905"/>
      <c r="J92" s="1685"/>
      <c r="K92" s="1685"/>
      <c r="L92" s="16"/>
      <c r="M92" s="25"/>
      <c r="N92" s="22" t="str">
        <f t="shared" si="28"/>
        <v>MJ</v>
      </c>
      <c r="O92" s="39"/>
      <c r="P92" s="154"/>
      <c r="Q92" s="59">
        <f t="shared" si="29"/>
        <v>1</v>
      </c>
      <c r="R92" s="15"/>
      <c r="S92" s="24">
        <f t="shared" si="30"/>
        <v>0</v>
      </c>
      <c r="T92" s="47" t="str">
        <f>IFERROR(INDEX(energiedragers_EP_eenheden,MATCH($J92,tabellen_EMD!$C$196:$C$204,0),MATCH($B92,energiedragers_EP_eenheden_titel,0)),"-")</f>
        <v>-</v>
      </c>
      <c r="U92" s="39"/>
      <c r="V92" s="154"/>
      <c r="W92" s="59">
        <f t="shared" si="31"/>
        <v>0</v>
      </c>
      <c r="X92" s="47" t="str">
        <f t="shared" si="32"/>
        <v>kg/-</v>
      </c>
      <c r="Y92" s="39"/>
      <c r="Z92" s="24">
        <f t="shared" si="33"/>
        <v>0</v>
      </c>
      <c r="AA92" s="47" t="s">
        <v>468</v>
      </c>
      <c r="AB92" s="67"/>
      <c r="AC92" s="995"/>
      <c r="AD92" s="1405"/>
      <c r="AE92" s="1405"/>
      <c r="AF92" s="1405"/>
      <c r="AG92" s="1405"/>
      <c r="AH92" s="1405"/>
      <c r="AI92" s="1405"/>
      <c r="AJ92" s="1405"/>
      <c r="AK92" s="1405"/>
      <c r="AL92" s="1405"/>
      <c r="AM92" s="1405"/>
      <c r="AN92" s="1405"/>
      <c r="AO92" s="1405"/>
      <c r="AP92" s="1405"/>
      <c r="AQ92" s="1405"/>
      <c r="AR92" s="1405"/>
      <c r="AS92" s="67"/>
      <c r="AT92" s="995"/>
      <c r="AU92" s="12"/>
      <c r="AV92" s="22" t="str">
        <f t="shared" si="26"/>
        <v>koeling</v>
      </c>
      <c r="AW92" s="46">
        <f t="shared" si="27"/>
        <v>0</v>
      </c>
      <c r="AX92" s="24"/>
      <c r="AY92" s="12"/>
      <c r="AZ92" s="115">
        <v>1</v>
      </c>
      <c r="BA92" s="24">
        <f>IFERROR(INDEX(tabellen_EMD!$C$185:$N$193,MATCH($J92,tabellen_EMD!$C$185:$C$193,0),MATCH(BA$63,tabellen_EMD!$C$185:$N$185,0)),0)</f>
        <v>0</v>
      </c>
      <c r="BB92" s="115" t="e">
        <f t="shared" si="34"/>
        <v>#N/A</v>
      </c>
      <c r="BC92" s="15"/>
      <c r="BD92" s="115">
        <f t="shared" si="35"/>
        <v>1</v>
      </c>
      <c r="BE92" s="47" t="str">
        <f t="shared" si="36"/>
        <v>MJ/-</v>
      </c>
      <c r="BF92" s="15"/>
      <c r="BG92" s="218">
        <f>IFERROR(INDEX(tabellen_EMD!$C$240:$Z$248,MATCH($J92,tabellen_EMD!$C$240:$C$248,0),MATCH($B92,tabellen_EMD!$C$240:$Z$240,0))*(F92&lt;&gt;"zomercomfort"),0)</f>
        <v>0</v>
      </c>
      <c r="BH92" s="47" t="str">
        <f t="shared" si="37"/>
        <v>kg/-</v>
      </c>
      <c r="BI92" s="15"/>
    </row>
    <row r="93" spans="1:61" hidden="1">
      <c r="A93" s="86"/>
      <c r="B93" s="47" t="str">
        <f t="shared" si="25"/>
        <v>Enorm</v>
      </c>
      <c r="C93" s="47" t="str">
        <f t="shared" si="25"/>
        <v>NEN 7120</v>
      </c>
      <c r="D93" s="943"/>
      <c r="E93" s="14"/>
      <c r="F93" s="209" t="s">
        <v>1502</v>
      </c>
      <c r="G93" s="209"/>
      <c r="H93" s="209"/>
      <c r="I93" s="905"/>
      <c r="J93" s="1691" t="s">
        <v>465</v>
      </c>
      <c r="K93" s="1698"/>
      <c r="L93" s="16"/>
      <c r="M93" s="25"/>
      <c r="N93" s="22" t="str">
        <f t="shared" si="28"/>
        <v>MJ</v>
      </c>
      <c r="O93" s="39"/>
      <c r="P93" s="39"/>
      <c r="Q93" s="59">
        <f t="shared" si="29"/>
        <v>2.56</v>
      </c>
      <c r="R93" s="15"/>
      <c r="S93" s="24">
        <f t="shared" si="30"/>
        <v>0</v>
      </c>
      <c r="T93" s="47" t="str">
        <f>IFERROR(INDEX(energiedragers_EP_eenheden,MATCH($J93,tabellen_EMD!$C$196:$C$204,0),MATCH($B93,energiedragers_EP_eenheden_titel,0)),"-")</f>
        <v>kWh</v>
      </c>
      <c r="U93" s="39"/>
      <c r="V93" s="15"/>
      <c r="W93" s="59">
        <f t="shared" si="31"/>
        <v>0.56499999999999995</v>
      </c>
      <c r="X93" s="47" t="str">
        <f t="shared" si="32"/>
        <v>kg/kWh</v>
      </c>
      <c r="Y93" s="12"/>
      <c r="Z93" s="24">
        <f t="shared" si="33"/>
        <v>0</v>
      </c>
      <c r="AA93" s="47" t="s">
        <v>468</v>
      </c>
      <c r="AB93" s="67"/>
      <c r="AC93" s="995"/>
      <c r="AD93" s="1405"/>
      <c r="AE93" s="1405"/>
      <c r="AF93" s="1405"/>
      <c r="AG93" s="1405"/>
      <c r="AH93" s="1405"/>
      <c r="AI93" s="1405"/>
      <c r="AJ93" s="1405"/>
      <c r="AK93" s="1405"/>
      <c r="AL93" s="1405"/>
      <c r="AM93" s="1405"/>
      <c r="AN93" s="1405"/>
      <c r="AO93" s="1405"/>
      <c r="AP93" s="1405"/>
      <c r="AQ93" s="1405"/>
      <c r="AR93" s="1405"/>
      <c r="AS93" s="67"/>
      <c r="AT93" s="995"/>
      <c r="AU93" s="12"/>
      <c r="AV93" s="22" t="str">
        <f t="shared" si="26"/>
        <v>hulpenergie</v>
      </c>
      <c r="AW93" s="46" t="str">
        <f t="shared" si="27"/>
        <v>elektriciteit</v>
      </c>
      <c r="AX93" s="24"/>
      <c r="AY93" s="12"/>
      <c r="AZ93" s="115">
        <v>1</v>
      </c>
      <c r="BA93" s="24">
        <f>IFERROR(INDEX(tabellen_EMD!$C$185:$N$193,MATCH($J93,tabellen_EMD!$C$185:$C$193,0),MATCH(BA$63,tabellen_EMD!$C$185:$N$185,0)),0)</f>
        <v>0</v>
      </c>
      <c r="BB93" s="115">
        <f t="shared" si="34"/>
        <v>2.56</v>
      </c>
      <c r="BC93" s="15"/>
      <c r="BD93" s="115">
        <f t="shared" si="35"/>
        <v>3.6</v>
      </c>
      <c r="BE93" s="47" t="str">
        <f t="shared" si="36"/>
        <v>MJ/kWh</v>
      </c>
      <c r="BF93" s="15"/>
      <c r="BG93" s="218">
        <f>IFERROR(INDEX(tabellen_EMD!$C$240:$Z$248,MATCH($J93,tabellen_EMD!$C$240:$C$248,0),MATCH($B93,tabellen_EMD!$C$240:$Z$240,0))*(F93&lt;&gt;"zomercomfort"),0)</f>
        <v>0.56499999999999995</v>
      </c>
      <c r="BH93" s="47" t="str">
        <f t="shared" si="37"/>
        <v>kg/kWh</v>
      </c>
      <c r="BI93" s="15"/>
    </row>
    <row r="94" spans="1:61" hidden="1">
      <c r="A94" s="86"/>
      <c r="B94" s="47" t="str">
        <f>B92</f>
        <v>Enorm</v>
      </c>
      <c r="C94" s="47" t="str">
        <f>C92</f>
        <v>NEN 7120</v>
      </c>
      <c r="D94" s="943"/>
      <c r="E94" s="14"/>
      <c r="F94" s="22" t="s">
        <v>1396</v>
      </c>
      <c r="G94" s="22"/>
      <c r="H94" s="22"/>
      <c r="I94" s="905"/>
      <c r="J94" s="1691" t="s">
        <v>465</v>
      </c>
      <c r="K94" s="1698"/>
      <c r="L94" s="16"/>
      <c r="M94" s="25"/>
      <c r="N94" s="22" t="str">
        <f t="shared" si="28"/>
        <v>MJ</v>
      </c>
      <c r="O94" s="39"/>
      <c r="P94" s="39"/>
      <c r="Q94" s="59">
        <f t="shared" si="29"/>
        <v>2.56</v>
      </c>
      <c r="R94" s="15"/>
      <c r="S94" s="24">
        <f t="shared" si="30"/>
        <v>0</v>
      </c>
      <c r="T94" s="47" t="str">
        <f>IFERROR(INDEX(energiedragers_EP_eenheden,MATCH($J94,tabellen_EMD!$C$196:$C$204,0),MATCH($B94,energiedragers_EP_eenheden_titel,0)),"-")</f>
        <v>kWh</v>
      </c>
      <c r="U94" s="39"/>
      <c r="V94" s="15"/>
      <c r="W94" s="59">
        <f t="shared" si="31"/>
        <v>0</v>
      </c>
      <c r="X94" s="47" t="str">
        <f t="shared" si="32"/>
        <v>kg/kWh</v>
      </c>
      <c r="Y94" s="12"/>
      <c r="Z94" s="24">
        <f t="shared" si="33"/>
        <v>0</v>
      </c>
      <c r="AA94" s="47" t="s">
        <v>468</v>
      </c>
      <c r="AB94" s="67"/>
      <c r="AC94" s="995"/>
      <c r="AD94" s="1405"/>
      <c r="AE94" s="1405"/>
      <c r="AF94" s="1405"/>
      <c r="AG94" s="1405"/>
      <c r="AH94" s="1405"/>
      <c r="AI94" s="1405"/>
      <c r="AJ94" s="1405"/>
      <c r="AK94" s="1405"/>
      <c r="AL94" s="1405"/>
      <c r="AM94" s="1405"/>
      <c r="AN94" s="1405"/>
      <c r="AO94" s="1405"/>
      <c r="AP94" s="1405"/>
      <c r="AQ94" s="1405"/>
      <c r="AR94" s="1405"/>
      <c r="AS94" s="67"/>
      <c r="AT94" s="995"/>
      <c r="AU94" s="12"/>
      <c r="AV94" s="22" t="str">
        <f t="shared" si="26"/>
        <v>zomercomfort</v>
      </c>
      <c r="AW94" s="46" t="str">
        <f t="shared" si="27"/>
        <v>elektriciteit</v>
      </c>
      <c r="AX94" s="24"/>
      <c r="AY94" s="12"/>
      <c r="AZ94" s="115">
        <v>1</v>
      </c>
      <c r="BA94" s="24">
        <f>IFERROR(INDEX(tabellen_EMD!$C$185:$N$193,MATCH($J94,tabellen_EMD!$C$185:$C$193,0),MATCH(BA$63,tabellen_EMD!$C$185:$N$185,0)),0)</f>
        <v>0</v>
      </c>
      <c r="BB94" s="115">
        <f t="shared" si="34"/>
        <v>2.56</v>
      </c>
      <c r="BC94" s="15"/>
      <c r="BD94" s="115">
        <f t="shared" si="35"/>
        <v>3.6</v>
      </c>
      <c r="BE94" s="47" t="str">
        <f t="shared" si="36"/>
        <v>MJ/kWh</v>
      </c>
      <c r="BF94" s="15"/>
      <c r="BG94" s="218">
        <f>IFERROR(INDEX(tabellen_EMD!$C$240:$Z$248,MATCH($J94,tabellen_EMD!$C$240:$C$248,0),MATCH($B94,tabellen_EMD!$C$240:$Z$240,0))*(F94&lt;&gt;"zomercomfort"),0)</f>
        <v>0</v>
      </c>
      <c r="BH94" s="47" t="str">
        <f t="shared" si="37"/>
        <v>kg/kWh</v>
      </c>
      <c r="BI94" s="15"/>
    </row>
    <row r="95" spans="1:61" hidden="1">
      <c r="A95" s="86"/>
      <c r="B95" s="47" t="str">
        <f t="shared" si="25"/>
        <v>Enorm</v>
      </c>
      <c r="C95" s="47" t="str">
        <f t="shared" si="25"/>
        <v>NEN 7120</v>
      </c>
      <c r="D95" s="943"/>
      <c r="E95" s="14"/>
      <c r="F95" s="22" t="s">
        <v>505</v>
      </c>
      <c r="G95" s="22"/>
      <c r="H95" s="22"/>
      <c r="I95" s="905"/>
      <c r="J95" s="1691" t="s">
        <v>465</v>
      </c>
      <c r="K95" s="1698"/>
      <c r="L95" s="16"/>
      <c r="M95" s="25"/>
      <c r="N95" s="22" t="str">
        <f t="shared" si="28"/>
        <v>MJ</v>
      </c>
      <c r="O95" s="39"/>
      <c r="P95" s="39"/>
      <c r="Q95" s="59">
        <f t="shared" si="29"/>
        <v>2.56</v>
      </c>
      <c r="R95" s="15"/>
      <c r="S95" s="24">
        <f t="shared" si="30"/>
        <v>0</v>
      </c>
      <c r="T95" s="47" t="str">
        <f>IFERROR(INDEX(energiedragers_EP_eenheden,MATCH($J95,tabellen_EMD!$C$196:$C$204,0),MATCH($B95,energiedragers_EP_eenheden_titel,0)),"-")</f>
        <v>kWh</v>
      </c>
      <c r="U95" s="39"/>
      <c r="V95" s="15"/>
      <c r="W95" s="59">
        <f t="shared" si="31"/>
        <v>0.56499999999999995</v>
      </c>
      <c r="X95" s="47" t="str">
        <f t="shared" si="32"/>
        <v>kg/kWh</v>
      </c>
      <c r="Y95" s="12"/>
      <c r="Z95" s="24">
        <f t="shared" si="33"/>
        <v>0</v>
      </c>
      <c r="AA95" s="47" t="s">
        <v>468</v>
      </c>
      <c r="AB95" s="67"/>
      <c r="AC95" s="995"/>
      <c r="AD95" s="1405"/>
      <c r="AE95" s="1405"/>
      <c r="AF95" s="1405"/>
      <c r="AG95" s="1405"/>
      <c r="AH95" s="1405"/>
      <c r="AI95" s="1405"/>
      <c r="AJ95" s="1405"/>
      <c r="AK95" s="1405"/>
      <c r="AL95" s="1405"/>
      <c r="AM95" s="1405"/>
      <c r="AN95" s="1405"/>
      <c r="AO95" s="1405"/>
      <c r="AP95" s="1405"/>
      <c r="AQ95" s="1405"/>
      <c r="AR95" s="1405"/>
      <c r="AS95" s="67"/>
      <c r="AT95" s="995"/>
      <c r="AU95" s="12"/>
      <c r="AV95" s="22" t="str">
        <f t="shared" si="26"/>
        <v>bevochtiging</v>
      </c>
      <c r="AW95" s="46" t="str">
        <f t="shared" si="27"/>
        <v>elektriciteit</v>
      </c>
      <c r="AX95" s="24"/>
      <c r="AY95" s="12"/>
      <c r="AZ95" s="115">
        <v>1</v>
      </c>
      <c r="BA95" s="24">
        <f>IFERROR(INDEX(tabellen_EMD!$C$185:$N$193,MATCH($J95,tabellen_EMD!$C$185:$C$193,0),MATCH(BA$63,tabellen_EMD!$C$185:$N$185,0)),0)</f>
        <v>0</v>
      </c>
      <c r="BB95" s="115">
        <f t="shared" si="34"/>
        <v>2.56</v>
      </c>
      <c r="BC95" s="15"/>
      <c r="BD95" s="115">
        <f t="shared" si="35"/>
        <v>3.6</v>
      </c>
      <c r="BE95" s="47" t="str">
        <f t="shared" si="36"/>
        <v>MJ/kWh</v>
      </c>
      <c r="BF95" s="15"/>
      <c r="BG95" s="218">
        <f>IFERROR(INDEX(tabellen_EMD!$C$240:$Z$248,MATCH($J95,tabellen_EMD!$C$240:$C$248,0),MATCH($B95,tabellen_EMD!$C$240:$Z$240,0))*(F95&lt;&gt;"zomercomfort"),0)</f>
        <v>0.56499999999999995</v>
      </c>
      <c r="BH95" s="47" t="str">
        <f t="shared" si="37"/>
        <v>kg/kWh</v>
      </c>
      <c r="BI95" s="15"/>
    </row>
    <row r="96" spans="1:61" hidden="1">
      <c r="A96" s="86"/>
      <c r="B96" s="47" t="str">
        <f t="shared" si="25"/>
        <v>Enorm</v>
      </c>
      <c r="C96" s="47" t="str">
        <f t="shared" si="25"/>
        <v>NEN 7120</v>
      </c>
      <c r="D96" s="943"/>
      <c r="E96" s="14"/>
      <c r="F96" s="22" t="s">
        <v>506</v>
      </c>
      <c r="G96" s="22"/>
      <c r="H96" s="22"/>
      <c r="I96" s="905"/>
      <c r="J96" s="1691" t="s">
        <v>465</v>
      </c>
      <c r="K96" s="1698"/>
      <c r="L96" s="16"/>
      <c r="M96" s="25"/>
      <c r="N96" s="22" t="str">
        <f t="shared" si="28"/>
        <v>MJ</v>
      </c>
      <c r="O96" s="905"/>
      <c r="P96" s="39"/>
      <c r="Q96" s="59">
        <f t="shared" si="29"/>
        <v>2.56</v>
      </c>
      <c r="R96" s="15"/>
      <c r="S96" s="24">
        <f t="shared" si="30"/>
        <v>0</v>
      </c>
      <c r="T96" s="47" t="str">
        <f>IFERROR(INDEX(energiedragers_EP_eenheden,MATCH($J96,tabellen_EMD!$C$196:$C$204,0),MATCH($B96,energiedragers_EP_eenheden_titel,0)),"-")</f>
        <v>kWh</v>
      </c>
      <c r="U96" s="39"/>
      <c r="V96" s="15"/>
      <c r="W96" s="59">
        <f t="shared" si="31"/>
        <v>0.56499999999999995</v>
      </c>
      <c r="X96" s="47" t="str">
        <f t="shared" si="32"/>
        <v>kg/kWh</v>
      </c>
      <c r="Y96" s="12"/>
      <c r="Z96" s="24">
        <f t="shared" si="33"/>
        <v>0</v>
      </c>
      <c r="AA96" s="47" t="s">
        <v>468</v>
      </c>
      <c r="AB96" s="67"/>
      <c r="AC96" s="995"/>
      <c r="AD96" s="1405"/>
      <c r="AE96" s="1405"/>
      <c r="AF96" s="1405"/>
      <c r="AG96" s="1405"/>
      <c r="AH96" s="1405"/>
      <c r="AI96" s="1405"/>
      <c r="AJ96" s="1405"/>
      <c r="AK96" s="1405"/>
      <c r="AL96" s="1405"/>
      <c r="AM96" s="1405"/>
      <c r="AN96" s="1405"/>
      <c r="AO96" s="1405"/>
      <c r="AP96" s="1405"/>
      <c r="AQ96" s="1405"/>
      <c r="AR96" s="1405"/>
      <c r="AS96" s="67"/>
      <c r="AT96" s="995"/>
      <c r="AU96" s="12"/>
      <c r="AV96" s="22" t="str">
        <f t="shared" si="26"/>
        <v>ontvochtiging</v>
      </c>
      <c r="AW96" s="46" t="str">
        <f t="shared" si="27"/>
        <v>elektriciteit</v>
      </c>
      <c r="AX96" s="24"/>
      <c r="AY96" s="12"/>
      <c r="AZ96" s="115">
        <v>1</v>
      </c>
      <c r="BA96" s="24">
        <f>IFERROR(INDEX(tabellen_EMD!$C$185:$N$193,MATCH($J96,tabellen_EMD!$C$185:$C$193,0),MATCH(BA$63,tabellen_EMD!$C$185:$N$185,0)),0)</f>
        <v>0</v>
      </c>
      <c r="BB96" s="115">
        <f t="shared" si="34"/>
        <v>2.56</v>
      </c>
      <c r="BC96" s="15"/>
      <c r="BD96" s="115">
        <f t="shared" si="35"/>
        <v>3.6</v>
      </c>
      <c r="BE96" s="47" t="str">
        <f t="shared" si="36"/>
        <v>MJ/kWh</v>
      </c>
      <c r="BF96" s="15"/>
      <c r="BG96" s="218">
        <f>IFERROR(INDEX(tabellen_EMD!$C$240:$Z$248,MATCH($J96,tabellen_EMD!$C$240:$C$248,0),MATCH($B96,tabellen_EMD!$C$240:$Z$240,0))*(F96&lt;&gt;"zomercomfort"),0)</f>
        <v>0.56499999999999995</v>
      </c>
      <c r="BH96" s="47" t="str">
        <f t="shared" si="37"/>
        <v>kg/kWh</v>
      </c>
      <c r="BI96" s="15"/>
    </row>
    <row r="97" spans="1:61" hidden="1">
      <c r="A97" s="86"/>
      <c r="B97" s="47" t="str">
        <f t="shared" si="25"/>
        <v>Enorm</v>
      </c>
      <c r="C97" s="47" t="str">
        <f t="shared" si="25"/>
        <v>NEN 7120</v>
      </c>
      <c r="D97" s="943"/>
      <c r="E97" s="14"/>
      <c r="F97" s="22" t="s">
        <v>1375</v>
      </c>
      <c r="G97" s="22"/>
      <c r="H97" s="22"/>
      <c r="I97" s="905"/>
      <c r="J97" s="1691" t="s">
        <v>465</v>
      </c>
      <c r="K97" s="1698"/>
      <c r="L97" s="16"/>
      <c r="M97" s="25"/>
      <c r="N97" s="22" t="str">
        <f t="shared" si="28"/>
        <v>MJ</v>
      </c>
      <c r="O97" s="899"/>
      <c r="P97" s="39"/>
      <c r="Q97" s="59">
        <f t="shared" si="29"/>
        <v>2.56</v>
      </c>
      <c r="R97" s="15"/>
      <c r="S97" s="24">
        <f t="shared" si="30"/>
        <v>0</v>
      </c>
      <c r="T97" s="47" t="str">
        <f>IFERROR(INDEX(energiedragers_EP_eenheden,MATCH($J97,tabellen_EMD!$C$196:$C$204,0),MATCH($B97,energiedragers_EP_eenheden_titel,0)),"-")</f>
        <v>kWh</v>
      </c>
      <c r="U97" s="39"/>
      <c r="V97" s="15"/>
      <c r="W97" s="59">
        <f t="shared" si="31"/>
        <v>0.56499999999999995</v>
      </c>
      <c r="X97" s="47" t="str">
        <f t="shared" si="32"/>
        <v>kg/kWh</v>
      </c>
      <c r="Y97" s="12"/>
      <c r="Z97" s="24">
        <f t="shared" si="33"/>
        <v>0</v>
      </c>
      <c r="AA97" s="47" t="s">
        <v>468</v>
      </c>
      <c r="AB97" s="67"/>
      <c r="AC97" s="995"/>
      <c r="AD97" s="1405"/>
      <c r="AE97" s="1405"/>
      <c r="AF97" s="1405"/>
      <c r="AG97" s="1405"/>
      <c r="AH97" s="1405"/>
      <c r="AI97" s="1405"/>
      <c r="AJ97" s="1405"/>
      <c r="AK97" s="1405"/>
      <c r="AL97" s="1405"/>
      <c r="AM97" s="1405"/>
      <c r="AN97" s="1405"/>
      <c r="AO97" s="1405"/>
      <c r="AP97" s="1405"/>
      <c r="AQ97" s="1405"/>
      <c r="AR97" s="1405"/>
      <c r="AS97" s="67"/>
      <c r="AT97" s="995"/>
      <c r="AU97" s="12"/>
      <c r="AV97" s="22" t="str">
        <f t="shared" si="26"/>
        <v>ventilatoren</v>
      </c>
      <c r="AW97" s="46" t="str">
        <f t="shared" si="27"/>
        <v>elektriciteit</v>
      </c>
      <c r="AX97" s="24"/>
      <c r="AY97" s="12"/>
      <c r="AZ97" s="115">
        <v>1</v>
      </c>
      <c r="BA97" s="24">
        <f>IFERROR(INDEX(tabellen_EMD!$C$185:$N$193,MATCH($J97,tabellen_EMD!$C$185:$C$193,0),MATCH(BA$63,tabellen_EMD!$C$185:$N$185,0)),0)</f>
        <v>0</v>
      </c>
      <c r="BB97" s="115">
        <f t="shared" si="34"/>
        <v>2.56</v>
      </c>
      <c r="BC97" s="15"/>
      <c r="BD97" s="115">
        <f t="shared" si="35"/>
        <v>3.6</v>
      </c>
      <c r="BE97" s="47" t="str">
        <f t="shared" si="36"/>
        <v>MJ/kWh</v>
      </c>
      <c r="BF97" s="15"/>
      <c r="BG97" s="218">
        <f>IFERROR(INDEX(tabellen_EMD!$C$240:$Z$248,MATCH($J97,tabellen_EMD!$C$240:$C$248,0),MATCH($B97,tabellen_EMD!$C$240:$Z$240,0))*(F97&lt;&gt;"zomercomfort"),0)</f>
        <v>0.56499999999999995</v>
      </c>
      <c r="BH97" s="47" t="str">
        <f t="shared" si="37"/>
        <v>kg/kWh</v>
      </c>
      <c r="BI97" s="15"/>
    </row>
    <row r="98" spans="1:61" hidden="1">
      <c r="A98" s="18"/>
      <c r="B98" s="47" t="str">
        <f t="shared" si="25"/>
        <v>Enorm</v>
      </c>
      <c r="C98" s="47" t="str">
        <f t="shared" si="25"/>
        <v>NEN 7120</v>
      </c>
      <c r="D98" s="943"/>
      <c r="E98" s="14"/>
      <c r="F98" s="22" t="s">
        <v>507</v>
      </c>
      <c r="G98" s="22"/>
      <c r="H98" s="22"/>
      <c r="I98" s="905"/>
      <c r="J98" s="1691" t="s">
        <v>465</v>
      </c>
      <c r="K98" s="1698"/>
      <c r="L98" s="16"/>
      <c r="M98" s="25"/>
      <c r="N98" s="22" t="str">
        <f t="shared" si="28"/>
        <v>MJ</v>
      </c>
      <c r="O98" s="899"/>
      <c r="P98" s="39"/>
      <c r="Q98" s="59">
        <f t="shared" si="29"/>
        <v>2.56</v>
      </c>
      <c r="R98" s="15"/>
      <c r="S98" s="24">
        <f t="shared" si="30"/>
        <v>0</v>
      </c>
      <c r="T98" s="47" t="str">
        <f>IFERROR(INDEX(energiedragers_EP_eenheden,MATCH($J98,tabellen_EMD!$C$196:$C$204,0),MATCH($B98,energiedragers_EP_eenheden_titel,0)),"-")</f>
        <v>kWh</v>
      </c>
      <c r="U98" s="39"/>
      <c r="V98" s="15"/>
      <c r="W98" s="59">
        <f t="shared" si="31"/>
        <v>0.56499999999999995</v>
      </c>
      <c r="X98" s="47" t="str">
        <f t="shared" si="32"/>
        <v>kg/kWh</v>
      </c>
      <c r="Y98" s="12"/>
      <c r="Z98" s="24">
        <f t="shared" si="33"/>
        <v>0</v>
      </c>
      <c r="AA98" s="47" t="s">
        <v>468</v>
      </c>
      <c r="AB98" s="67"/>
      <c r="AC98" s="995"/>
      <c r="AD98" s="1405"/>
      <c r="AE98" s="1405"/>
      <c r="AF98" s="1405"/>
      <c r="AG98" s="1405"/>
      <c r="AH98" s="1405"/>
      <c r="AI98" s="1405"/>
      <c r="AJ98" s="1405"/>
      <c r="AK98" s="1405"/>
      <c r="AL98" s="1405"/>
      <c r="AM98" s="1405"/>
      <c r="AN98" s="1405"/>
      <c r="AO98" s="1405"/>
      <c r="AP98" s="1405"/>
      <c r="AQ98" s="1405"/>
      <c r="AR98" s="1405"/>
      <c r="AS98" s="67"/>
      <c r="AT98" s="995"/>
      <c r="AU98" s="12"/>
      <c r="AV98" s="22" t="str">
        <f t="shared" si="26"/>
        <v>verlichting</v>
      </c>
      <c r="AW98" s="46" t="str">
        <f t="shared" si="27"/>
        <v>elektriciteit</v>
      </c>
      <c r="AX98" s="24"/>
      <c r="AY98" s="12"/>
      <c r="AZ98" s="115">
        <v>1</v>
      </c>
      <c r="BA98" s="24">
        <f>IFERROR(INDEX(tabellen_EMD!$C$185:$N$193,MATCH($J98,tabellen_EMD!$C$185:$C$193,0),MATCH(BA$63,tabellen_EMD!$C$185:$N$185,0)),0)</f>
        <v>0</v>
      </c>
      <c r="BB98" s="115">
        <f t="shared" si="34"/>
        <v>2.56</v>
      </c>
      <c r="BC98" s="15"/>
      <c r="BD98" s="115">
        <f t="shared" si="35"/>
        <v>3.6</v>
      </c>
      <c r="BE98" s="47" t="str">
        <f t="shared" si="36"/>
        <v>MJ/kWh</v>
      </c>
      <c r="BF98" s="15"/>
      <c r="BG98" s="218">
        <f>IFERROR(INDEX(tabellen_EMD!$C$240:$Z$248,MATCH($J98,tabellen_EMD!$C$240:$C$248,0),MATCH($B98,tabellen_EMD!$C$240:$Z$240,0))*(F98&lt;&gt;"zomercomfort"),0)</f>
        <v>0.56499999999999995</v>
      </c>
      <c r="BH98" s="47" t="str">
        <f t="shared" si="37"/>
        <v>kg/kWh</v>
      </c>
      <c r="BI98" s="15"/>
    </row>
    <row r="99" spans="1:61" hidden="1">
      <c r="A99" s="18"/>
      <c r="B99" s="47" t="str">
        <f t="shared" si="25"/>
        <v>Enorm</v>
      </c>
      <c r="C99" s="47" t="str">
        <f t="shared" si="25"/>
        <v>NEN 7120</v>
      </c>
      <c r="D99" s="943"/>
      <c r="E99" s="14"/>
      <c r="F99" s="330" t="s">
        <v>1391</v>
      </c>
      <c r="G99" s="330"/>
      <c r="H99" s="330"/>
      <c r="I99" s="905"/>
      <c r="J99" s="965" t="s">
        <v>1391</v>
      </c>
      <c r="K99" s="965"/>
      <c r="L99" s="16"/>
      <c r="M99" s="950">
        <f>SUM(M88:M98)</f>
        <v>0</v>
      </c>
      <c r="N99" s="15" t="str">
        <f t="shared" si="28"/>
        <v>MJ</v>
      </c>
      <c r="O99" s="899"/>
      <c r="P99" s="39"/>
      <c r="Q99" s="984"/>
      <c r="R99" s="15"/>
      <c r="S99" s="15"/>
      <c r="T99" s="15"/>
      <c r="U99" s="39"/>
      <c r="V99" s="15"/>
      <c r="W99" s="984"/>
      <c r="X99" s="15"/>
      <c r="Y99" s="39"/>
      <c r="Z99" s="950">
        <f>SUM(Z88:Z98)</f>
        <v>0</v>
      </c>
      <c r="AA99" s="15" t="s">
        <v>468</v>
      </c>
      <c r="AB99" s="67"/>
      <c r="AC99" s="995"/>
      <c r="AD99" s="1405"/>
      <c r="AE99" s="1405"/>
      <c r="AF99" s="1405"/>
      <c r="AG99" s="1405"/>
      <c r="AH99" s="1405"/>
      <c r="AI99" s="1405"/>
      <c r="AJ99" s="1405"/>
      <c r="AK99" s="1405"/>
      <c r="AL99" s="1405"/>
      <c r="AM99" s="1405"/>
      <c r="AN99" s="1405"/>
      <c r="AO99" s="1405"/>
      <c r="AP99" s="1405"/>
      <c r="AQ99" s="1405"/>
      <c r="AR99" s="1405"/>
      <c r="AS99" s="67"/>
      <c r="AT99" s="995"/>
      <c r="AU99" s="12"/>
      <c r="AV99" s="22" t="str">
        <f t="shared" si="26"/>
        <v>totaal</v>
      </c>
      <c r="AW99" s="46" t="str">
        <f t="shared" si="27"/>
        <v>totaal</v>
      </c>
      <c r="AX99" s="24"/>
      <c r="AY99" s="12"/>
      <c r="AZ99" s="15"/>
      <c r="BA99" s="12"/>
      <c r="BB99" s="15"/>
      <c r="BC99" s="15"/>
      <c r="BD99" s="15"/>
      <c r="BE99" s="15"/>
      <c r="BF99" s="15"/>
      <c r="BG99" s="899"/>
      <c r="BH99" s="899"/>
      <c r="BI99" s="15"/>
    </row>
    <row r="100" spans="1:61" hidden="1">
      <c r="A100" s="18"/>
      <c r="B100" s="47" t="str">
        <f t="shared" si="25"/>
        <v>Enorm</v>
      </c>
      <c r="C100" s="47" t="str">
        <f t="shared" si="25"/>
        <v>NEN 7120</v>
      </c>
      <c r="D100" s="943"/>
      <c r="E100" s="14"/>
      <c r="F100" s="22" t="s">
        <v>1392</v>
      </c>
      <c r="G100" s="22"/>
      <c r="H100" s="22"/>
      <c r="I100" s="905"/>
      <c r="J100" s="1691" t="s">
        <v>466</v>
      </c>
      <c r="K100" s="1698"/>
      <c r="L100" s="16"/>
      <c r="M100" s="25"/>
      <c r="N100" s="22" t="str">
        <f t="shared" si="28"/>
        <v>MJ</v>
      </c>
      <c r="O100" s="899"/>
      <c r="P100" s="39"/>
      <c r="Q100" s="59">
        <f>IFERROR(IF(AND(P100&lt;&gt;"",$BA100=1),P100,BB100),1)</f>
        <v>2.56</v>
      </c>
      <c r="R100" s="15"/>
      <c r="S100" s="24">
        <f>M100/Q100/BD100</f>
        <v>0</v>
      </c>
      <c r="T100" s="47" t="str">
        <f>IFERROR(INDEX(energiedragers_EP_eenheden,MATCH($J100,tabellen_EMD!$C$196:$C$204,0),MATCH($B100,energiedragers_EP_eenheden_titel,0)),"-")</f>
        <v>kWh</v>
      </c>
      <c r="U100" s="39"/>
      <c r="V100" s="15"/>
      <c r="W100" s="59">
        <f>IF(AND(V100&lt;&gt;"",$BA100=1),V100,BG100)</f>
        <v>0.56499999999999995</v>
      </c>
      <c r="X100" s="47" t="str">
        <f>BH100</f>
        <v>kg/kWh</v>
      </c>
      <c r="Y100" s="12"/>
      <c r="Z100" s="24">
        <f>S100*W100*ABS(AZ100)</f>
        <v>0</v>
      </c>
      <c r="AA100" s="47" t="s">
        <v>468</v>
      </c>
      <c r="AB100" s="67"/>
      <c r="AC100" s="995"/>
      <c r="AD100" s="1405"/>
      <c r="AE100" s="1405"/>
      <c r="AF100" s="1405"/>
      <c r="AG100" s="1405"/>
      <c r="AH100" s="1405"/>
      <c r="AI100" s="1405"/>
      <c r="AJ100" s="1405"/>
      <c r="AK100" s="1405"/>
      <c r="AL100" s="1405"/>
      <c r="AM100" s="1405"/>
      <c r="AN100" s="1405"/>
      <c r="AO100" s="1405"/>
      <c r="AP100" s="1405"/>
      <c r="AQ100" s="1405"/>
      <c r="AR100" s="1405"/>
      <c r="AS100" s="67"/>
      <c r="AT100" s="995"/>
      <c r="AU100" s="12"/>
      <c r="AV100" s="22" t="str">
        <f t="shared" si="26"/>
        <v>elektriciteitsproductie gebouwgebonden</v>
      </c>
      <c r="AW100" s="46" t="str">
        <f t="shared" si="27"/>
        <v>elektriciteit opgewekt</v>
      </c>
      <c r="AX100" s="24"/>
      <c r="AY100" s="12"/>
      <c r="AZ100" s="115">
        <v>-1</v>
      </c>
      <c r="BA100" s="24">
        <f>IFERROR(INDEX(tabellen_EMD!$C$185:$N$193,MATCH($J100,tabellen_EMD!$C$185:$C$193,0),MATCH(BA$63,tabellen_EMD!$C$185:$N$185,0)),0)</f>
        <v>0</v>
      </c>
      <c r="BB100" s="115">
        <f>VLOOKUP($J100,energiedragers_EP_PEF,MATCH(_xlfn.CONCAT($C100," | PEF"),energiedragers_EP_PEF_titel,0),FALSE)</f>
        <v>2.56</v>
      </c>
      <c r="BC100" s="15"/>
      <c r="BD100" s="115">
        <f>IFERROR(VLOOKUP($J100,energiedragers_EP_omrekenen,MATCH($B100,energiedragers_EP_omrekenen_titel,0),FALSE),1)</f>
        <v>3.6</v>
      </c>
      <c r="BE100" s="47" t="str">
        <f>_xlfn.CONCAT(N100,"/",T100)</f>
        <v>MJ/kWh</v>
      </c>
      <c r="BF100" s="15"/>
      <c r="BG100" s="218">
        <f>IFERROR(INDEX(tabellen_EMD!$C$240:$Z$248,MATCH($J100,tabellen_EMD!$C$240:$C$248,0),MATCH($B100,tabellen_EMD!$C$240:$Z$240,0))*(F100&lt;&gt;"zomercomfort"),0)</f>
        <v>0.56499999999999995</v>
      </c>
      <c r="BH100" s="47" t="str">
        <f>"kg/"&amp;T100</f>
        <v>kg/kWh</v>
      </c>
      <c r="BI100" s="15"/>
    </row>
    <row r="101" spans="1:61" s="18" customFormat="1" hidden="1">
      <c r="B101" s="47" t="str">
        <f t="shared" si="25"/>
        <v>Enorm</v>
      </c>
      <c r="C101" s="47" t="str">
        <f t="shared" si="25"/>
        <v>NEN 7120</v>
      </c>
      <c r="D101" s="943"/>
      <c r="E101" s="14"/>
      <c r="F101" s="330" t="s">
        <v>1393</v>
      </c>
      <c r="G101" s="330"/>
      <c r="H101" s="330"/>
      <c r="I101" s="905"/>
      <c r="J101" s="965" t="s">
        <v>1391</v>
      </c>
      <c r="K101" s="965"/>
      <c r="L101" s="16"/>
      <c r="M101" s="950">
        <f>SUM(M99,M100)</f>
        <v>0</v>
      </c>
      <c r="N101" s="15" t="str">
        <f t="shared" si="28"/>
        <v>MJ</v>
      </c>
      <c r="O101" s="899"/>
      <c r="P101" s="39"/>
      <c r="Q101" s="984"/>
      <c r="R101" s="15"/>
      <c r="S101" s="15"/>
      <c r="T101" s="15"/>
      <c r="U101" s="39"/>
      <c r="V101" s="15"/>
      <c r="W101" s="984"/>
      <c r="X101" s="15"/>
      <c r="Y101" s="39"/>
      <c r="Z101" s="950">
        <f>SUM(Z99,Z100)</f>
        <v>0</v>
      </c>
      <c r="AA101" s="15" t="s">
        <v>468</v>
      </c>
      <c r="AB101" s="67"/>
      <c r="AC101" s="995"/>
      <c r="AD101" s="1405"/>
      <c r="AE101" s="1405"/>
      <c r="AF101" s="1405"/>
      <c r="AG101" s="1405"/>
      <c r="AH101" s="1405"/>
      <c r="AI101" s="1405"/>
      <c r="AJ101" s="1405"/>
      <c r="AK101" s="1405"/>
      <c r="AL101" s="1405"/>
      <c r="AM101" s="1405"/>
      <c r="AN101" s="1405"/>
      <c r="AO101" s="1405"/>
      <c r="AP101" s="1405"/>
      <c r="AQ101" s="1405"/>
      <c r="AR101" s="1405"/>
      <c r="AS101" s="67"/>
      <c r="AT101" s="995"/>
      <c r="AU101" s="12"/>
      <c r="AV101" s="22" t="str">
        <f t="shared" si="26"/>
        <v>afgenomen energie</v>
      </c>
      <c r="AW101" s="46" t="str">
        <f t="shared" si="27"/>
        <v>totaal</v>
      </c>
      <c r="AX101" s="24"/>
      <c r="AY101" s="12"/>
      <c r="AZ101" s="15"/>
      <c r="BA101" s="12"/>
      <c r="BB101" s="15"/>
      <c r="BC101" s="15"/>
      <c r="BD101" s="15"/>
      <c r="BE101" s="15"/>
      <c r="BF101" s="15"/>
      <c r="BG101" s="899"/>
      <c r="BH101" s="899"/>
      <c r="BI101" s="15"/>
    </row>
    <row r="102" spans="1:61" hidden="1">
      <c r="A102" s="18"/>
      <c r="B102" s="47" t="str">
        <f t="shared" si="25"/>
        <v>Enorm</v>
      </c>
      <c r="C102" s="47" t="str">
        <f t="shared" si="25"/>
        <v>NEN 7120</v>
      </c>
      <c r="D102" s="943"/>
      <c r="E102" s="14"/>
      <c r="F102" s="22" t="s">
        <v>1394</v>
      </c>
      <c r="G102" s="22"/>
      <c r="H102" s="22"/>
      <c r="I102" s="905"/>
      <c r="J102" s="1691" t="s">
        <v>1538</v>
      </c>
      <c r="K102" s="1698"/>
      <c r="L102" s="16"/>
      <c r="M102" s="25"/>
      <c r="N102" s="22" t="str">
        <f t="shared" si="28"/>
        <v>MJ</v>
      </c>
      <c r="O102" s="899"/>
      <c r="P102" s="39"/>
      <c r="Q102" s="59">
        <f>IFERROR(IF(AND(P102&lt;&gt;"",$BA102=1),P102,BB102),1)</f>
        <v>2</v>
      </c>
      <c r="R102" s="15"/>
      <c r="S102" s="24">
        <f>M102/Q102/BD102</f>
        <v>0</v>
      </c>
      <c r="T102" s="47" t="str">
        <f>IFERROR(INDEX(energiedragers_EP_eenheden,MATCH($J102,tabellen_EMD!$C$196:$C$204,0),MATCH($B102,energiedragers_EP_eenheden_titel,0)),"-")</f>
        <v>kWh</v>
      </c>
      <c r="U102" s="39"/>
      <c r="V102" s="15"/>
      <c r="W102" s="59">
        <f>IF(AND(V102&lt;&gt;"",$BA102=1),V102,BG102)</f>
        <v>0.56499999999999995</v>
      </c>
      <c r="X102" s="47" t="str">
        <f>BH102</f>
        <v>kg/kWh</v>
      </c>
      <c r="Y102" s="12"/>
      <c r="Z102" s="24">
        <f>S102*W102*ABS(AZ102)</f>
        <v>0</v>
      </c>
      <c r="AA102" s="47" t="s">
        <v>468</v>
      </c>
      <c r="AB102" s="67"/>
      <c r="AC102" s="995"/>
      <c r="AD102" s="1405"/>
      <c r="AE102" s="1405"/>
      <c r="AF102" s="1405"/>
      <c r="AG102" s="1405"/>
      <c r="AH102" s="1405"/>
      <c r="AI102" s="1405"/>
      <c r="AJ102" s="1405"/>
      <c r="AK102" s="1405"/>
      <c r="AL102" s="1405"/>
      <c r="AM102" s="1405"/>
      <c r="AN102" s="1405"/>
      <c r="AO102" s="1405"/>
      <c r="AP102" s="1405"/>
      <c r="AQ102" s="1405"/>
      <c r="AR102" s="1405"/>
      <c r="AS102" s="67"/>
      <c r="AT102" s="995"/>
      <c r="AU102" s="12"/>
      <c r="AV102" s="22" t="str">
        <f t="shared" si="26"/>
        <v>geëxporteerde energie</v>
      </c>
      <c r="AW102" s="46" t="str">
        <f t="shared" si="27"/>
        <v>elektriciteit geëxporteerd</v>
      </c>
      <c r="AX102" s="24"/>
      <c r="AY102" s="12"/>
      <c r="AZ102" s="115">
        <v>-1</v>
      </c>
      <c r="BA102" s="24">
        <f>IFERROR(INDEX(tabellen_EMD!$C$185:$N$193,MATCH($J102,tabellen_EMD!$C$185:$C$193,0),MATCH(BA$63,tabellen_EMD!$C$185:$N$185,0)),0)</f>
        <v>0</v>
      </c>
      <c r="BB102" s="115">
        <f>VLOOKUP($J102,energiedragers_EP_PEF,MATCH(_xlfn.CONCAT($C102," | PEF"),energiedragers_EP_PEF_titel,0),FALSE)</f>
        <v>2</v>
      </c>
      <c r="BC102" s="15"/>
      <c r="BD102" s="115">
        <f>IFERROR(VLOOKUP($J102,energiedragers_EP_omrekenen,MATCH($B102,energiedragers_EP_omrekenen_titel,0),FALSE),1)</f>
        <v>3.6</v>
      </c>
      <c r="BE102" s="47" t="str">
        <f>_xlfn.CONCAT(N102,"/",T102)</f>
        <v>MJ/kWh</v>
      </c>
      <c r="BF102" s="15"/>
      <c r="BG102" s="218">
        <f>IFERROR(INDEX(tabellen_EMD!$C$240:$Z$248,MATCH($J102,tabellen_EMD!$C$240:$C$248,0),MATCH($B102,tabellen_EMD!$C$240:$Z$240,0))*(F102&lt;&gt;"zomercomfort"),0)</f>
        <v>0.56499999999999995</v>
      </c>
      <c r="BH102" s="47" t="str">
        <f>"kg/"&amp;T102</f>
        <v>kg/kWh</v>
      </c>
      <c r="BI102" s="15"/>
    </row>
    <row r="103" spans="1:61" hidden="1">
      <c r="A103" s="18"/>
      <c r="B103" s="47" t="str">
        <f t="shared" ref="B103:C106" si="38">B102</f>
        <v>Enorm</v>
      </c>
      <c r="C103" s="47" t="str">
        <f t="shared" si="38"/>
        <v>NEN 7120</v>
      </c>
      <c r="D103" s="943"/>
      <c r="E103" s="14"/>
      <c r="F103" s="22" t="s">
        <v>1395</v>
      </c>
      <c r="G103" s="22"/>
      <c r="H103" s="22"/>
      <c r="I103" s="905"/>
      <c r="J103" s="1691" t="s">
        <v>466</v>
      </c>
      <c r="K103" s="1698"/>
      <c r="L103" s="16"/>
      <c r="M103" s="25"/>
      <c r="N103" s="22" t="str">
        <f t="shared" si="28"/>
        <v>MJ</v>
      </c>
      <c r="O103" s="899"/>
      <c r="P103" s="39"/>
      <c r="Q103" s="59">
        <f>IFERROR(IF(AND(P103&lt;&gt;"",$BA103=1),P103,BB103),1)</f>
        <v>2.56</v>
      </c>
      <c r="R103" s="15"/>
      <c r="S103" s="24">
        <f>M103/Q103/BD103</f>
        <v>0</v>
      </c>
      <c r="T103" s="47" t="str">
        <f>IFERROR(INDEX(energiedragers_EP_eenheden,MATCH($J103,tabellen_EMD!$C$196:$C$204,0),MATCH($B103,energiedragers_EP_eenheden_titel,0)),"-")</f>
        <v>kWh</v>
      </c>
      <c r="U103" s="39"/>
      <c r="V103" s="15"/>
      <c r="W103" s="59">
        <f>IF(AND(V103&lt;&gt;"",$BA103=1),V103,BG103)</f>
        <v>0.56499999999999995</v>
      </c>
      <c r="X103" s="47" t="str">
        <f>BH103</f>
        <v>kg/kWh</v>
      </c>
      <c r="Y103" s="12"/>
      <c r="Z103" s="24">
        <f>S103*W103*ABS(AZ103)</f>
        <v>0</v>
      </c>
      <c r="AA103" s="47" t="s">
        <v>468</v>
      </c>
      <c r="AB103" s="67"/>
      <c r="AC103" s="995"/>
      <c r="AD103" s="1405"/>
      <c r="AE103" s="1405"/>
      <c r="AF103" s="1405"/>
      <c r="AG103" s="1405"/>
      <c r="AH103" s="1405"/>
      <c r="AI103" s="1405"/>
      <c r="AJ103" s="1405"/>
      <c r="AK103" s="1405"/>
      <c r="AL103" s="1405"/>
      <c r="AM103" s="1405"/>
      <c r="AN103" s="1405"/>
      <c r="AO103" s="1405"/>
      <c r="AP103" s="1405"/>
      <c r="AQ103" s="1405"/>
      <c r="AR103" s="1405"/>
      <c r="AS103" s="67"/>
      <c r="AT103" s="995"/>
      <c r="AU103" s="12"/>
      <c r="AV103" s="22" t="str">
        <f t="shared" si="26"/>
        <v>elektriciteitsproductie niet-gebouwgebonden</v>
      </c>
      <c r="AW103" s="46" t="str">
        <f t="shared" si="27"/>
        <v>elektriciteit opgewekt</v>
      </c>
      <c r="AX103" s="24"/>
      <c r="AY103" s="12"/>
      <c r="AZ103" s="115">
        <v>-1</v>
      </c>
      <c r="BA103" s="24">
        <f>IFERROR(INDEX(tabellen_EMD!$C$185:$N$193,MATCH($J103,tabellen_EMD!$C$185:$C$193,0),MATCH(BA$63,tabellen_EMD!$C$185:$N$185,0)),0)</f>
        <v>0</v>
      </c>
      <c r="BB103" s="115">
        <f>VLOOKUP($J103,energiedragers_EP_PEF,MATCH(_xlfn.CONCAT($C103," | PEF"),energiedragers_EP_PEF_titel,0),FALSE)</f>
        <v>2.56</v>
      </c>
      <c r="BC103" s="15"/>
      <c r="BD103" s="115">
        <f>IFERROR(VLOOKUP($J103,energiedragers_EP_omrekenen,MATCH($B103,energiedragers_EP_omrekenen_titel,0),FALSE),1)</f>
        <v>3.6</v>
      </c>
      <c r="BE103" s="47" t="str">
        <f>_xlfn.CONCAT(N103,"/",T103)</f>
        <v>MJ/kWh</v>
      </c>
      <c r="BF103" s="15"/>
      <c r="BG103" s="218">
        <f>IFERROR(INDEX(tabellen_EMD!$C$240:$Z$248,MATCH($J103,tabellen_EMD!$C$240:$C$248,0),MATCH($B103,tabellen_EMD!$C$240:$Z$240,0))*(F103&lt;&gt;"zomercomfort"),0)</f>
        <v>0.56499999999999995</v>
      </c>
      <c r="BH103" s="47" t="str">
        <f>"kg/"&amp;T103</f>
        <v>kg/kWh</v>
      </c>
      <c r="BI103" s="15"/>
    </row>
    <row r="104" spans="1:61" hidden="1">
      <c r="A104" s="86"/>
      <c r="B104" s="47" t="str">
        <f t="shared" si="38"/>
        <v>Enorm</v>
      </c>
      <c r="C104" s="47" t="str">
        <f t="shared" si="38"/>
        <v>NEN 7120</v>
      </c>
      <c r="D104" s="943"/>
      <c r="E104" s="50"/>
      <c r="F104" s="15" t="s">
        <v>1480</v>
      </c>
      <c r="G104" s="15"/>
      <c r="H104" s="15"/>
      <c r="I104" s="905"/>
      <c r="J104" s="43" t="s">
        <v>1391</v>
      </c>
      <c r="K104" s="43"/>
      <c r="L104" s="16"/>
      <c r="M104" s="950">
        <f>SUM(M101,M102,M103)</f>
        <v>0</v>
      </c>
      <c r="N104" s="15" t="str">
        <f t="shared" si="28"/>
        <v>MJ</v>
      </c>
      <c r="O104" s="15"/>
      <c r="P104" s="15"/>
      <c r="Q104" s="15"/>
      <c r="R104" s="15"/>
      <c r="S104" s="39"/>
      <c r="T104" s="39"/>
      <c r="U104" s="39"/>
      <c r="V104" s="899"/>
      <c r="W104" s="39"/>
      <c r="X104" s="39"/>
      <c r="Y104" s="39"/>
      <c r="Z104" s="922">
        <f>SUM(Z101,Z102,Z103)</f>
        <v>0</v>
      </c>
      <c r="AA104" s="47" t="s">
        <v>468</v>
      </c>
      <c r="AB104" s="1393"/>
      <c r="AC104" s="1001"/>
      <c r="AD104" s="1405"/>
      <c r="AE104" s="1405"/>
      <c r="AF104" s="1405"/>
      <c r="AG104" s="1405"/>
      <c r="AH104" s="1405"/>
      <c r="AI104" s="1405"/>
      <c r="AJ104" s="1405"/>
      <c r="AK104" s="1405"/>
      <c r="AL104" s="1405"/>
      <c r="AM104" s="1405"/>
      <c r="AN104" s="1405"/>
      <c r="AO104" s="1405"/>
      <c r="AP104" s="1405"/>
      <c r="AQ104" s="1405"/>
      <c r="AR104" s="1405"/>
      <c r="AS104" s="1393"/>
      <c r="AT104" s="1001"/>
      <c r="AU104" s="12"/>
      <c r="AV104" s="22" t="str">
        <f t="shared" si="26"/>
        <v>Eptot</v>
      </c>
      <c r="AW104" s="46" t="str">
        <f t="shared" si="27"/>
        <v>totaal</v>
      </c>
      <c r="AX104" s="24"/>
      <c r="AY104" s="12"/>
      <c r="AZ104" s="15"/>
      <c r="BA104" s="12"/>
      <c r="BB104" s="15"/>
      <c r="BC104" s="15"/>
      <c r="BD104" s="15"/>
      <c r="BE104" s="15"/>
      <c r="BF104" s="15"/>
      <c r="BG104" s="899"/>
      <c r="BH104" s="899"/>
      <c r="BI104" s="15"/>
    </row>
    <row r="105" spans="1:61" s="49" customFormat="1" hidden="1">
      <c r="A105" s="139" t="s">
        <v>396</v>
      </c>
      <c r="B105" s="47" t="str">
        <f t="shared" si="38"/>
        <v>Enorm</v>
      </c>
      <c r="C105" s="47" t="str">
        <f t="shared" si="38"/>
        <v>NEN 7120</v>
      </c>
      <c r="D105" s="943"/>
      <c r="E105" s="50"/>
      <c r="F105" s="452" t="str">
        <f>IFERROR(IF($P$23=$B105,_xlfn.CONCAT("Bij 1.1 ingevuld: ",FIXED($J$35,2,FALSE)," ",$K$35),""),"invoer niet correct")</f>
        <v/>
      </c>
      <c r="G105" s="452"/>
      <c r="H105" s="452"/>
      <c r="I105" s="905"/>
      <c r="J105" s="909" t="str">
        <f>IFERROR(IF($P$23=$B105,IF(ABS((M105-$J$35)/$J$35)&gt;1%,"Afwijking &gt;1% met subthema 1.1",""),""),"invoer niet correct")</f>
        <v/>
      </c>
      <c r="K105" s="909"/>
      <c r="L105" s="910"/>
      <c r="M105" s="1339" t="str">
        <f>IFERROR(IF($P$23=$B105,M104/$J$59,""),"")</f>
        <v/>
      </c>
      <c r="N105" s="452" t="str">
        <f>IF($P$23=$B105,_xlfn.CONCAT(N104,"/m2"),"")</f>
        <v/>
      </c>
      <c r="O105" s="452"/>
      <c r="P105" s="39"/>
      <c r="Q105" s="39"/>
      <c r="R105" s="899"/>
      <c r="S105" s="899"/>
      <c r="T105" s="899"/>
      <c r="U105" s="39"/>
      <c r="V105" s="39"/>
      <c r="W105" s="910" t="str">
        <f>IFERROR(IF($P$23=$B105,_xlfn.CONCAT("Bij 1.1 ingevuld: ",FIXED($AG$40,1,FALSE)," ",$AH$40),""),"invoer niet correct")</f>
        <v/>
      </c>
      <c r="X105" s="909" t="str">
        <f>IFERROR(IF($P$23=$B105,IF(ABS((Z105-$AG$40)/$AG$40)&gt;1%,"afwijking &gt;1% met subthema 1.1",""),""),"invoer niet correct")</f>
        <v/>
      </c>
      <c r="Y105" s="12"/>
      <c r="Z105" s="951" t="str">
        <f>IFERROR(IF($P$23=$B105,Z104/$J$58,""),"")</f>
        <v/>
      </c>
      <c r="AA105" s="452" t="str">
        <f>IF($P$23=$B105,_xlfn.CONCAT(AA104,"/m2"),"")</f>
        <v/>
      </c>
      <c r="AB105" s="1393"/>
      <c r="AC105" s="1001"/>
      <c r="AD105" s="1405"/>
      <c r="AE105" s="1405"/>
      <c r="AF105" s="1405"/>
      <c r="AG105" s="1405"/>
      <c r="AH105" s="1405"/>
      <c r="AI105" s="1405"/>
      <c r="AJ105" s="1405"/>
      <c r="AK105" s="1405"/>
      <c r="AL105" s="1405"/>
      <c r="AM105" s="1405"/>
      <c r="AN105" s="1405"/>
      <c r="AO105" s="1405"/>
      <c r="AP105" s="1405"/>
      <c r="AQ105" s="1405"/>
      <c r="AR105" s="1405"/>
      <c r="AS105" s="1393"/>
      <c r="AT105" s="1001"/>
      <c r="AU105" s="12"/>
      <c r="AV105" s="452"/>
      <c r="AW105" s="452"/>
      <c r="AX105" s="452"/>
      <c r="AY105" s="452"/>
      <c r="AZ105" s="452"/>
      <c r="BA105" s="452"/>
      <c r="BB105" s="452"/>
      <c r="BC105" s="452"/>
      <c r="BD105" s="452"/>
      <c r="BE105" s="452"/>
      <c r="BF105" s="452"/>
      <c r="BG105" s="452"/>
      <c r="BH105" s="452"/>
      <c r="BI105" s="899"/>
    </row>
    <row r="106" spans="1:61" s="49" customFormat="1" hidden="1">
      <c r="B106" s="47" t="str">
        <f t="shared" si="38"/>
        <v>Enorm</v>
      </c>
      <c r="C106" s="47" t="str">
        <f t="shared" si="38"/>
        <v>NEN 7120</v>
      </c>
      <c r="D106" s="943"/>
      <c r="E106" s="50"/>
      <c r="F106" s="43"/>
      <c r="G106" s="43"/>
      <c r="H106" s="43"/>
      <c r="I106" s="905"/>
      <c r="J106" s="44"/>
      <c r="K106" s="44"/>
      <c r="L106" s="44"/>
      <c r="M106" s="44"/>
      <c r="N106" s="44"/>
      <c r="O106" s="44"/>
      <c r="P106" s="39"/>
      <c r="Q106" s="39"/>
      <c r="R106" s="39"/>
      <c r="S106" s="899"/>
      <c r="T106" s="899"/>
      <c r="U106" s="899"/>
      <c r="V106" s="899"/>
      <c r="W106" s="39"/>
      <c r="X106" s="39"/>
      <c r="Y106" s="39"/>
      <c r="Z106" s="899"/>
      <c r="AA106" s="899"/>
      <c r="AB106" s="1393"/>
      <c r="AC106" s="1001"/>
      <c r="AD106" s="1405"/>
      <c r="AE106" s="1405"/>
      <c r="AF106" s="1405"/>
      <c r="AG106" s="1405"/>
      <c r="AH106" s="1405"/>
      <c r="AI106" s="1405"/>
      <c r="AJ106" s="1405"/>
      <c r="AK106" s="1405"/>
      <c r="AL106" s="1405"/>
      <c r="AM106" s="1405"/>
      <c r="AN106" s="1405"/>
      <c r="AO106" s="1405"/>
      <c r="AP106" s="1405"/>
      <c r="AQ106" s="1405"/>
      <c r="AR106" s="1405"/>
      <c r="AS106" s="1393"/>
      <c r="AT106" s="1001"/>
      <c r="AU106" s="12"/>
      <c r="AV106" s="12"/>
      <c r="AW106" s="12"/>
      <c r="AX106" s="12"/>
      <c r="AY106" s="12"/>
      <c r="AZ106" s="44"/>
      <c r="BA106" s="12"/>
      <c r="BB106" s="44"/>
      <c r="BC106" s="899"/>
      <c r="BD106" s="899"/>
      <c r="BE106" s="899"/>
      <c r="BF106" s="899"/>
      <c r="BG106" s="899"/>
      <c r="BH106" s="899"/>
      <c r="BI106" s="899"/>
    </row>
    <row r="107" spans="1:61" hidden="1">
      <c r="A107" s="139" t="s">
        <v>396</v>
      </c>
      <c r="B107" s="939" t="str">
        <f>tabellen_EMD!$C$176</f>
        <v>Uniec 2 per functie</v>
      </c>
      <c r="C107" s="939" t="str">
        <f>VLOOKUP(B107,'ISSO75.3 naar GPR4'!$AV$40:$AY$48,COLUMNS($AV$40:$AX$40),FALSE)</f>
        <v>NEN 7120</v>
      </c>
      <c r="D107" s="943"/>
      <c r="E107" s="14"/>
      <c r="F107" s="15" t="str">
        <f>_xlfn.CONCAT("Overnemen uit '",B107,"': ",VLOOKUP(B107,$AV$41:$AZ$48,COLUMNS($AV$40:$AZ$40),FALSE))</f>
        <v>Overnemen uit 'Uniec 2 per functie': Jaarlijkse hoeveelheid primaire energie voor de energiefunctie</v>
      </c>
      <c r="G107" s="15"/>
      <c r="H107" s="15"/>
      <c r="I107" s="905"/>
      <c r="J107" s="41"/>
      <c r="K107" s="41"/>
      <c r="L107" s="12"/>
      <c r="M107" s="909" t="s">
        <v>1485</v>
      </c>
      <c r="N107" s="41"/>
      <c r="O107" s="41"/>
      <c r="P107" s="453" t="s">
        <v>1487</v>
      </c>
      <c r="Q107" s="39"/>
      <c r="R107" s="39"/>
      <c r="S107" s="453" t="s">
        <v>1484</v>
      </c>
      <c r="T107" s="39"/>
      <c r="U107" s="39"/>
      <c r="V107" s="453" t="s">
        <v>1613</v>
      </c>
      <c r="W107" s="39"/>
      <c r="X107" s="39"/>
      <c r="Y107" s="12"/>
      <c r="Z107" s="453" t="s">
        <v>1536</v>
      </c>
      <c r="AA107" s="12"/>
      <c r="AB107" s="67"/>
      <c r="AC107" s="995"/>
      <c r="AD107" s="1405"/>
      <c r="AE107" s="1405"/>
      <c r="AF107" s="1405"/>
      <c r="AG107" s="1405"/>
      <c r="AH107" s="1405"/>
      <c r="AI107" s="1405"/>
      <c r="AJ107" s="1405"/>
      <c r="AK107" s="1405"/>
      <c r="AL107" s="1405"/>
      <c r="AM107" s="1405"/>
      <c r="AN107" s="1405"/>
      <c r="AO107" s="1405"/>
      <c r="AP107" s="1405"/>
      <c r="AQ107" s="1405"/>
      <c r="AR107" s="1405"/>
      <c r="AS107" s="67"/>
      <c r="AT107" s="995"/>
      <c r="AU107" s="12"/>
      <c r="AV107" s="12"/>
      <c r="AW107" s="12"/>
      <c r="AX107" s="12"/>
      <c r="AY107" s="12"/>
      <c r="AZ107" s="888" t="str">
        <f>AZ$63</f>
        <v>Eenheid energie</v>
      </c>
      <c r="BA107" s="888" t="s">
        <v>1628</v>
      </c>
      <c r="BB107" s="888" t="str">
        <f>BB$63</f>
        <v>PEF finaal → primair</v>
      </c>
      <c r="BC107" s="452"/>
      <c r="BD107" s="452" t="str">
        <f>BD$63</f>
        <v>eenheden omrekenen</v>
      </c>
      <c r="BE107" s="452"/>
      <c r="BF107" s="452"/>
      <c r="BG107" s="888" t="str">
        <f>BG$63</f>
        <v>CO2</v>
      </c>
      <c r="BH107" s="39"/>
      <c r="BI107" s="39"/>
    </row>
    <row r="108" spans="1:61" hidden="1">
      <c r="A108" s="86"/>
      <c r="B108" s="47" t="str">
        <f t="shared" ref="B108:C123" si="39">B107</f>
        <v>Uniec 2 per functie</v>
      </c>
      <c r="C108" s="47" t="str">
        <f t="shared" si="39"/>
        <v>NEN 7120</v>
      </c>
      <c r="D108" s="943"/>
      <c r="E108" s="14"/>
      <c r="F108" s="892" t="s">
        <v>496</v>
      </c>
      <c r="G108" s="892"/>
      <c r="H108" s="892"/>
      <c r="I108" s="905"/>
      <c r="J108" s="909" t="s">
        <v>458</v>
      </c>
      <c r="K108" s="909"/>
      <c r="L108" s="889"/>
      <c r="M108" s="910" t="s">
        <v>1534</v>
      </c>
      <c r="N108" s="452" t="s">
        <v>204</v>
      </c>
      <c r="O108" s="39"/>
      <c r="P108" s="888" t="s">
        <v>1533</v>
      </c>
      <c r="Q108" s="910" t="s">
        <v>1532</v>
      </c>
      <c r="R108" s="452"/>
      <c r="S108" s="888" t="s">
        <v>1534</v>
      </c>
      <c r="T108" s="889" t="s">
        <v>204</v>
      </c>
      <c r="U108" s="39"/>
      <c r="V108" s="888" t="s">
        <v>1533</v>
      </c>
      <c r="W108" s="910" t="s">
        <v>1532</v>
      </c>
      <c r="X108" s="889" t="s">
        <v>204</v>
      </c>
      <c r="Y108" s="12"/>
      <c r="Z108" s="888" t="s">
        <v>1534</v>
      </c>
      <c r="AA108" s="889" t="s">
        <v>204</v>
      </c>
      <c r="AB108" s="67"/>
      <c r="AC108" s="995"/>
      <c r="AD108" s="1405"/>
      <c r="AE108" s="1405"/>
      <c r="AF108" s="1405"/>
      <c r="AG108" s="1405"/>
      <c r="AH108" s="1405"/>
      <c r="AI108" s="1405"/>
      <c r="AJ108" s="1405"/>
      <c r="AK108" s="1405"/>
      <c r="AL108" s="1405"/>
      <c r="AM108" s="1405"/>
      <c r="AN108" s="1405"/>
      <c r="AO108" s="1405"/>
      <c r="AP108" s="1405"/>
      <c r="AQ108" s="1405"/>
      <c r="AR108" s="1405"/>
      <c r="AS108" s="67"/>
      <c r="AT108" s="995"/>
      <c r="AU108" s="12"/>
      <c r="AV108" s="892" t="str">
        <f t="shared" ref="AV108:AV121" si="40">F108</f>
        <v>energiefunctie</v>
      </c>
      <c r="AW108" s="452" t="str">
        <f t="shared" ref="AW108:AW121" si="41">J108</f>
        <v>energiedrager</v>
      </c>
      <c r="AX108" s="910"/>
      <c r="AY108" s="12"/>
      <c r="AZ108" s="888" t="str">
        <f>AZ$64</f>
        <v>pos/neg</v>
      </c>
      <c r="BA108" s="888"/>
      <c r="BB108" s="888" t="str">
        <f>BB$64</f>
        <v>default</v>
      </c>
      <c r="BC108" s="452"/>
      <c r="BD108" s="452" t="str">
        <f>BD$64</f>
        <v>waarde</v>
      </c>
      <c r="BE108" s="452" t="str">
        <f>BE$64</f>
        <v>eenheden</v>
      </c>
      <c r="BF108" s="452"/>
      <c r="BG108" s="888" t="str">
        <f>BG$64</f>
        <v>default</v>
      </c>
      <c r="BH108" s="888" t="str">
        <f>BH$64</f>
        <v>eenheid</v>
      </c>
      <c r="BI108" s="452"/>
    </row>
    <row r="109" spans="1:61" hidden="1">
      <c r="A109" s="86"/>
      <c r="B109" s="47" t="str">
        <f t="shared" si="39"/>
        <v>Uniec 2 per functie</v>
      </c>
      <c r="C109" s="47" t="str">
        <f t="shared" si="39"/>
        <v>NEN 7120</v>
      </c>
      <c r="D109" s="943"/>
      <c r="E109" s="14"/>
      <c r="F109" s="22" t="s">
        <v>1506</v>
      </c>
      <c r="G109" s="22"/>
      <c r="H109" s="22"/>
      <c r="I109" s="905"/>
      <c r="J109" s="1685"/>
      <c r="K109" s="1685"/>
      <c r="L109" s="16"/>
      <c r="M109" s="25"/>
      <c r="N109" s="22" t="str">
        <f t="shared" ref="N109:N121" si="42">INDEX(EP_methode_eenheid,1,MATCH($C109,EP_methode,0))</f>
        <v>MJ</v>
      </c>
      <c r="O109" s="213" t="s">
        <v>396</v>
      </c>
      <c r="P109" s="1326"/>
      <c r="Q109" s="59">
        <f t="shared" ref="Q109:Q120" si="43">IFERROR(IF(AND(P109&lt;&gt;"",$BA109=1),P109,BB109),1)</f>
        <v>1</v>
      </c>
      <c r="R109" s="15"/>
      <c r="S109" s="24">
        <f t="shared" ref="S109:S120" si="44">M109/Q109/BD109</f>
        <v>0</v>
      </c>
      <c r="T109" s="47" t="str">
        <f>IFERROR(INDEX(energiedragers_EP_eenheden,MATCH($J109,tabellen_EMD!$C$196:$C$204,0),MATCH($B109,energiedragers_EP_eenheden_titel,0)),"-")</f>
        <v>-</v>
      </c>
      <c r="U109" s="39"/>
      <c r="V109" s="1326"/>
      <c r="W109" s="59">
        <f t="shared" ref="W109:W120" si="45">IF(AND(V109&lt;&gt;"",$BA109=1),V109,BG109)</f>
        <v>0</v>
      </c>
      <c r="X109" s="47" t="str">
        <f t="shared" ref="X109:X120" si="46">BH109</f>
        <v>kg/-</v>
      </c>
      <c r="Y109" s="12"/>
      <c r="Z109" s="24">
        <f t="shared" ref="Z109:Z120" si="47">S109*W109*ABS(AZ109)</f>
        <v>0</v>
      </c>
      <c r="AA109" s="47" t="s">
        <v>468</v>
      </c>
      <c r="AB109" s="67"/>
      <c r="AC109" s="995"/>
      <c r="AD109" s="1405"/>
      <c r="AE109" s="1405"/>
      <c r="AF109" s="1405"/>
      <c r="AG109" s="1405"/>
      <c r="AH109" s="1405"/>
      <c r="AI109" s="1405"/>
      <c r="AJ109" s="1405"/>
      <c r="AK109" s="1405"/>
      <c r="AL109" s="1405"/>
      <c r="AM109" s="1405"/>
      <c r="AN109" s="1405"/>
      <c r="AO109" s="1405"/>
      <c r="AP109" s="1405"/>
      <c r="AQ109" s="1405"/>
      <c r="AR109" s="1405"/>
      <c r="AS109" s="67"/>
      <c r="AT109" s="995"/>
      <c r="AU109" s="12"/>
      <c r="AV109" s="22" t="str">
        <f t="shared" si="40"/>
        <v>verwarming (excl. hulpenergie)</v>
      </c>
      <c r="AW109" s="46">
        <f t="shared" si="41"/>
        <v>0</v>
      </c>
      <c r="AX109" s="115"/>
      <c r="AY109" s="12"/>
      <c r="AZ109" s="115">
        <v>1</v>
      </c>
      <c r="BA109" s="24">
        <f>IFERROR(INDEX(tabellen_EMD!$C$185:$N$193,MATCH($J109,tabellen_EMD!$C$185:$C$193,0),MATCH(BA$63,tabellen_EMD!$C$185:$N$185,0)),0)</f>
        <v>0</v>
      </c>
      <c r="BB109" s="115" t="e">
        <f t="shared" ref="BB109:BB120" si="48">VLOOKUP($J109,energiedragers_EP_PEF,MATCH(_xlfn.CONCAT($C109," | PEF"),energiedragers_EP_PEF_titel,0),FALSE)</f>
        <v>#N/A</v>
      </c>
      <c r="BC109" s="15"/>
      <c r="BD109" s="115">
        <f t="shared" ref="BD109:BD120" si="49">IFERROR(VLOOKUP($J109,energiedragers_EP_omrekenen,MATCH($B109,energiedragers_EP_omrekenen_titel,0),FALSE),1)</f>
        <v>1</v>
      </c>
      <c r="BE109" s="47" t="str">
        <f t="shared" ref="BE109:BE120" si="50">_xlfn.CONCAT(N109,"/",T109)</f>
        <v>MJ/-</v>
      </c>
      <c r="BF109" s="15"/>
      <c r="BG109" s="218">
        <f>IFERROR(INDEX(tabellen_EMD!$C$240:$Z$248,MATCH($J109,tabellen_EMD!$C$240:$C$248,0),MATCH($B109,tabellen_EMD!$C$240:$Z$240,0))*(F109&lt;&gt;"zomercomfort"),0)</f>
        <v>0</v>
      </c>
      <c r="BH109" s="47" t="str">
        <f t="shared" ref="BH109:BH120" si="51">"kg/"&amp;T109</f>
        <v>kg/-</v>
      </c>
      <c r="BI109" s="15"/>
    </row>
    <row r="110" spans="1:61" hidden="1">
      <c r="A110" s="86"/>
      <c r="B110" s="47" t="str">
        <f t="shared" si="39"/>
        <v>Uniec 2 per functie</v>
      </c>
      <c r="C110" s="47" t="str">
        <f t="shared" si="39"/>
        <v>NEN 7120</v>
      </c>
      <c r="D110" s="943"/>
      <c r="E110" s="14"/>
      <c r="F110" s="209" t="s">
        <v>1502</v>
      </c>
      <c r="G110" s="209"/>
      <c r="H110" s="209"/>
      <c r="I110" s="905"/>
      <c r="J110" s="1691" t="s">
        <v>465</v>
      </c>
      <c r="K110" s="1698"/>
      <c r="L110" s="16"/>
      <c r="M110" s="25"/>
      <c r="N110" s="22" t="str">
        <f t="shared" si="42"/>
        <v>MJ</v>
      </c>
      <c r="O110" s="15"/>
      <c r="P110" s="39"/>
      <c r="Q110" s="59">
        <f t="shared" si="43"/>
        <v>2.56</v>
      </c>
      <c r="R110" s="15"/>
      <c r="S110" s="24">
        <f t="shared" si="44"/>
        <v>0</v>
      </c>
      <c r="T110" s="47" t="str">
        <f>IFERROR(INDEX(energiedragers_EP_eenheden,MATCH($J110,tabellen_EMD!$C$196:$C$204,0),MATCH($B110,energiedragers_EP_eenheden_titel,0)),"-")</f>
        <v>kWh</v>
      </c>
      <c r="U110" s="39"/>
      <c r="V110" s="15"/>
      <c r="W110" s="59">
        <f t="shared" si="45"/>
        <v>0.56499999999999995</v>
      </c>
      <c r="X110" s="47" t="str">
        <f t="shared" si="46"/>
        <v>kg/kWh</v>
      </c>
      <c r="Y110" s="12"/>
      <c r="Z110" s="24">
        <f t="shared" si="47"/>
        <v>0</v>
      </c>
      <c r="AA110" s="47" t="s">
        <v>468</v>
      </c>
      <c r="AB110" s="67"/>
      <c r="AC110" s="995"/>
      <c r="AD110" s="1405"/>
      <c r="AE110" s="1405"/>
      <c r="AF110" s="1405"/>
      <c r="AG110" s="1405"/>
      <c r="AH110" s="1405"/>
      <c r="AI110" s="1405"/>
      <c r="AJ110" s="1405"/>
      <c r="AK110" s="1405"/>
      <c r="AL110" s="1405"/>
      <c r="AM110" s="1405"/>
      <c r="AN110" s="1405"/>
      <c r="AO110" s="1405"/>
      <c r="AP110" s="1405"/>
      <c r="AQ110" s="1405"/>
      <c r="AR110" s="1405"/>
      <c r="AS110" s="67"/>
      <c r="AT110" s="995"/>
      <c r="AU110" s="12"/>
      <c r="AV110" s="22" t="str">
        <f t="shared" si="40"/>
        <v>hulpenergie</v>
      </c>
      <c r="AW110" s="46" t="str">
        <f t="shared" si="41"/>
        <v>elektriciteit</v>
      </c>
      <c r="AX110" s="115"/>
      <c r="AY110" s="12"/>
      <c r="AZ110" s="115">
        <v>1</v>
      </c>
      <c r="BA110" s="24">
        <f>IFERROR(INDEX(tabellen_EMD!$C$185:$N$193,MATCH($J110,tabellen_EMD!$C$185:$C$193,0),MATCH(BA$63,tabellen_EMD!$C$185:$N$185,0)),0)</f>
        <v>0</v>
      </c>
      <c r="BB110" s="115">
        <f t="shared" si="48"/>
        <v>2.56</v>
      </c>
      <c r="BC110" s="15"/>
      <c r="BD110" s="115">
        <f t="shared" si="49"/>
        <v>3.6</v>
      </c>
      <c r="BE110" s="47" t="str">
        <f t="shared" si="50"/>
        <v>MJ/kWh</v>
      </c>
      <c r="BF110" s="15"/>
      <c r="BG110" s="218">
        <f>IFERROR(INDEX(tabellen_EMD!$C$240:$Z$248,MATCH($J110,tabellen_EMD!$C$240:$C$248,0),MATCH($B110,tabellen_EMD!$C$240:$Z$240,0))*(F110&lt;&gt;"zomercomfort"),0)</f>
        <v>0.56499999999999995</v>
      </c>
      <c r="BH110" s="47" t="str">
        <f t="shared" si="51"/>
        <v>kg/kWh</v>
      </c>
      <c r="BI110" s="15"/>
    </row>
    <row r="111" spans="1:61" hidden="1">
      <c r="A111" s="86"/>
      <c r="B111" s="47" t="str">
        <f t="shared" si="39"/>
        <v>Uniec 2 per functie</v>
      </c>
      <c r="C111" s="47" t="str">
        <f t="shared" si="39"/>
        <v>NEN 7120</v>
      </c>
      <c r="D111" s="943"/>
      <c r="E111" s="14"/>
      <c r="F111" s="22" t="s">
        <v>1507</v>
      </c>
      <c r="G111" s="22"/>
      <c r="H111" s="22"/>
      <c r="I111" s="905"/>
      <c r="J111" s="1685"/>
      <c r="K111" s="1685"/>
      <c r="L111" s="16"/>
      <c r="M111" s="25"/>
      <c r="N111" s="22" t="str">
        <f t="shared" si="42"/>
        <v>MJ</v>
      </c>
      <c r="O111" s="15"/>
      <c r="P111" s="154"/>
      <c r="Q111" s="59">
        <f t="shared" si="43"/>
        <v>1</v>
      </c>
      <c r="R111" s="15"/>
      <c r="S111" s="24">
        <f t="shared" si="44"/>
        <v>0</v>
      </c>
      <c r="T111" s="47" t="str">
        <f>IFERROR(INDEX(energiedragers_EP_eenheden,MATCH($J111,tabellen_EMD!$C$196:$C$204,0),MATCH($B111,energiedragers_EP_eenheden_titel,0)),"-")</f>
        <v>-</v>
      </c>
      <c r="U111" s="39"/>
      <c r="V111" s="1326"/>
      <c r="W111" s="59">
        <f t="shared" si="45"/>
        <v>0</v>
      </c>
      <c r="X111" s="47" t="str">
        <f t="shared" si="46"/>
        <v>kg/-</v>
      </c>
      <c r="Y111" s="12"/>
      <c r="Z111" s="24">
        <f t="shared" si="47"/>
        <v>0</v>
      </c>
      <c r="AA111" s="47" t="s">
        <v>468</v>
      </c>
      <c r="AB111" s="67"/>
      <c r="AC111" s="995"/>
      <c r="AD111" s="1405"/>
      <c r="AE111" s="1405"/>
      <c r="AF111" s="1405"/>
      <c r="AG111" s="1405"/>
      <c r="AH111" s="1405"/>
      <c r="AI111" s="1405"/>
      <c r="AJ111" s="1405"/>
      <c r="AK111" s="1405"/>
      <c r="AL111" s="1405"/>
      <c r="AM111" s="1405"/>
      <c r="AN111" s="1405"/>
      <c r="AO111" s="1405"/>
      <c r="AP111" s="1405"/>
      <c r="AQ111" s="1405"/>
      <c r="AR111" s="1405"/>
      <c r="AS111" s="67"/>
      <c r="AT111" s="995"/>
      <c r="AU111" s="12"/>
      <c r="AV111" s="22" t="str">
        <f t="shared" si="40"/>
        <v>warm tapwater (excl. hulpenergie)</v>
      </c>
      <c r="AW111" s="46">
        <f t="shared" si="41"/>
        <v>0</v>
      </c>
      <c r="AX111" s="115"/>
      <c r="AY111" s="12"/>
      <c r="AZ111" s="115">
        <v>1</v>
      </c>
      <c r="BA111" s="24">
        <f>IFERROR(INDEX(tabellen_EMD!$C$185:$N$193,MATCH($J111,tabellen_EMD!$C$185:$C$193,0),MATCH(BA$63,tabellen_EMD!$C$185:$N$185,0)),0)</f>
        <v>0</v>
      </c>
      <c r="BB111" s="115" t="e">
        <f t="shared" si="48"/>
        <v>#N/A</v>
      </c>
      <c r="BC111" s="15"/>
      <c r="BD111" s="115">
        <f t="shared" si="49"/>
        <v>1</v>
      </c>
      <c r="BE111" s="47" t="str">
        <f t="shared" si="50"/>
        <v>MJ/-</v>
      </c>
      <c r="BF111" s="15"/>
      <c r="BG111" s="218">
        <f>IFERROR(INDEX(tabellen_EMD!$C$240:$Z$248,MATCH($J111,tabellen_EMD!$C$240:$C$248,0),MATCH($B111,tabellen_EMD!$C$240:$Z$240,0))*(F111&lt;&gt;"zomercomfort"),0)</f>
        <v>0</v>
      </c>
      <c r="BH111" s="47" t="str">
        <f t="shared" si="51"/>
        <v>kg/-</v>
      </c>
      <c r="BI111" s="15"/>
    </row>
    <row r="112" spans="1:61" hidden="1">
      <c r="A112" s="86"/>
      <c r="B112" s="47" t="str">
        <f t="shared" si="39"/>
        <v>Uniec 2 per functie</v>
      </c>
      <c r="C112" s="47" t="str">
        <f t="shared" si="39"/>
        <v>NEN 7120</v>
      </c>
      <c r="D112" s="943"/>
      <c r="E112" s="14"/>
      <c r="F112" s="209" t="s">
        <v>1502</v>
      </c>
      <c r="G112" s="209"/>
      <c r="H112" s="209"/>
      <c r="I112" s="905"/>
      <c r="J112" s="1691" t="s">
        <v>465</v>
      </c>
      <c r="K112" s="1698"/>
      <c r="L112" s="16"/>
      <c r="M112" s="25"/>
      <c r="N112" s="22" t="str">
        <f t="shared" si="42"/>
        <v>MJ</v>
      </c>
      <c r="O112" s="15"/>
      <c r="P112" s="39"/>
      <c r="Q112" s="59">
        <f t="shared" si="43"/>
        <v>2.56</v>
      </c>
      <c r="R112" s="15"/>
      <c r="S112" s="24">
        <f t="shared" si="44"/>
        <v>0</v>
      </c>
      <c r="T112" s="47" t="str">
        <f>IFERROR(INDEX(energiedragers_EP_eenheden,MATCH($J112,tabellen_EMD!$C$196:$C$204,0),MATCH($B112,energiedragers_EP_eenheden_titel,0)),"-")</f>
        <v>kWh</v>
      </c>
      <c r="U112" s="39"/>
      <c r="V112" s="15"/>
      <c r="W112" s="59">
        <f t="shared" si="45"/>
        <v>0.56499999999999995</v>
      </c>
      <c r="X112" s="47" t="str">
        <f t="shared" si="46"/>
        <v>kg/kWh</v>
      </c>
      <c r="Y112" s="12"/>
      <c r="Z112" s="24">
        <f t="shared" si="47"/>
        <v>0</v>
      </c>
      <c r="AA112" s="47" t="s">
        <v>468</v>
      </c>
      <c r="AB112" s="67"/>
      <c r="AC112" s="995"/>
      <c r="AD112" s="1405"/>
      <c r="AE112" s="1405"/>
      <c r="AF112" s="1405"/>
      <c r="AG112" s="1405"/>
      <c r="AH112" s="1405"/>
      <c r="AI112" s="1405"/>
      <c r="AJ112" s="1405"/>
      <c r="AK112" s="1405"/>
      <c r="AL112" s="1405"/>
      <c r="AM112" s="1405"/>
      <c r="AN112" s="1405"/>
      <c r="AO112" s="1405"/>
      <c r="AP112" s="1405"/>
      <c r="AQ112" s="1405"/>
      <c r="AR112" s="1405"/>
      <c r="AS112" s="67"/>
      <c r="AT112" s="995"/>
      <c r="AU112" s="12"/>
      <c r="AV112" s="22" t="str">
        <f t="shared" si="40"/>
        <v>hulpenergie</v>
      </c>
      <c r="AW112" s="46" t="str">
        <f t="shared" si="41"/>
        <v>elektriciteit</v>
      </c>
      <c r="AX112" s="115"/>
      <c r="AY112" s="12"/>
      <c r="AZ112" s="115">
        <v>1</v>
      </c>
      <c r="BA112" s="24">
        <f>IFERROR(INDEX(tabellen_EMD!$C$185:$N$193,MATCH($J112,tabellen_EMD!$C$185:$C$193,0),MATCH(BA$63,tabellen_EMD!$C$185:$N$185,0)),0)</f>
        <v>0</v>
      </c>
      <c r="BB112" s="115">
        <f t="shared" si="48"/>
        <v>2.56</v>
      </c>
      <c r="BC112" s="15"/>
      <c r="BD112" s="115">
        <f t="shared" si="49"/>
        <v>3.6</v>
      </c>
      <c r="BE112" s="47" t="str">
        <f t="shared" si="50"/>
        <v>MJ/kWh</v>
      </c>
      <c r="BF112" s="15"/>
      <c r="BG112" s="218">
        <f>IFERROR(INDEX(tabellen_EMD!$C$240:$Z$248,MATCH($J112,tabellen_EMD!$C$240:$C$248,0),MATCH($B112,tabellen_EMD!$C$240:$Z$240,0))*(F112&lt;&gt;"zomercomfort"),0)</f>
        <v>0.56499999999999995</v>
      </c>
      <c r="BH112" s="47" t="str">
        <f t="shared" si="51"/>
        <v>kg/kWh</v>
      </c>
      <c r="BI112" s="15"/>
    </row>
    <row r="113" spans="1:61" hidden="1">
      <c r="A113" s="86"/>
      <c r="B113" s="47" t="str">
        <f t="shared" si="39"/>
        <v>Uniec 2 per functie</v>
      </c>
      <c r="C113" s="47" t="str">
        <f t="shared" si="39"/>
        <v>NEN 7120</v>
      </c>
      <c r="D113" s="943"/>
      <c r="E113" s="14"/>
      <c r="F113" s="22" t="s">
        <v>1508</v>
      </c>
      <c r="G113" s="22"/>
      <c r="H113" s="22"/>
      <c r="I113" s="905"/>
      <c r="J113" s="1685"/>
      <c r="K113" s="1685"/>
      <c r="L113" s="16"/>
      <c r="M113" s="25"/>
      <c r="N113" s="22" t="str">
        <f t="shared" si="42"/>
        <v>MJ</v>
      </c>
      <c r="O113" s="15"/>
      <c r="P113" s="1326"/>
      <c r="Q113" s="59">
        <f t="shared" si="43"/>
        <v>1</v>
      </c>
      <c r="R113" s="15"/>
      <c r="S113" s="59">
        <f t="shared" si="44"/>
        <v>0</v>
      </c>
      <c r="T113" s="47" t="str">
        <f>IFERROR(INDEX(energiedragers_EP_eenheden,MATCH($J113,tabellen_EMD!$C$196:$C$204,0),MATCH($B113,energiedragers_EP_eenheden_titel,0)),"-")</f>
        <v>-</v>
      </c>
      <c r="U113" s="39"/>
      <c r="V113" s="154"/>
      <c r="W113" s="59">
        <f t="shared" si="45"/>
        <v>0</v>
      </c>
      <c r="X113" s="47" t="str">
        <f t="shared" si="46"/>
        <v>kg/-</v>
      </c>
      <c r="Y113" s="12"/>
      <c r="Z113" s="24">
        <f t="shared" si="47"/>
        <v>0</v>
      </c>
      <c r="AA113" s="47" t="s">
        <v>468</v>
      </c>
      <c r="AB113" s="67"/>
      <c r="AC113" s="995"/>
      <c r="AD113" s="1405"/>
      <c r="AE113" s="1405"/>
      <c r="AF113" s="1405"/>
      <c r="AG113" s="1405"/>
      <c r="AH113" s="1405"/>
      <c r="AI113" s="1405"/>
      <c r="AJ113" s="1405"/>
      <c r="AK113" s="1405"/>
      <c r="AL113" s="1405"/>
      <c r="AM113" s="1405"/>
      <c r="AN113" s="1405"/>
      <c r="AO113" s="1405"/>
      <c r="AP113" s="1405"/>
      <c r="AQ113" s="1405"/>
      <c r="AR113" s="1405"/>
      <c r="AS113" s="67"/>
      <c r="AT113" s="995"/>
      <c r="AU113" s="12"/>
      <c r="AV113" s="22" t="str">
        <f t="shared" si="40"/>
        <v>koeling (excl. hulpenergie)</v>
      </c>
      <c r="AW113" s="46">
        <f t="shared" si="41"/>
        <v>0</v>
      </c>
      <c r="AX113" s="115"/>
      <c r="AY113" s="12"/>
      <c r="AZ113" s="115">
        <v>1</v>
      </c>
      <c r="BA113" s="24">
        <f>IFERROR(INDEX(tabellen_EMD!$C$185:$N$193,MATCH($J113,tabellen_EMD!$C$185:$C$193,0),MATCH(BA$63,tabellen_EMD!$C$185:$N$185,0)),0)</f>
        <v>0</v>
      </c>
      <c r="BB113" s="115" t="e">
        <f t="shared" si="48"/>
        <v>#N/A</v>
      </c>
      <c r="BC113" s="15"/>
      <c r="BD113" s="115">
        <f t="shared" si="49"/>
        <v>1</v>
      </c>
      <c r="BE113" s="47" t="str">
        <f t="shared" si="50"/>
        <v>MJ/-</v>
      </c>
      <c r="BF113" s="15"/>
      <c r="BG113" s="218">
        <f>IFERROR(INDEX(tabellen_EMD!$C$240:$Z$248,MATCH($J113,tabellen_EMD!$C$240:$C$248,0),MATCH($B113,tabellen_EMD!$C$240:$Z$240,0))*(F113&lt;&gt;"zomercomfort"),0)</f>
        <v>0</v>
      </c>
      <c r="BH113" s="47" t="str">
        <f t="shared" si="51"/>
        <v>kg/-</v>
      </c>
      <c r="BI113" s="15"/>
    </row>
    <row r="114" spans="1:61" hidden="1">
      <c r="A114" s="86"/>
      <c r="B114" s="47" t="str">
        <f t="shared" si="39"/>
        <v>Uniec 2 per functie</v>
      </c>
      <c r="C114" s="47" t="str">
        <f t="shared" si="39"/>
        <v>NEN 7120</v>
      </c>
      <c r="D114" s="943"/>
      <c r="E114" s="14"/>
      <c r="F114" s="209" t="s">
        <v>1502</v>
      </c>
      <c r="G114" s="209"/>
      <c r="H114" s="209"/>
      <c r="I114" s="905"/>
      <c r="J114" s="1691" t="s">
        <v>465</v>
      </c>
      <c r="K114" s="1698"/>
      <c r="L114" s="16"/>
      <c r="M114" s="25"/>
      <c r="N114" s="22" t="str">
        <f t="shared" si="42"/>
        <v>MJ</v>
      </c>
      <c r="O114" s="15"/>
      <c r="P114" s="39"/>
      <c r="Q114" s="59">
        <f t="shared" si="43"/>
        <v>2.56</v>
      </c>
      <c r="R114" s="15"/>
      <c r="S114" s="24">
        <f t="shared" si="44"/>
        <v>0</v>
      </c>
      <c r="T114" s="47" t="str">
        <f>IFERROR(INDEX(energiedragers_EP_eenheden,MATCH($J114,tabellen_EMD!$C$196:$C$204,0),MATCH($B114,energiedragers_EP_eenheden_titel,0)),"-")</f>
        <v>kWh</v>
      </c>
      <c r="U114" s="39"/>
      <c r="V114" s="15"/>
      <c r="W114" s="59">
        <f t="shared" si="45"/>
        <v>0.56499999999999995</v>
      </c>
      <c r="X114" s="47" t="str">
        <f t="shared" si="46"/>
        <v>kg/kWh</v>
      </c>
      <c r="Y114" s="12"/>
      <c r="Z114" s="24">
        <f t="shared" si="47"/>
        <v>0</v>
      </c>
      <c r="AA114" s="47" t="s">
        <v>468</v>
      </c>
      <c r="AB114" s="67"/>
      <c r="AC114" s="995"/>
      <c r="AD114" s="1405"/>
      <c r="AE114" s="1405"/>
      <c r="AF114" s="1405"/>
      <c r="AG114" s="1405"/>
      <c r="AH114" s="1405"/>
      <c r="AI114" s="1405"/>
      <c r="AJ114" s="1405"/>
      <c r="AK114" s="1405"/>
      <c r="AL114" s="1405"/>
      <c r="AM114" s="1405"/>
      <c r="AN114" s="1405"/>
      <c r="AO114" s="1405"/>
      <c r="AP114" s="1405"/>
      <c r="AQ114" s="1405"/>
      <c r="AR114" s="1405"/>
      <c r="AS114" s="67"/>
      <c r="AT114" s="995"/>
      <c r="AU114" s="12"/>
      <c r="AV114" s="22" t="str">
        <f t="shared" si="40"/>
        <v>hulpenergie</v>
      </c>
      <c r="AW114" s="46" t="str">
        <f t="shared" si="41"/>
        <v>elektriciteit</v>
      </c>
      <c r="AX114" s="115"/>
      <c r="AY114" s="12"/>
      <c r="AZ114" s="115">
        <v>1</v>
      </c>
      <c r="BA114" s="24">
        <f>IFERROR(INDEX(tabellen_EMD!$C$185:$N$193,MATCH($J114,tabellen_EMD!$C$185:$C$193,0),MATCH(BA$63,tabellen_EMD!$C$185:$N$185,0)),0)</f>
        <v>0</v>
      </c>
      <c r="BB114" s="115">
        <f t="shared" si="48"/>
        <v>2.56</v>
      </c>
      <c r="BC114" s="15"/>
      <c r="BD114" s="115">
        <f t="shared" si="49"/>
        <v>3.6</v>
      </c>
      <c r="BE114" s="47" t="str">
        <f t="shared" si="50"/>
        <v>MJ/kWh</v>
      </c>
      <c r="BF114" s="15"/>
      <c r="BG114" s="218">
        <f>IFERROR(INDEX(tabellen_EMD!$C$240:$Z$248,MATCH($J114,tabellen_EMD!$C$240:$C$248,0),MATCH($B114,tabellen_EMD!$C$240:$Z$240,0))*(F114&lt;&gt;"zomercomfort"),0)</f>
        <v>0.56499999999999995</v>
      </c>
      <c r="BH114" s="47" t="str">
        <f t="shared" si="51"/>
        <v>kg/kWh</v>
      </c>
      <c r="BI114" s="15"/>
    </row>
    <row r="115" spans="1:61" hidden="1">
      <c r="A115" s="18"/>
      <c r="B115" s="47" t="str">
        <f t="shared" si="39"/>
        <v>Uniec 2 per functie</v>
      </c>
      <c r="C115" s="47" t="str">
        <f t="shared" si="39"/>
        <v>NEN 7120</v>
      </c>
      <c r="D115" s="943"/>
      <c r="E115" s="14"/>
      <c r="F115" s="22" t="s">
        <v>1396</v>
      </c>
      <c r="G115" s="22"/>
      <c r="H115" s="22"/>
      <c r="I115" s="905"/>
      <c r="J115" s="1691" t="s">
        <v>465</v>
      </c>
      <c r="K115" s="1698"/>
      <c r="L115" s="16"/>
      <c r="M115" s="25"/>
      <c r="N115" s="22" t="str">
        <f t="shared" si="42"/>
        <v>MJ</v>
      </c>
      <c r="O115" s="15"/>
      <c r="P115" s="39"/>
      <c r="Q115" s="59">
        <f t="shared" si="43"/>
        <v>2.56</v>
      </c>
      <c r="R115" s="15"/>
      <c r="S115" s="24">
        <f t="shared" si="44"/>
        <v>0</v>
      </c>
      <c r="T115" s="47" t="str">
        <f>IFERROR(INDEX(energiedragers_EP_eenheden,MATCH($J115,tabellen_EMD!$C$196:$C$204,0),MATCH($B115,energiedragers_EP_eenheden_titel,0)),"-")</f>
        <v>kWh</v>
      </c>
      <c r="U115" s="39"/>
      <c r="V115" s="15"/>
      <c r="W115" s="59">
        <f t="shared" si="45"/>
        <v>0</v>
      </c>
      <c r="X115" s="47" t="str">
        <f t="shared" si="46"/>
        <v>kg/kWh</v>
      </c>
      <c r="Y115" s="12"/>
      <c r="Z115" s="24">
        <f t="shared" si="47"/>
        <v>0</v>
      </c>
      <c r="AA115" s="47" t="s">
        <v>468</v>
      </c>
      <c r="AB115" s="67"/>
      <c r="AC115" s="995"/>
      <c r="AD115" s="1405"/>
      <c r="AE115" s="1405"/>
      <c r="AF115" s="1405"/>
      <c r="AG115" s="1405"/>
      <c r="AH115" s="1405"/>
      <c r="AI115" s="1405"/>
      <c r="AJ115" s="1405"/>
      <c r="AK115" s="1405"/>
      <c r="AL115" s="1405"/>
      <c r="AM115" s="1405"/>
      <c r="AN115" s="1405"/>
      <c r="AO115" s="1405"/>
      <c r="AP115" s="1405"/>
      <c r="AQ115" s="1405"/>
      <c r="AR115" s="1405"/>
      <c r="AS115" s="67"/>
      <c r="AT115" s="995"/>
      <c r="AU115" s="12"/>
      <c r="AV115" s="22" t="str">
        <f t="shared" si="40"/>
        <v>zomercomfort</v>
      </c>
      <c r="AW115" s="46" t="str">
        <f t="shared" si="41"/>
        <v>elektriciteit</v>
      </c>
      <c r="AX115" s="115"/>
      <c r="AY115" s="12"/>
      <c r="AZ115" s="115">
        <v>1</v>
      </c>
      <c r="BA115" s="24">
        <f>IFERROR(INDEX(tabellen_EMD!$C$185:$N$193,MATCH($J115,tabellen_EMD!$C$185:$C$193,0),MATCH(BA$63,tabellen_EMD!$C$185:$N$185,0)),0)</f>
        <v>0</v>
      </c>
      <c r="BB115" s="115">
        <f t="shared" si="48"/>
        <v>2.56</v>
      </c>
      <c r="BC115" s="15"/>
      <c r="BD115" s="115">
        <f t="shared" si="49"/>
        <v>3.6</v>
      </c>
      <c r="BE115" s="47" t="str">
        <f t="shared" si="50"/>
        <v>MJ/kWh</v>
      </c>
      <c r="BF115" s="15"/>
      <c r="BG115" s="218">
        <f>IFERROR(INDEX(tabellen_EMD!$C$240:$Z$248,MATCH($J115,tabellen_EMD!$C$240:$C$248,0),MATCH($B115,tabellen_EMD!$C$240:$Z$240,0))*(F115&lt;&gt;"zomercomfort"),0)</f>
        <v>0</v>
      </c>
      <c r="BH115" s="47" t="str">
        <f t="shared" si="51"/>
        <v>kg/kWh</v>
      </c>
      <c r="BI115" s="15"/>
    </row>
    <row r="116" spans="1:61" hidden="1">
      <c r="A116" s="18"/>
      <c r="B116" s="47" t="str">
        <f t="shared" si="39"/>
        <v>Uniec 2 per functie</v>
      </c>
      <c r="C116" s="47" t="str">
        <f t="shared" si="39"/>
        <v>NEN 7120</v>
      </c>
      <c r="D116" s="943"/>
      <c r="E116" s="14"/>
      <c r="F116" s="22" t="s">
        <v>1375</v>
      </c>
      <c r="G116" s="22"/>
      <c r="H116" s="22"/>
      <c r="I116" s="905"/>
      <c r="J116" s="1691" t="s">
        <v>465</v>
      </c>
      <c r="K116" s="1698"/>
      <c r="L116" s="16"/>
      <c r="M116" s="25"/>
      <c r="N116" s="22" t="str">
        <f t="shared" si="42"/>
        <v>MJ</v>
      </c>
      <c r="O116" s="15"/>
      <c r="P116" s="39"/>
      <c r="Q116" s="59">
        <f t="shared" si="43"/>
        <v>2.56</v>
      </c>
      <c r="R116" s="15"/>
      <c r="S116" s="24">
        <f t="shared" si="44"/>
        <v>0</v>
      </c>
      <c r="T116" s="47" t="str">
        <f>IFERROR(INDEX(energiedragers_EP_eenheden,MATCH($J116,tabellen_EMD!$C$196:$C$204,0),MATCH($B116,energiedragers_EP_eenheden_titel,0)),"-")</f>
        <v>kWh</v>
      </c>
      <c r="U116" s="39"/>
      <c r="V116" s="15"/>
      <c r="W116" s="59">
        <f t="shared" si="45"/>
        <v>0.56499999999999995</v>
      </c>
      <c r="X116" s="47" t="str">
        <f t="shared" si="46"/>
        <v>kg/kWh</v>
      </c>
      <c r="Y116" s="12"/>
      <c r="Z116" s="24">
        <f t="shared" si="47"/>
        <v>0</v>
      </c>
      <c r="AA116" s="47" t="s">
        <v>468</v>
      </c>
      <c r="AB116" s="67"/>
      <c r="AC116" s="995"/>
      <c r="AD116" s="1405"/>
      <c r="AE116" s="1405"/>
      <c r="AF116" s="1405"/>
      <c r="AG116" s="1405"/>
      <c r="AH116" s="1405"/>
      <c r="AI116" s="1405"/>
      <c r="AJ116" s="1405"/>
      <c r="AK116" s="1405"/>
      <c r="AL116" s="1405"/>
      <c r="AM116" s="1405"/>
      <c r="AN116" s="1405"/>
      <c r="AO116" s="1405"/>
      <c r="AP116" s="1405"/>
      <c r="AQ116" s="1405"/>
      <c r="AR116" s="1405"/>
      <c r="AS116" s="67"/>
      <c r="AT116" s="995"/>
      <c r="AU116" s="12"/>
      <c r="AV116" s="22" t="str">
        <f t="shared" si="40"/>
        <v>ventilatoren</v>
      </c>
      <c r="AW116" s="46" t="str">
        <f t="shared" si="41"/>
        <v>elektriciteit</v>
      </c>
      <c r="AX116" s="115"/>
      <c r="AY116" s="12"/>
      <c r="AZ116" s="115">
        <v>1</v>
      </c>
      <c r="BA116" s="24">
        <f>IFERROR(INDEX(tabellen_EMD!$C$185:$N$193,MATCH($J116,tabellen_EMD!$C$185:$C$193,0),MATCH(BA$63,tabellen_EMD!$C$185:$N$185,0)),0)</f>
        <v>0</v>
      </c>
      <c r="BB116" s="115">
        <f t="shared" si="48"/>
        <v>2.56</v>
      </c>
      <c r="BC116" s="899"/>
      <c r="BD116" s="115">
        <f t="shared" si="49"/>
        <v>3.6</v>
      </c>
      <c r="BE116" s="47" t="str">
        <f t="shared" si="50"/>
        <v>MJ/kWh</v>
      </c>
      <c r="BF116" s="899"/>
      <c r="BG116" s="218">
        <f>IFERROR(INDEX(tabellen_EMD!$C$240:$Z$248,MATCH($J116,tabellen_EMD!$C$240:$C$248,0),MATCH($B116,tabellen_EMD!$C$240:$Z$240,0))*(F116&lt;&gt;"zomercomfort"),0)</f>
        <v>0.56499999999999995</v>
      </c>
      <c r="BH116" s="47" t="str">
        <f t="shared" si="51"/>
        <v>kg/kWh</v>
      </c>
      <c r="BI116" s="899"/>
    </row>
    <row r="117" spans="1:61" s="18" customFormat="1" hidden="1">
      <c r="A117" s="86"/>
      <c r="B117" s="47" t="str">
        <f t="shared" si="39"/>
        <v>Uniec 2 per functie</v>
      </c>
      <c r="C117" s="47" t="str">
        <f t="shared" si="39"/>
        <v>NEN 7120</v>
      </c>
      <c r="D117" s="943"/>
      <c r="E117" s="14"/>
      <c r="F117" s="22" t="s">
        <v>507</v>
      </c>
      <c r="G117" s="22"/>
      <c r="H117" s="22"/>
      <c r="I117" s="905"/>
      <c r="J117" s="1691" t="s">
        <v>465</v>
      </c>
      <c r="K117" s="1698"/>
      <c r="L117" s="16"/>
      <c r="M117" s="25"/>
      <c r="N117" s="22" t="str">
        <f t="shared" si="42"/>
        <v>MJ</v>
      </c>
      <c r="O117" s="15"/>
      <c r="P117" s="39"/>
      <c r="Q117" s="59">
        <f t="shared" si="43"/>
        <v>2.56</v>
      </c>
      <c r="R117" s="15"/>
      <c r="S117" s="24">
        <f t="shared" si="44"/>
        <v>0</v>
      </c>
      <c r="T117" s="47" t="str">
        <f>IFERROR(INDEX(energiedragers_EP_eenheden,MATCH($J117,tabellen_EMD!$C$196:$C$204,0),MATCH($B117,energiedragers_EP_eenheden_titel,0)),"-")</f>
        <v>kWh</v>
      </c>
      <c r="U117" s="39"/>
      <c r="V117" s="15"/>
      <c r="W117" s="59">
        <f t="shared" si="45"/>
        <v>0.56499999999999995</v>
      </c>
      <c r="X117" s="47" t="str">
        <f t="shared" si="46"/>
        <v>kg/kWh</v>
      </c>
      <c r="Y117" s="12"/>
      <c r="Z117" s="24">
        <f t="shared" si="47"/>
        <v>0</v>
      </c>
      <c r="AA117" s="47" t="s">
        <v>468</v>
      </c>
      <c r="AB117" s="67"/>
      <c r="AC117" s="995"/>
      <c r="AD117" s="1405"/>
      <c r="AE117" s="1405"/>
      <c r="AF117" s="1405"/>
      <c r="AG117" s="1405"/>
      <c r="AH117" s="1405"/>
      <c r="AI117" s="1405"/>
      <c r="AJ117" s="1405"/>
      <c r="AK117" s="1405"/>
      <c r="AL117" s="1405"/>
      <c r="AM117" s="1405"/>
      <c r="AN117" s="1405"/>
      <c r="AO117" s="1405"/>
      <c r="AP117" s="1405"/>
      <c r="AQ117" s="1405"/>
      <c r="AR117" s="1405"/>
      <c r="AS117" s="67"/>
      <c r="AT117" s="995"/>
      <c r="AU117" s="12"/>
      <c r="AV117" s="22" t="str">
        <f t="shared" si="40"/>
        <v>verlichting</v>
      </c>
      <c r="AW117" s="46" t="str">
        <f t="shared" si="41"/>
        <v>elektriciteit</v>
      </c>
      <c r="AX117" s="115"/>
      <c r="AY117" s="12"/>
      <c r="AZ117" s="115">
        <v>1</v>
      </c>
      <c r="BA117" s="24">
        <f>IFERROR(INDEX(tabellen_EMD!$C$185:$N$193,MATCH($J117,tabellen_EMD!$C$185:$C$193,0),MATCH(BA$63,tabellen_EMD!$C$185:$N$185,0)),0)</f>
        <v>0</v>
      </c>
      <c r="BB117" s="115">
        <f t="shared" si="48"/>
        <v>2.56</v>
      </c>
      <c r="BC117" s="899"/>
      <c r="BD117" s="115">
        <f t="shared" si="49"/>
        <v>3.6</v>
      </c>
      <c r="BE117" s="47" t="str">
        <f t="shared" si="50"/>
        <v>MJ/kWh</v>
      </c>
      <c r="BF117" s="899"/>
      <c r="BG117" s="218">
        <f>IFERROR(INDEX(tabellen_EMD!$C$240:$Z$248,MATCH($J117,tabellen_EMD!$C$240:$C$248,0),MATCH($B117,tabellen_EMD!$C$240:$Z$240,0))*(F117&lt;&gt;"zomercomfort"),0)</f>
        <v>0.56499999999999995</v>
      </c>
      <c r="BH117" s="47" t="str">
        <f t="shared" si="51"/>
        <v>kg/kWh</v>
      </c>
      <c r="BI117" s="899"/>
    </row>
    <row r="118" spans="1:61" hidden="1">
      <c r="A118" s="86"/>
      <c r="B118" s="47" t="str">
        <f t="shared" si="39"/>
        <v>Uniec 2 per functie</v>
      </c>
      <c r="C118" s="47" t="str">
        <f t="shared" si="39"/>
        <v>NEN 7120</v>
      </c>
      <c r="D118" s="943"/>
      <c r="E118" s="14"/>
      <c r="F118" s="22" t="s">
        <v>1503</v>
      </c>
      <c r="G118" s="22"/>
      <c r="H118" s="22"/>
      <c r="I118" s="905"/>
      <c r="J118" s="1691" t="s">
        <v>1538</v>
      </c>
      <c r="K118" s="1698"/>
      <c r="L118" s="16"/>
      <c r="M118" s="25"/>
      <c r="N118" s="22" t="str">
        <f t="shared" si="42"/>
        <v>MJ</v>
      </c>
      <c r="O118" s="15"/>
      <c r="P118" s="39"/>
      <c r="Q118" s="59">
        <f t="shared" si="43"/>
        <v>2</v>
      </c>
      <c r="R118" s="15"/>
      <c r="S118" s="24">
        <f t="shared" si="44"/>
        <v>0</v>
      </c>
      <c r="T118" s="47" t="str">
        <f>IFERROR(INDEX(energiedragers_EP_eenheden,MATCH($J118,tabellen_EMD!$C$196:$C$204,0),MATCH($B118,energiedragers_EP_eenheden_titel,0)),"-")</f>
        <v>kWh</v>
      </c>
      <c r="U118" s="39"/>
      <c r="V118" s="15"/>
      <c r="W118" s="59">
        <f t="shared" si="45"/>
        <v>0.56499999999999995</v>
      </c>
      <c r="X118" s="47" t="str">
        <f t="shared" si="46"/>
        <v>kg/kWh</v>
      </c>
      <c r="Y118" s="12"/>
      <c r="Z118" s="24">
        <f t="shared" si="47"/>
        <v>0</v>
      </c>
      <c r="AA118" s="47" t="s">
        <v>468</v>
      </c>
      <c r="AB118" s="67"/>
      <c r="AC118" s="995"/>
      <c r="AD118" s="1405"/>
      <c r="AE118" s="1405"/>
      <c r="AF118" s="1405"/>
      <c r="AG118" s="1405"/>
      <c r="AH118" s="1405"/>
      <c r="AI118" s="1405"/>
      <c r="AJ118" s="1405"/>
      <c r="AK118" s="1405"/>
      <c r="AL118" s="1405"/>
      <c r="AM118" s="1405"/>
      <c r="AN118" s="1405"/>
      <c r="AO118" s="1405"/>
      <c r="AP118" s="1405"/>
      <c r="AQ118" s="1405"/>
      <c r="AR118" s="1405"/>
      <c r="AS118" s="67"/>
      <c r="AT118" s="995"/>
      <c r="AU118" s="12"/>
      <c r="AV118" s="22" t="str">
        <f t="shared" si="40"/>
        <v>geëxporteerde elektriciteit</v>
      </c>
      <c r="AW118" s="46" t="str">
        <f t="shared" si="41"/>
        <v>elektriciteit geëxporteerd</v>
      </c>
      <c r="AX118" s="115"/>
      <c r="AY118" s="12"/>
      <c r="AZ118" s="115">
        <v>1</v>
      </c>
      <c r="BA118" s="24">
        <f>IFERROR(INDEX(tabellen_EMD!$C$185:$N$193,MATCH($J118,tabellen_EMD!$C$185:$C$193,0),MATCH(BA$63,tabellen_EMD!$C$185:$N$185,0)),0)</f>
        <v>0</v>
      </c>
      <c r="BB118" s="115">
        <f t="shared" si="48"/>
        <v>2</v>
      </c>
      <c r="BC118" s="899"/>
      <c r="BD118" s="115">
        <f t="shared" si="49"/>
        <v>3.6</v>
      </c>
      <c r="BE118" s="47" t="str">
        <f t="shared" si="50"/>
        <v>MJ/kWh</v>
      </c>
      <c r="BF118" s="899"/>
      <c r="BG118" s="218">
        <f>IFERROR(INDEX(tabellen_EMD!$C$240:$Z$248,MATCH($J118,tabellen_EMD!$C$240:$C$248,0),MATCH($B118,tabellen_EMD!$C$240:$Z$240,0))*(F118&lt;&gt;"zomercomfort"),0)</f>
        <v>0.56499999999999995</v>
      </c>
      <c r="BH118" s="47" t="str">
        <f t="shared" si="51"/>
        <v>kg/kWh</v>
      </c>
      <c r="BI118" s="899"/>
    </row>
    <row r="119" spans="1:61" hidden="1">
      <c r="A119" s="86"/>
      <c r="B119" s="47" t="str">
        <f t="shared" si="39"/>
        <v>Uniec 2 per functie</v>
      </c>
      <c r="C119" s="47" t="str">
        <f t="shared" si="39"/>
        <v>NEN 7120</v>
      </c>
      <c r="D119" s="943"/>
      <c r="E119" s="14"/>
      <c r="F119" s="22" t="s">
        <v>1504</v>
      </c>
      <c r="G119" s="22"/>
      <c r="H119" s="22"/>
      <c r="I119" s="905"/>
      <c r="J119" s="1691" t="s">
        <v>466</v>
      </c>
      <c r="K119" s="1698"/>
      <c r="L119" s="16"/>
      <c r="M119" s="25"/>
      <c r="N119" s="22" t="str">
        <f t="shared" si="42"/>
        <v>MJ</v>
      </c>
      <c r="O119" s="15"/>
      <c r="P119" s="39"/>
      <c r="Q119" s="59">
        <f t="shared" si="43"/>
        <v>2.56</v>
      </c>
      <c r="R119" s="15"/>
      <c r="S119" s="24">
        <f t="shared" si="44"/>
        <v>0</v>
      </c>
      <c r="T119" s="47" t="str">
        <f>IFERROR(INDEX(energiedragers_EP_eenheden,MATCH($J119,tabellen_EMD!$C$196:$C$204,0),MATCH($B119,energiedragers_EP_eenheden_titel,0)),"-")</f>
        <v>kWh</v>
      </c>
      <c r="U119" s="39"/>
      <c r="V119" s="15"/>
      <c r="W119" s="59">
        <f t="shared" si="45"/>
        <v>0.56499999999999995</v>
      </c>
      <c r="X119" s="47" t="str">
        <f t="shared" si="46"/>
        <v>kg/kWh</v>
      </c>
      <c r="Y119" s="12"/>
      <c r="Z119" s="24">
        <f t="shared" si="47"/>
        <v>0</v>
      </c>
      <c r="AA119" s="47" t="s">
        <v>468</v>
      </c>
      <c r="AB119" s="67"/>
      <c r="AC119" s="995"/>
      <c r="AD119" s="1405"/>
      <c r="AE119" s="1405"/>
      <c r="AF119" s="1405"/>
      <c r="AG119" s="1405"/>
      <c r="AH119" s="1405"/>
      <c r="AI119" s="1405"/>
      <c r="AJ119" s="1405"/>
      <c r="AK119" s="1405"/>
      <c r="AL119" s="1405"/>
      <c r="AM119" s="1405"/>
      <c r="AN119" s="1405"/>
      <c r="AO119" s="1405"/>
      <c r="AP119" s="1405"/>
      <c r="AQ119" s="1405"/>
      <c r="AR119" s="1405"/>
      <c r="AS119" s="67"/>
      <c r="AT119" s="995"/>
      <c r="AU119" s="12"/>
      <c r="AV119" s="22" t="str">
        <f t="shared" si="40"/>
        <v>op eigen perceel opgewekte &amp; verbruikte elektriciteit</v>
      </c>
      <c r="AW119" s="46" t="str">
        <f t="shared" si="41"/>
        <v>elektriciteit opgewekt</v>
      </c>
      <c r="AX119" s="115"/>
      <c r="AY119" s="12"/>
      <c r="AZ119" s="115">
        <v>1</v>
      </c>
      <c r="BA119" s="24">
        <f>IFERROR(INDEX(tabellen_EMD!$C$185:$N$193,MATCH($J119,tabellen_EMD!$C$185:$C$193,0),MATCH(BA$63,tabellen_EMD!$C$185:$N$185,0)),0)</f>
        <v>0</v>
      </c>
      <c r="BB119" s="115">
        <f t="shared" si="48"/>
        <v>2.56</v>
      </c>
      <c r="BC119" s="899"/>
      <c r="BD119" s="115">
        <f t="shared" si="49"/>
        <v>3.6</v>
      </c>
      <c r="BE119" s="47" t="str">
        <f t="shared" si="50"/>
        <v>MJ/kWh</v>
      </c>
      <c r="BF119" s="899"/>
      <c r="BG119" s="218">
        <f>IFERROR(INDEX(tabellen_EMD!$C$240:$Z$248,MATCH($J119,tabellen_EMD!$C$240:$C$248,0),MATCH($B119,tabellen_EMD!$C$240:$Z$240,0))*(F119&lt;&gt;"zomercomfort"),0)</f>
        <v>0.56499999999999995</v>
      </c>
      <c r="BH119" s="47" t="str">
        <f t="shared" si="51"/>
        <v>kg/kWh</v>
      </c>
      <c r="BI119" s="899"/>
    </row>
    <row r="120" spans="1:61" hidden="1">
      <c r="A120" s="86"/>
      <c r="B120" s="47" t="str">
        <f t="shared" si="39"/>
        <v>Uniec 2 per functie</v>
      </c>
      <c r="C120" s="47" t="str">
        <f t="shared" si="39"/>
        <v>NEN 7120</v>
      </c>
      <c r="D120" s="943"/>
      <c r="E120" s="14"/>
      <c r="F120" s="22" t="s">
        <v>1505</v>
      </c>
      <c r="G120" s="22"/>
      <c r="H120" s="22"/>
      <c r="I120" s="905"/>
      <c r="J120" s="1691" t="s">
        <v>466</v>
      </c>
      <c r="K120" s="1698"/>
      <c r="L120" s="16"/>
      <c r="M120" s="25"/>
      <c r="N120" s="22" t="str">
        <f t="shared" si="42"/>
        <v>MJ</v>
      </c>
      <c r="O120" s="15"/>
      <c r="P120" s="39"/>
      <c r="Q120" s="59">
        <f t="shared" si="43"/>
        <v>2.56</v>
      </c>
      <c r="R120" s="15"/>
      <c r="S120" s="24">
        <f t="shared" si="44"/>
        <v>0</v>
      </c>
      <c r="T120" s="47" t="str">
        <f>IFERROR(INDEX(energiedragers_EP_eenheden,MATCH($J120,tabellen_EMD!$C$196:$C$204,0),MATCH($B120,energiedragers_EP_eenheden_titel,0)),"-")</f>
        <v>kWh</v>
      </c>
      <c r="U120" s="39"/>
      <c r="V120" s="15"/>
      <c r="W120" s="59">
        <f t="shared" si="45"/>
        <v>0.56499999999999995</v>
      </c>
      <c r="X120" s="47" t="str">
        <f t="shared" si="46"/>
        <v>kg/kWh</v>
      </c>
      <c r="Y120" s="12"/>
      <c r="Z120" s="24">
        <f t="shared" si="47"/>
        <v>0</v>
      </c>
      <c r="AA120" s="47" t="s">
        <v>468</v>
      </c>
      <c r="AB120" s="67"/>
      <c r="AC120" s="995"/>
      <c r="AD120" s="1405"/>
      <c r="AE120" s="1405"/>
      <c r="AF120" s="1405"/>
      <c r="AG120" s="1405"/>
      <c r="AH120" s="1405"/>
      <c r="AI120" s="1405"/>
      <c r="AJ120" s="1405"/>
      <c r="AK120" s="1405"/>
      <c r="AL120" s="1405"/>
      <c r="AM120" s="1405"/>
      <c r="AN120" s="1405"/>
      <c r="AO120" s="1405"/>
      <c r="AP120" s="1405"/>
      <c r="AQ120" s="1405"/>
      <c r="AR120" s="1405"/>
      <c r="AS120" s="67"/>
      <c r="AT120" s="995"/>
      <c r="AU120" s="12"/>
      <c r="AV120" s="22" t="str">
        <f t="shared" si="40"/>
        <v>in het gebied opgewekte elektriciteit</v>
      </c>
      <c r="AW120" s="46" t="str">
        <f t="shared" si="41"/>
        <v>elektriciteit opgewekt</v>
      </c>
      <c r="AX120" s="115"/>
      <c r="AY120" s="12"/>
      <c r="AZ120" s="115">
        <v>1</v>
      </c>
      <c r="BA120" s="24">
        <f>IFERROR(INDEX(tabellen_EMD!$C$185:$N$193,MATCH($J120,tabellen_EMD!$C$185:$C$193,0),MATCH(BA$63,tabellen_EMD!$C$185:$N$185,0)),0)</f>
        <v>0</v>
      </c>
      <c r="BB120" s="115">
        <f t="shared" si="48"/>
        <v>2.56</v>
      </c>
      <c r="BC120" s="899"/>
      <c r="BD120" s="115">
        <f t="shared" si="49"/>
        <v>3.6</v>
      </c>
      <c r="BE120" s="47" t="str">
        <f t="shared" si="50"/>
        <v>MJ/kWh</v>
      </c>
      <c r="BF120" s="899"/>
      <c r="BG120" s="218">
        <f>IFERROR(INDEX(tabellen_EMD!$C$240:$Z$248,MATCH($J120,tabellen_EMD!$C$240:$C$248,0),MATCH($B120,tabellen_EMD!$C$240:$Z$240,0))*(F120&lt;&gt;"zomercomfort"),0)</f>
        <v>0.56499999999999995</v>
      </c>
      <c r="BH120" s="47" t="str">
        <f t="shared" si="51"/>
        <v>kg/kWh</v>
      </c>
      <c r="BI120" s="899"/>
    </row>
    <row r="121" spans="1:61" s="940" customFormat="1" hidden="1">
      <c r="A121" s="86"/>
      <c r="B121" s="47" t="str">
        <f t="shared" si="39"/>
        <v>Uniec 2 per functie</v>
      </c>
      <c r="C121" s="47" t="str">
        <f t="shared" si="39"/>
        <v>NEN 7120</v>
      </c>
      <c r="D121" s="943"/>
      <c r="E121" s="14"/>
      <c r="F121" s="15" t="s">
        <v>1391</v>
      </c>
      <c r="G121" s="15"/>
      <c r="H121" s="15"/>
      <c r="I121" s="905"/>
      <c r="J121" s="43" t="s">
        <v>1391</v>
      </c>
      <c r="K121" s="43"/>
      <c r="L121" s="16"/>
      <c r="M121" s="950">
        <f>SUM(M109:M117)-SUM(M118:M120)</f>
        <v>0</v>
      </c>
      <c r="N121" s="15" t="str">
        <f t="shared" si="42"/>
        <v>MJ</v>
      </c>
      <c r="O121" s="15"/>
      <c r="P121" s="39"/>
      <c r="Q121" s="39"/>
      <c r="R121" s="15"/>
      <c r="S121" s="899"/>
      <c r="T121" s="899"/>
      <c r="U121" s="39"/>
      <c r="V121" s="39"/>
      <c r="W121" s="39"/>
      <c r="X121" s="39"/>
      <c r="Y121" s="12"/>
      <c r="Z121" s="950">
        <f>SUM(Z109:Z117)-SUM(Z118:Z120)</f>
        <v>0</v>
      </c>
      <c r="AA121" s="15" t="s">
        <v>468</v>
      </c>
      <c r="AB121" s="67"/>
      <c r="AC121" s="995"/>
      <c r="AD121" s="1405"/>
      <c r="AE121" s="1405"/>
      <c r="AF121" s="1405"/>
      <c r="AG121" s="1405"/>
      <c r="AH121" s="1405"/>
      <c r="AI121" s="1405"/>
      <c r="AJ121" s="1405"/>
      <c r="AK121" s="1405"/>
      <c r="AL121" s="1405"/>
      <c r="AM121" s="1405"/>
      <c r="AN121" s="1405"/>
      <c r="AO121" s="1405"/>
      <c r="AP121" s="1405"/>
      <c r="AQ121" s="1405"/>
      <c r="AR121" s="1405"/>
      <c r="AS121" s="67"/>
      <c r="AT121" s="995"/>
      <c r="AU121" s="12"/>
      <c r="AV121" s="22" t="str">
        <f t="shared" si="40"/>
        <v>totaal</v>
      </c>
      <c r="AW121" s="46" t="str">
        <f t="shared" si="41"/>
        <v>totaal</v>
      </c>
      <c r="AX121" s="115"/>
      <c r="AY121" s="12"/>
      <c r="AZ121" s="12"/>
      <c r="BA121" s="12"/>
      <c r="BB121" s="12"/>
      <c r="BC121" s="899"/>
      <c r="BD121" s="899"/>
      <c r="BE121" s="899"/>
      <c r="BF121" s="899"/>
      <c r="BG121" s="15"/>
      <c r="BH121" s="15"/>
      <c r="BI121" s="899"/>
    </row>
    <row r="122" spans="1:61" s="49" customFormat="1" hidden="1">
      <c r="A122" s="212"/>
      <c r="B122" s="47" t="str">
        <f t="shared" si="39"/>
        <v>Uniec 2 per functie</v>
      </c>
      <c r="C122" s="47" t="str">
        <f t="shared" si="39"/>
        <v>NEN 7120</v>
      </c>
      <c r="D122" s="943"/>
      <c r="E122" s="50"/>
      <c r="F122" s="452" t="str">
        <f>IFERROR(IF($P$23=$B122,_xlfn.CONCAT("Bij 1.1 ingevuld: ",FIXED($J$35,2,FALSE)," ",$K$35),""),"invoer niet correct")</f>
        <v/>
      </c>
      <c r="G122" s="452"/>
      <c r="H122" s="452"/>
      <c r="I122" s="905"/>
      <c r="J122" s="909" t="str">
        <f>IFERROR(IF($P$23=$B122,IF(ABS((M122-$J$35)/$J$35)&gt;1%,"Afwijking &gt;1% met subthema 1.1",""),""),"invoer niet correct")</f>
        <v/>
      </c>
      <c r="K122" s="909"/>
      <c r="L122" s="910"/>
      <c r="M122" s="1339" t="str">
        <f>IFERROR(IF($P$23=$B122,M121/$J$59,""),"")</f>
        <v/>
      </c>
      <c r="N122" s="452" t="str">
        <f>IF($P$23=$B122,_xlfn.CONCAT(N121,"/m2"),"")</f>
        <v/>
      </c>
      <c r="O122" s="452"/>
      <c r="P122" s="39"/>
      <c r="Q122" s="39"/>
      <c r="R122" s="899"/>
      <c r="S122" s="899"/>
      <c r="T122" s="899"/>
      <c r="U122" s="39"/>
      <c r="V122" s="39"/>
      <c r="W122" s="910" t="str">
        <f>IFERROR(IF($P$23=$B122,_xlfn.CONCAT("Bij 1.1 ingevuld: ",FIXED($AG$40,1,FALSE)," ",$AH$40),""),"invoer niet correct")</f>
        <v/>
      </c>
      <c r="X122" s="909" t="str">
        <f>IFERROR(IF($P$23=$B122,IF(ABS((Z122-$AG$40)/$AG$40)&gt;1%,"afwijking &gt;1% met subthema 1.1",""),""),"invoer niet correct")</f>
        <v/>
      </c>
      <c r="Y122" s="12"/>
      <c r="Z122" s="951" t="str">
        <f>IFERROR(IF($P$23=$B122,Z121/$J$58,""),"")</f>
        <v/>
      </c>
      <c r="AA122" s="452" t="str">
        <f>IF($P$23=$B122,_xlfn.CONCAT(AA121,"/m2"),"")</f>
        <v/>
      </c>
      <c r="AB122" s="1393"/>
      <c r="AC122" s="1001"/>
      <c r="AD122" s="1405"/>
      <c r="AE122" s="1405"/>
      <c r="AF122" s="1405"/>
      <c r="AG122" s="1405"/>
      <c r="AH122" s="1405"/>
      <c r="AI122" s="1405"/>
      <c r="AJ122" s="1405"/>
      <c r="AK122" s="1405"/>
      <c r="AL122" s="1405"/>
      <c r="AM122" s="1405"/>
      <c r="AN122" s="1405"/>
      <c r="AO122" s="1405"/>
      <c r="AP122" s="1405"/>
      <c r="AQ122" s="1405"/>
      <c r="AR122" s="1405"/>
      <c r="AS122" s="1393"/>
      <c r="AT122" s="1001"/>
      <c r="AU122" s="12"/>
      <c r="AV122" s="452"/>
      <c r="AW122" s="452"/>
      <c r="AX122" s="452"/>
      <c r="AY122" s="452"/>
      <c r="AZ122" s="452"/>
      <c r="BA122" s="452"/>
      <c r="BB122" s="452"/>
      <c r="BC122" s="452"/>
      <c r="BD122" s="452"/>
      <c r="BE122" s="452"/>
      <c r="BF122" s="452"/>
      <c r="BG122" s="452"/>
      <c r="BH122" s="452"/>
      <c r="BI122" s="899"/>
    </row>
    <row r="123" spans="1:61" s="49" customFormat="1" hidden="1">
      <c r="B123" s="47" t="str">
        <f t="shared" si="39"/>
        <v>Uniec 2 per functie</v>
      </c>
      <c r="C123" s="47" t="str">
        <f t="shared" si="39"/>
        <v>NEN 7120</v>
      </c>
      <c r="D123" s="943"/>
      <c r="E123" s="50"/>
      <c r="F123" s="43"/>
      <c r="G123" s="43"/>
      <c r="H123" s="43"/>
      <c r="I123" s="905"/>
      <c r="J123" s="44"/>
      <c r="K123" s="44"/>
      <c r="L123" s="44"/>
      <c r="M123" s="917"/>
      <c r="N123" s="44"/>
      <c r="O123" s="44"/>
      <c r="P123" s="39"/>
      <c r="Q123" s="39"/>
      <c r="R123" s="899"/>
      <c r="S123" s="899"/>
      <c r="T123" s="899"/>
      <c r="U123" s="39"/>
      <c r="V123" s="1155"/>
      <c r="W123" s="39"/>
      <c r="X123" s="39"/>
      <c r="Y123" s="12"/>
      <c r="Z123" s="899"/>
      <c r="AA123" s="899"/>
      <c r="AB123" s="1393"/>
      <c r="AC123" s="1001"/>
      <c r="AD123" s="1405"/>
      <c r="AE123" s="1405"/>
      <c r="AF123" s="1405"/>
      <c r="AG123" s="1405"/>
      <c r="AH123" s="1405"/>
      <c r="AI123" s="1405"/>
      <c r="AJ123" s="1405"/>
      <c r="AK123" s="1405"/>
      <c r="AL123" s="1405"/>
      <c r="AM123" s="1405"/>
      <c r="AN123" s="1405"/>
      <c r="AO123" s="1405"/>
      <c r="AP123" s="1405"/>
      <c r="AQ123" s="1405"/>
      <c r="AR123" s="1405"/>
      <c r="AS123" s="1393"/>
      <c r="AT123" s="1001"/>
      <c r="AU123" s="12"/>
      <c r="AV123" s="12"/>
      <c r="AW123" s="12"/>
      <c r="AX123" s="12"/>
      <c r="AY123" s="12"/>
      <c r="AZ123" s="44"/>
      <c r="BA123" s="12"/>
      <c r="BB123" s="44"/>
      <c r="BC123" s="899"/>
      <c r="BD123" s="899"/>
      <c r="BE123" s="899"/>
      <c r="BF123" s="899"/>
      <c r="BG123" s="899"/>
      <c r="BH123" s="899"/>
      <c r="BI123" s="899"/>
    </row>
    <row r="124" spans="1:61" hidden="1">
      <c r="A124" s="86"/>
      <c r="B124" s="939" t="str">
        <f>tabellen_EMD!$C$177</f>
        <v>Uniec 2 finaal</v>
      </c>
      <c r="C124" s="939" t="str">
        <f>VLOOKUP(B124,'ISSO75.3 naar GPR4'!$AV$40:$AY$48,COLUMNS($AV$40:$AX$40),FALSE)</f>
        <v>NEN 7120</v>
      </c>
      <c r="D124" s="943"/>
      <c r="E124" s="14"/>
      <c r="F124" s="15" t="str">
        <f>_xlfn.CONCAT("Overnemen uit '",B124,"': ",VLOOKUP(B124,$AV$41:$AZ$48,COLUMNS($AV$40:$AZ$40),FALSE))</f>
        <v>Overnemen uit 'Uniec 2 finaal': Jaarlijkse hoeveelheid primaire energie voor de energiefunctie</v>
      </c>
      <c r="G124" s="15"/>
      <c r="H124" s="15"/>
      <c r="I124" s="905"/>
      <c r="J124" s="43"/>
      <c r="K124" s="43"/>
      <c r="L124" s="16"/>
      <c r="M124" s="909" t="s">
        <v>1485</v>
      </c>
      <c r="N124" s="41"/>
      <c r="O124" s="41"/>
      <c r="P124" s="453" t="s">
        <v>1487</v>
      </c>
      <c r="Q124" s="39"/>
      <c r="R124" s="39"/>
      <c r="S124" s="453" t="s">
        <v>1484</v>
      </c>
      <c r="T124" s="39"/>
      <c r="U124" s="39"/>
      <c r="V124" s="453" t="s">
        <v>1613</v>
      </c>
      <c r="W124" s="39"/>
      <c r="X124" s="39"/>
      <c r="Y124" s="12"/>
      <c r="Z124" s="453" t="s">
        <v>1536</v>
      </c>
      <c r="AA124" s="12"/>
      <c r="AB124" s="67"/>
      <c r="AC124" s="995"/>
      <c r="AD124" s="1405"/>
      <c r="AE124" s="1405"/>
      <c r="AF124" s="1405"/>
      <c r="AG124" s="1405"/>
      <c r="AH124" s="1405"/>
      <c r="AI124" s="1405"/>
      <c r="AJ124" s="1405"/>
      <c r="AK124" s="1405"/>
      <c r="AL124" s="1405"/>
      <c r="AM124" s="1405"/>
      <c r="AN124" s="1405"/>
      <c r="AO124" s="1405"/>
      <c r="AP124" s="1405"/>
      <c r="AQ124" s="1405"/>
      <c r="AR124" s="1405"/>
      <c r="AS124" s="67"/>
      <c r="AT124" s="995"/>
      <c r="AU124" s="12"/>
      <c r="AV124" s="12"/>
      <c r="AW124" s="12"/>
      <c r="AX124" s="12"/>
      <c r="AY124" s="12"/>
      <c r="AZ124" s="888" t="str">
        <f>AZ$63</f>
        <v>Eenheid energie</v>
      </c>
      <c r="BA124" s="888" t="s">
        <v>1628</v>
      </c>
      <c r="BB124" s="888" t="str">
        <f>BB$63</f>
        <v>PEF finaal → primair</v>
      </c>
      <c r="BC124" s="452"/>
      <c r="BD124" s="452" t="str">
        <f>BD$63</f>
        <v>eenheden omrekenen</v>
      </c>
      <c r="BE124" s="452"/>
      <c r="BF124" s="452"/>
      <c r="BG124" s="888" t="str">
        <f>BG$63</f>
        <v>CO2</v>
      </c>
      <c r="BH124" s="39"/>
      <c r="BI124" s="899"/>
    </row>
    <row r="125" spans="1:61" hidden="1">
      <c r="A125" s="86"/>
      <c r="B125" s="47" t="str">
        <f t="shared" ref="B125:C135" si="52">B124</f>
        <v>Uniec 2 finaal</v>
      </c>
      <c r="C125" s="47" t="str">
        <f t="shared" si="52"/>
        <v>NEN 7120</v>
      </c>
      <c r="D125" s="943"/>
      <c r="E125" s="14"/>
      <c r="F125" s="892" t="s">
        <v>496</v>
      </c>
      <c r="G125" s="892"/>
      <c r="H125" s="892"/>
      <c r="I125" s="905"/>
      <c r="J125" s="909" t="s">
        <v>458</v>
      </c>
      <c r="K125" s="909"/>
      <c r="L125" s="889"/>
      <c r="M125" s="910" t="s">
        <v>1534</v>
      </c>
      <c r="N125" s="452" t="s">
        <v>204</v>
      </c>
      <c r="O125" s="39"/>
      <c r="P125" s="888" t="s">
        <v>1533</v>
      </c>
      <c r="Q125" s="910" t="s">
        <v>1532</v>
      </c>
      <c r="R125" s="452"/>
      <c r="S125" s="888" t="s">
        <v>1534</v>
      </c>
      <c r="T125" s="889" t="s">
        <v>204</v>
      </c>
      <c r="U125" s="39"/>
      <c r="V125" s="888" t="s">
        <v>1533</v>
      </c>
      <c r="W125" s="910" t="s">
        <v>1532</v>
      </c>
      <c r="X125" s="889" t="s">
        <v>204</v>
      </c>
      <c r="Y125" s="12"/>
      <c r="Z125" s="888" t="s">
        <v>1534</v>
      </c>
      <c r="AA125" s="889" t="s">
        <v>204</v>
      </c>
      <c r="AB125" s="67"/>
      <c r="AC125" s="995"/>
      <c r="AD125" s="1405"/>
      <c r="AE125" s="1405"/>
      <c r="AF125" s="1405"/>
      <c r="AG125" s="1405"/>
      <c r="AH125" s="1405"/>
      <c r="AI125" s="1405"/>
      <c r="AJ125" s="1405"/>
      <c r="AK125" s="1405"/>
      <c r="AL125" s="1405"/>
      <c r="AM125" s="1405"/>
      <c r="AN125" s="1405"/>
      <c r="AO125" s="1405"/>
      <c r="AP125" s="1405"/>
      <c r="AQ125" s="1405"/>
      <c r="AR125" s="1405"/>
      <c r="AS125" s="67"/>
      <c r="AT125" s="995"/>
      <c r="AU125" s="12"/>
      <c r="AV125" s="892" t="str">
        <f t="shared" ref="AV125:AV133" si="53">F125</f>
        <v>energiefunctie</v>
      </c>
      <c r="AW125" s="452" t="str">
        <f t="shared" ref="AW125:AW133" si="54">J125</f>
        <v>energiedrager</v>
      </c>
      <c r="AX125" s="910"/>
      <c r="AY125" s="12"/>
      <c r="AZ125" s="888" t="str">
        <f>AZ$64</f>
        <v>pos/neg</v>
      </c>
      <c r="BA125" s="888"/>
      <c r="BB125" s="888" t="str">
        <f>BB$64</f>
        <v>default</v>
      </c>
      <c r="BC125" s="452"/>
      <c r="BD125" s="452" t="str">
        <f>BD$64</f>
        <v>waarde</v>
      </c>
      <c r="BE125" s="452" t="str">
        <f>BE$64</f>
        <v>eenheden</v>
      </c>
      <c r="BF125" s="452"/>
      <c r="BG125" s="888" t="str">
        <f>BG$64</f>
        <v>default</v>
      </c>
      <c r="BH125" s="888" t="str">
        <f>BH$64</f>
        <v>eenheid</v>
      </c>
      <c r="BI125" s="452"/>
    </row>
    <row r="126" spans="1:61" hidden="1">
      <c r="A126" s="86"/>
      <c r="B126" s="47" t="str">
        <f t="shared" si="52"/>
        <v>Uniec 2 finaal</v>
      </c>
      <c r="C126" s="47" t="str">
        <f t="shared" si="52"/>
        <v>NEN 7120</v>
      </c>
      <c r="D126" s="943"/>
      <c r="E126" s="14"/>
      <c r="F126" s="22" t="s">
        <v>498</v>
      </c>
      <c r="G126" s="22"/>
      <c r="H126" s="22"/>
      <c r="I126" s="905"/>
      <c r="J126" s="1691" t="s">
        <v>465</v>
      </c>
      <c r="K126" s="1698"/>
      <c r="L126" s="16"/>
      <c r="M126" s="24">
        <f>Q126*S126*BD126</f>
        <v>0</v>
      </c>
      <c r="N126" s="47" t="str">
        <f t="shared" ref="N126:N133" si="55">INDEX(EP_methode_eenheid,1,MATCH($C126,EP_methode,0))</f>
        <v>MJ</v>
      </c>
      <c r="O126" s="909"/>
      <c r="P126" s="39"/>
      <c r="Q126" s="59">
        <f>IFERROR(IF(AND(P126&lt;&gt;"",$BA126=1),P126,BB126),1)</f>
        <v>2.56</v>
      </c>
      <c r="R126" s="15"/>
      <c r="S126" s="25"/>
      <c r="T126" s="47" t="str">
        <f>IFERROR(INDEX(energiedragers_EP_eenheden,MATCH($J126,tabellen_EMD!$C$196:$C$204,0),MATCH($B126,energiedragers_EP_eenheden_titel,0)),"-")</f>
        <v>kWh</v>
      </c>
      <c r="U126" s="39"/>
      <c r="V126" s="15"/>
      <c r="W126" s="59">
        <f>IF(AND(V126&lt;&gt;"",$BA126=1),V126,BG126)</f>
        <v>0.56499999999999995</v>
      </c>
      <c r="X126" s="47" t="str">
        <f t="shared" ref="X126:X132" si="56">BH126</f>
        <v>kg/kWh</v>
      </c>
      <c r="Y126" s="12"/>
      <c r="Z126" s="24">
        <f>S126*W126*ABS(AZ126)</f>
        <v>0</v>
      </c>
      <c r="AA126" s="47" t="s">
        <v>468</v>
      </c>
      <c r="AB126" s="67"/>
      <c r="AC126" s="995"/>
      <c r="AD126" s="1405"/>
      <c r="AE126" s="1405"/>
      <c r="AF126" s="1405"/>
      <c r="AG126" s="1405"/>
      <c r="AH126" s="1405"/>
      <c r="AI126" s="1405"/>
      <c r="AJ126" s="1405"/>
      <c r="AK126" s="1405"/>
      <c r="AL126" s="1405"/>
      <c r="AM126" s="1405"/>
      <c r="AN126" s="1405"/>
      <c r="AO126" s="1405"/>
      <c r="AP126" s="1405"/>
      <c r="AQ126" s="1405"/>
      <c r="AR126" s="1405"/>
      <c r="AS126" s="67"/>
      <c r="AT126" s="995"/>
      <c r="AU126" s="12"/>
      <c r="AV126" s="22" t="str">
        <f t="shared" si="53"/>
        <v>elektriciteit: gebouwgebonden installaties</v>
      </c>
      <c r="AW126" s="46" t="str">
        <f t="shared" si="54"/>
        <v>elektriciteit</v>
      </c>
      <c r="AX126" s="24"/>
      <c r="AY126" s="12"/>
      <c r="AZ126" s="115">
        <v>1</v>
      </c>
      <c r="BA126" s="24">
        <f>IFERROR(INDEX(tabellen_EMD!$C$185:$N$193,MATCH($J126,tabellen_EMD!$C$185:$C$193,0),MATCH(BA$63,tabellen_EMD!$C$185:$N$185,0)),0)</f>
        <v>0</v>
      </c>
      <c r="BB126" s="115">
        <f>VLOOKUP($J126,energiedragers_EP_PEF,MATCH(_xlfn.CONCAT($C126," | PEF"),energiedragers_EP_PEF_titel,0),FALSE)</f>
        <v>2.56</v>
      </c>
      <c r="BC126" s="899"/>
      <c r="BD126" s="115">
        <f t="shared" ref="BD126:BD132" si="57">IFERROR(VLOOKUP($J126,energiedragers_EP_omrekenen,MATCH($B126,energiedragers_EP_omrekenen_titel,0),FALSE),1)</f>
        <v>3.6</v>
      </c>
      <c r="BE126" s="47" t="str">
        <f t="shared" ref="BE126:BE132" si="58">_xlfn.CONCAT(N126,"/",T126)</f>
        <v>MJ/kWh</v>
      </c>
      <c r="BF126" s="899"/>
      <c r="BG126" s="218">
        <f>IFERROR(INDEX(tabellen_EMD!$C$240:$Z$248,MATCH($J126,tabellen_EMD!$C$240:$C$248,0),MATCH($B126,tabellen_EMD!$C$240:$Z$240,0))*(F126&lt;&gt;"zomercomfort"),0)</f>
        <v>0.56499999999999995</v>
      </c>
      <c r="BH126" s="47" t="str">
        <f t="shared" ref="BH126:BH132" si="59">"kg/"&amp;T126</f>
        <v>kg/kWh</v>
      </c>
      <c r="BI126" s="899"/>
    </row>
    <row r="127" spans="1:61" hidden="1">
      <c r="A127" s="86"/>
      <c r="B127" s="47" t="str">
        <f t="shared" si="52"/>
        <v>Uniec 2 finaal</v>
      </c>
      <c r="C127" s="47" t="str">
        <f t="shared" si="52"/>
        <v>NEN 7120</v>
      </c>
      <c r="D127" s="943"/>
      <c r="E127" s="14"/>
      <c r="F127" s="22" t="s">
        <v>1461</v>
      </c>
      <c r="G127" s="22"/>
      <c r="H127" s="22"/>
      <c r="I127" s="905"/>
      <c r="J127" s="965"/>
      <c r="K127" s="965"/>
      <c r="L127" s="965"/>
      <c r="M127" s="965"/>
      <c r="N127" s="965"/>
      <c r="O127" s="965"/>
      <c r="P127" s="965"/>
      <c r="Q127" s="965"/>
      <c r="R127" s="965"/>
      <c r="S127" s="965"/>
      <c r="T127" s="965"/>
      <c r="U127" s="965"/>
      <c r="V127" s="965"/>
      <c r="W127" s="965"/>
      <c r="X127" s="965"/>
      <c r="Y127" s="965"/>
      <c r="Z127" s="965"/>
      <c r="AA127" s="965"/>
      <c r="AB127" s="67"/>
      <c r="AC127" s="995"/>
      <c r="AD127" s="1405"/>
      <c r="AE127" s="1405"/>
      <c r="AF127" s="1405"/>
      <c r="AG127" s="1405"/>
      <c r="AH127" s="1405"/>
      <c r="AI127" s="1405"/>
      <c r="AJ127" s="1405"/>
      <c r="AK127" s="1405"/>
      <c r="AL127" s="1405"/>
      <c r="AM127" s="1405"/>
      <c r="AN127" s="1405"/>
      <c r="AO127" s="1405"/>
      <c r="AP127" s="1405"/>
      <c r="AQ127" s="1405"/>
      <c r="AR127" s="1405"/>
      <c r="AS127" s="67"/>
      <c r="AT127" s="995"/>
      <c r="AU127" s="12"/>
      <c r="AV127" s="22" t="str">
        <f t="shared" si="53"/>
        <v>elek: niet gebouwgebonden installaties (stelpost)</v>
      </c>
      <c r="AW127" s="46">
        <f t="shared" si="54"/>
        <v>0</v>
      </c>
      <c r="AX127" s="899"/>
      <c r="AY127" s="899"/>
      <c r="AZ127" s="115">
        <v>1</v>
      </c>
      <c r="BA127" s="24">
        <f>IFERROR(INDEX(tabellen_EMD!$C$185:$N$193,MATCH($J127,tabellen_EMD!$C$185:$C$193,0),MATCH(BA$63,tabellen_EMD!$C$185:$N$185,0)),0)</f>
        <v>0</v>
      </c>
      <c r="BB127" s="115" t="e">
        <f>VLOOKUP($J127,energiedragers_EP_PEF,MATCH(_xlfn.CONCAT($C127," | PEF"),energiedragers_EP_PEF_titel,0),FALSE)</f>
        <v>#N/A</v>
      </c>
      <c r="BC127" s="899"/>
      <c r="BD127" s="115">
        <f t="shared" si="57"/>
        <v>1</v>
      </c>
      <c r="BE127" s="47" t="str">
        <f t="shared" si="58"/>
        <v>/</v>
      </c>
      <c r="BF127" s="899"/>
      <c r="BG127" s="218">
        <f>IFERROR(INDEX(tabellen_EMD!$C$240:$Z$248,MATCH($J127,tabellen_EMD!$C$240:$C$248,0),MATCH($B127,tabellen_EMD!$C$240:$Z$240,0))*(F127&lt;&gt;"zomercomfort"),0)</f>
        <v>0</v>
      </c>
      <c r="BH127" s="47" t="str">
        <f t="shared" si="59"/>
        <v>kg/</v>
      </c>
      <c r="BI127" s="899"/>
    </row>
    <row r="128" spans="1:61" hidden="1">
      <c r="A128" s="86"/>
      <c r="B128" s="47" t="str">
        <f t="shared" si="52"/>
        <v>Uniec 2 finaal</v>
      </c>
      <c r="C128" s="47" t="str">
        <f t="shared" si="52"/>
        <v>NEN 7120</v>
      </c>
      <c r="D128" s="943"/>
      <c r="E128" s="14"/>
      <c r="F128" s="22" t="s">
        <v>1462</v>
      </c>
      <c r="G128" s="22"/>
      <c r="H128" s="22"/>
      <c r="I128" s="905"/>
      <c r="J128" s="1691" t="s">
        <v>466</v>
      </c>
      <c r="K128" s="1698"/>
      <c r="L128" s="16"/>
      <c r="M128" s="24">
        <f>Q128*S128*BD128</f>
        <v>0</v>
      </c>
      <c r="N128" s="47" t="str">
        <f t="shared" si="55"/>
        <v>MJ</v>
      </c>
      <c r="O128" s="909"/>
      <c r="P128" s="39"/>
      <c r="Q128" s="59">
        <f>IFERROR(IF(AND(P128&lt;&gt;"",$BA128=1),P128,BB128),1)</f>
        <v>2.56</v>
      </c>
      <c r="R128" s="15"/>
      <c r="S128" s="25"/>
      <c r="T128" s="47" t="str">
        <f>IFERROR(INDEX(energiedragers_EP_eenheden,MATCH($J128,tabellen_EMD!$C$196:$C$204,0),MATCH($B128,energiedragers_EP_eenheden_titel,0)),"-")</f>
        <v>kWh</v>
      </c>
      <c r="U128" s="39"/>
      <c r="V128" s="15"/>
      <c r="W128" s="59">
        <f>IF(AND(V128&lt;&gt;"",$BA128=1),V128,BG128)</f>
        <v>0.56499999999999995</v>
      </c>
      <c r="X128" s="47" t="str">
        <f t="shared" si="56"/>
        <v>kg/kWh</v>
      </c>
      <c r="Y128" s="12"/>
      <c r="Z128" s="24">
        <f>S128*W128*ABS(AZ128)</f>
        <v>0</v>
      </c>
      <c r="AA128" s="47" t="s">
        <v>468</v>
      </c>
      <c r="AB128" s="67"/>
      <c r="AC128" s="995"/>
      <c r="AD128" s="1405"/>
      <c r="AE128" s="1405"/>
      <c r="AF128" s="1405"/>
      <c r="AG128" s="1405"/>
      <c r="AH128" s="1405"/>
      <c r="AI128" s="1405"/>
      <c r="AJ128" s="1405"/>
      <c r="AK128" s="1405"/>
      <c r="AL128" s="1405"/>
      <c r="AM128" s="1405"/>
      <c r="AN128" s="1405"/>
      <c r="AO128" s="1405"/>
      <c r="AP128" s="1405"/>
      <c r="AQ128" s="1405"/>
      <c r="AR128" s="1405"/>
      <c r="AS128" s="67"/>
      <c r="AT128" s="995"/>
      <c r="AU128" s="12"/>
      <c r="AV128" s="22" t="str">
        <f t="shared" si="53"/>
        <v>opgewekte &amp; verbruikte elektriciteit</v>
      </c>
      <c r="AW128" s="46" t="str">
        <f t="shared" si="54"/>
        <v>elektriciteit opgewekt</v>
      </c>
      <c r="AX128" s="24"/>
      <c r="AY128" s="12"/>
      <c r="AZ128" s="115">
        <v>1</v>
      </c>
      <c r="BA128" s="24">
        <f>IFERROR(INDEX(tabellen_EMD!$C$185:$N$193,MATCH($J128,tabellen_EMD!$C$185:$C$193,0),MATCH(BA$63,tabellen_EMD!$C$185:$N$185,0)),0)</f>
        <v>0</v>
      </c>
      <c r="BB128" s="115">
        <f>VLOOKUP($J128,energiedragers_EP_PEF,MATCH(_xlfn.CONCAT($C128," | PEF"),energiedragers_EP_PEF_titel,0),FALSE)</f>
        <v>2.56</v>
      </c>
      <c r="BC128" s="899"/>
      <c r="BD128" s="115">
        <f t="shared" si="57"/>
        <v>3.6</v>
      </c>
      <c r="BE128" s="47" t="str">
        <f t="shared" si="58"/>
        <v>MJ/kWh</v>
      </c>
      <c r="BF128" s="899"/>
      <c r="BG128" s="218">
        <f>IFERROR(INDEX(tabellen_EMD!$C$240:$Z$248,MATCH($J128,tabellen_EMD!$C$240:$C$248,0),MATCH($B128,tabellen_EMD!$C$240:$Z$240,0))*(F128&lt;&gt;"zomercomfort"),0)</f>
        <v>0.56499999999999995</v>
      </c>
      <c r="BH128" s="47" t="str">
        <f t="shared" si="59"/>
        <v>kg/kWh</v>
      </c>
      <c r="BI128" s="899"/>
    </row>
    <row r="129" spans="1:61" hidden="1">
      <c r="A129" s="86"/>
      <c r="B129" s="47" t="str">
        <f t="shared" si="52"/>
        <v>Uniec 2 finaal</v>
      </c>
      <c r="C129" s="47" t="str">
        <f t="shared" si="52"/>
        <v>NEN 7120</v>
      </c>
      <c r="D129" s="943"/>
      <c r="E129" s="14"/>
      <c r="F129" s="22" t="s">
        <v>1450</v>
      </c>
      <c r="G129" s="22"/>
      <c r="H129" s="22"/>
      <c r="I129" s="905"/>
      <c r="J129" s="1691" t="s">
        <v>463</v>
      </c>
      <c r="K129" s="1698"/>
      <c r="L129" s="16"/>
      <c r="M129" s="24">
        <f>Q129*S129*BD129</f>
        <v>0</v>
      </c>
      <c r="N129" s="47" t="str">
        <f t="shared" si="55"/>
        <v>MJ</v>
      </c>
      <c r="O129" s="909"/>
      <c r="P129" s="39"/>
      <c r="Q129" s="59">
        <f>IFERROR(IF(AND(P129&lt;&gt;"",$BA129=1),P129,BB129),1)</f>
        <v>1</v>
      </c>
      <c r="R129" s="15"/>
      <c r="S129" s="25"/>
      <c r="T129" s="47" t="str">
        <f>IFERROR(INDEX(energiedragers_EP_eenheden,MATCH($J129,tabellen_EMD!$C$196:$C$204,0),MATCH($B129,energiedragers_EP_eenheden_titel,0)),"-")</f>
        <v>m3 aeq</v>
      </c>
      <c r="U129" s="39"/>
      <c r="V129" s="15"/>
      <c r="W129" s="59">
        <f>IF(AND(V129&lt;&gt;"",$BA129=1),V129,BG129)</f>
        <v>1.78</v>
      </c>
      <c r="X129" s="47" t="str">
        <f t="shared" si="56"/>
        <v>kg/m3 aeq</v>
      </c>
      <c r="Y129" s="12"/>
      <c r="Z129" s="24">
        <f>S129*W129*ABS(AZ129)</f>
        <v>0</v>
      </c>
      <c r="AA129" s="47" t="s">
        <v>468</v>
      </c>
      <c r="AB129" s="67"/>
      <c r="AC129" s="995"/>
      <c r="AD129" s="1405"/>
      <c r="AE129" s="1405"/>
      <c r="AF129" s="1405"/>
      <c r="AG129" s="1405"/>
      <c r="AH129" s="1405"/>
      <c r="AI129" s="1405"/>
      <c r="AJ129" s="1405"/>
      <c r="AK129" s="1405"/>
      <c r="AL129" s="1405"/>
      <c r="AM129" s="1405"/>
      <c r="AN129" s="1405"/>
      <c r="AO129" s="1405"/>
      <c r="AP129" s="1405"/>
      <c r="AQ129" s="1405"/>
      <c r="AR129" s="1405"/>
      <c r="AS129" s="67"/>
      <c r="AT129" s="995"/>
      <c r="AU129" s="12"/>
      <c r="AV129" s="22" t="str">
        <f t="shared" si="53"/>
        <v>gas (tbv verwarming / tapwater)</v>
      </c>
      <c r="AW129" s="46" t="str">
        <f t="shared" si="54"/>
        <v>aardgas</v>
      </c>
      <c r="AX129" s="24"/>
      <c r="AY129" s="12"/>
      <c r="AZ129" s="115">
        <v>1</v>
      </c>
      <c r="BA129" s="24">
        <f>IFERROR(INDEX(tabellen_EMD!$C$185:$N$193,MATCH($J129,tabellen_EMD!$C$185:$C$193,0),MATCH(BA$63,tabellen_EMD!$C$185:$N$185,0)),0)</f>
        <v>0</v>
      </c>
      <c r="BB129" s="115">
        <f>VLOOKUP($J129,energiedragers_EP_PEF,MATCH(_xlfn.CONCAT($C$65," | PEF"),energiedragers_EP_PEF_titel,0),FALSE)</f>
        <v>1</v>
      </c>
      <c r="BC129" s="899"/>
      <c r="BD129" s="115">
        <f t="shared" si="57"/>
        <v>35.17</v>
      </c>
      <c r="BE129" s="47" t="str">
        <f t="shared" si="58"/>
        <v>MJ/m3 aeq</v>
      </c>
      <c r="BF129" s="899"/>
      <c r="BG129" s="218">
        <f>IFERROR(INDEX(tabellen_EMD!$C$240:$Z$248,MATCH($J129,tabellen_EMD!$C$240:$C$248,0),MATCH($B129,tabellen_EMD!$C$240:$Z$240,0))*(F129&lt;&gt;"zomercomfort"),0)</f>
        <v>1.78</v>
      </c>
      <c r="BH129" s="47" t="str">
        <f t="shared" si="59"/>
        <v>kg/m3 aeq</v>
      </c>
      <c r="BI129" s="899"/>
    </row>
    <row r="130" spans="1:61" hidden="1">
      <c r="A130" s="139" t="s">
        <v>396</v>
      </c>
      <c r="B130" s="47" t="str">
        <f t="shared" si="52"/>
        <v>Uniec 2 finaal</v>
      </c>
      <c r="C130" s="47" t="str">
        <f t="shared" si="52"/>
        <v>NEN 7120</v>
      </c>
      <c r="D130" s="943"/>
      <c r="E130" s="14"/>
      <c r="F130" s="22" t="s">
        <v>1449</v>
      </c>
      <c r="G130" s="22"/>
      <c r="H130" s="22"/>
      <c r="I130" s="905"/>
      <c r="J130" s="1691" t="s">
        <v>467</v>
      </c>
      <c r="K130" s="1698"/>
      <c r="L130" s="16"/>
      <c r="M130" s="24">
        <f>Q130*S130*BD130</f>
        <v>0</v>
      </c>
      <c r="N130" s="47" t="str">
        <f t="shared" si="55"/>
        <v>MJ</v>
      </c>
      <c r="O130" s="909"/>
      <c r="P130" s="1326"/>
      <c r="Q130" s="59">
        <f>IFERROR(IF(AND(P130&lt;&gt;"",$BA130=1),P130,BB130),1)</f>
        <v>1</v>
      </c>
      <c r="R130" s="15"/>
      <c r="S130" s="25"/>
      <c r="T130" s="47" t="str">
        <f>IFERROR(INDEX(energiedragers_EP_eenheden,MATCH($J130,tabellen_EMD!$C$196:$C$204,0),MATCH($B130,energiedragers_EP_eenheden_titel,0)),"-")</f>
        <v>MJ</v>
      </c>
      <c r="U130" s="39"/>
      <c r="V130" s="1326"/>
      <c r="W130" s="59">
        <f>IF(AND(V130&lt;&gt;"",$BA130=1),V130,BG130)</f>
        <v>0.109</v>
      </c>
      <c r="X130" s="47" t="str">
        <f t="shared" si="56"/>
        <v>kg/MJ</v>
      </c>
      <c r="Y130" s="12"/>
      <c r="Z130" s="24">
        <f>S130*W130*ABS(AZ130)</f>
        <v>0</v>
      </c>
      <c r="AA130" s="47" t="s">
        <v>468</v>
      </c>
      <c r="AB130" s="67"/>
      <c r="AC130" s="995"/>
      <c r="AD130" s="1405"/>
      <c r="AE130" s="1405"/>
      <c r="AF130" s="1405"/>
      <c r="AG130" s="1405"/>
      <c r="AH130" s="1405"/>
      <c r="AI130" s="1405"/>
      <c r="AJ130" s="1405"/>
      <c r="AK130" s="1405"/>
      <c r="AL130" s="1405"/>
      <c r="AM130" s="1405"/>
      <c r="AN130" s="1405"/>
      <c r="AO130" s="1405"/>
      <c r="AP130" s="1405"/>
      <c r="AQ130" s="1405"/>
      <c r="AR130" s="1405"/>
      <c r="AS130" s="67"/>
      <c r="AT130" s="995"/>
      <c r="AU130" s="12"/>
      <c r="AV130" s="22" t="str">
        <f t="shared" si="53"/>
        <v>biomassa (tbv verwarming / tapwater)</v>
      </c>
      <c r="AW130" s="46" t="str">
        <f t="shared" si="54"/>
        <v>hout / biomassa</v>
      </c>
      <c r="AX130" s="24"/>
      <c r="AY130" s="12"/>
      <c r="AZ130" s="115">
        <v>1</v>
      </c>
      <c r="BA130" s="24">
        <f>IFERROR(INDEX(tabellen_EMD!$C$185:$N$193,MATCH($J130,tabellen_EMD!$C$185:$C$193,0),MATCH(BA$63,tabellen_EMD!$C$185:$N$185,0)),0)</f>
        <v>1</v>
      </c>
      <c r="BB130" s="115">
        <f>VLOOKUP($J130,energiedragers_EP_PEF,MATCH(_xlfn.CONCAT($C$65," | PEF"),energiedragers_EP_PEF_titel,0),FALSE)</f>
        <v>1</v>
      </c>
      <c r="BC130" s="899"/>
      <c r="BD130" s="115">
        <f t="shared" si="57"/>
        <v>1</v>
      </c>
      <c r="BE130" s="47" t="str">
        <f t="shared" si="58"/>
        <v>MJ/MJ</v>
      </c>
      <c r="BF130" s="899"/>
      <c r="BG130" s="218">
        <f>IFERROR(INDEX(tabellen_EMD!$C$240:$Z$248,MATCH($J130,tabellen_EMD!$C$240:$C$248,0),MATCH($B130,tabellen_EMD!$C$240:$Z$240,0))*(F130&lt;&gt;"zomercomfort"),0)</f>
        <v>0.109</v>
      </c>
      <c r="BH130" s="47" t="str">
        <f t="shared" si="59"/>
        <v>kg/MJ</v>
      </c>
      <c r="BI130" s="899"/>
    </row>
    <row r="131" spans="1:61" hidden="1">
      <c r="A131" s="139" t="s">
        <v>396</v>
      </c>
      <c r="B131" s="47" t="str">
        <f>B130</f>
        <v>Uniec 2 finaal</v>
      </c>
      <c r="C131" s="47" t="str">
        <f>C130</f>
        <v>NEN 7120</v>
      </c>
      <c r="D131" s="943"/>
      <c r="E131" s="14"/>
      <c r="F131" s="52" t="s">
        <v>500</v>
      </c>
      <c r="G131" s="52"/>
      <c r="H131" s="52"/>
      <c r="I131" s="905"/>
      <c r="J131" s="1691" t="s">
        <v>1539</v>
      </c>
      <c r="K131" s="1698"/>
      <c r="L131" s="16"/>
      <c r="M131" s="24">
        <f>Q131*S131*BD131</f>
        <v>0</v>
      </c>
      <c r="N131" s="47" t="str">
        <f t="shared" si="55"/>
        <v>MJ</v>
      </c>
      <c r="O131" s="909"/>
      <c r="P131" s="1326"/>
      <c r="Q131" s="59">
        <f>IFERROR(IF(AND(P131&lt;&gt;"",$BA131=1),P131,BB131),1)</f>
        <v>0.90909090909090906</v>
      </c>
      <c r="R131" s="15"/>
      <c r="S131" s="789"/>
      <c r="T131" s="47" t="str">
        <f>IFERROR(INDEX(energiedragers_EP_eenheden,MATCH($J131,tabellen_EMD!$C$196:$C$204,0),MATCH($B131,energiedragers_EP_eenheden_titel,0)),"-")</f>
        <v>GJ</v>
      </c>
      <c r="U131" s="39"/>
      <c r="V131" s="1326"/>
      <c r="W131" s="59">
        <f>IF(AND(V131&lt;&gt;"",$BA131=1),V131,BG131)</f>
        <v>87.7</v>
      </c>
      <c r="X131" s="47" t="str">
        <f t="shared" si="56"/>
        <v>kg/GJ</v>
      </c>
      <c r="Y131" s="12"/>
      <c r="Z131" s="24">
        <f>S131*W131*ABS(AZ131)</f>
        <v>0</v>
      </c>
      <c r="AA131" s="47" t="s">
        <v>468</v>
      </c>
      <c r="AB131" s="67"/>
      <c r="AC131" s="995"/>
      <c r="AD131" s="1405"/>
      <c r="AE131" s="1405"/>
      <c r="AF131" s="1405"/>
      <c r="AG131" s="1405"/>
      <c r="AH131" s="1405"/>
      <c r="AI131" s="1405"/>
      <c r="AJ131" s="1405"/>
      <c r="AK131" s="1405"/>
      <c r="AL131" s="1405"/>
      <c r="AM131" s="1405"/>
      <c r="AN131" s="1405"/>
      <c r="AO131" s="1405"/>
      <c r="AP131" s="1405"/>
      <c r="AQ131" s="1405"/>
      <c r="AR131" s="1405"/>
      <c r="AS131" s="67"/>
      <c r="AT131" s="995"/>
      <c r="AU131" s="12"/>
      <c r="AV131" s="22" t="str">
        <f t="shared" si="53"/>
        <v>externe warmtelevering</v>
      </c>
      <c r="AW131" s="46" t="str">
        <f t="shared" si="54"/>
        <v>externe warmte</v>
      </c>
      <c r="AX131" s="24"/>
      <c r="AY131" s="12"/>
      <c r="AZ131" s="115">
        <v>1</v>
      </c>
      <c r="BA131" s="24">
        <f>IFERROR(INDEX(tabellen_EMD!$C$185:$N$193,MATCH($J131,tabellen_EMD!$C$185:$C$193,0),MATCH(BA$63,tabellen_EMD!$C$185:$N$185,0)),0)</f>
        <v>1</v>
      </c>
      <c r="BB131" s="115">
        <f>VLOOKUP($J131,energiedragers_EP_PEF,MATCH(_xlfn.CONCAT($C$65," | PEF"),energiedragers_EP_PEF_titel,0),FALSE)</f>
        <v>0.90909090909090906</v>
      </c>
      <c r="BC131" s="899"/>
      <c r="BD131" s="115">
        <f t="shared" si="57"/>
        <v>1000</v>
      </c>
      <c r="BE131" s="47" t="str">
        <f t="shared" si="58"/>
        <v>MJ/GJ</v>
      </c>
      <c r="BF131" s="899"/>
      <c r="BG131" s="218">
        <f>IFERROR(INDEX(tabellen_EMD!$C$240:$Z$248,MATCH($J131,tabellen_EMD!$C$240:$C$248,0),MATCH($B131,tabellen_EMD!$C$240:$Z$240,0))*(F131&lt;&gt;"zomercomfort"),0)</f>
        <v>87.7</v>
      </c>
      <c r="BH131" s="47" t="str">
        <f t="shared" si="59"/>
        <v>kg/GJ</v>
      </c>
      <c r="BI131" s="899"/>
    </row>
    <row r="132" spans="1:61" hidden="1">
      <c r="A132" s="139" t="s">
        <v>396</v>
      </c>
      <c r="B132" s="47" t="str">
        <f>B131</f>
        <v>Uniec 2 finaal</v>
      </c>
      <c r="C132" s="47" t="str">
        <f>C131</f>
        <v>NEN 7120</v>
      </c>
      <c r="D132" s="943"/>
      <c r="E132" s="14"/>
      <c r="F132" s="52" t="s">
        <v>1598</v>
      </c>
      <c r="G132" s="52"/>
      <c r="H132" s="52"/>
      <c r="I132" s="905"/>
      <c r="J132" s="1691" t="s">
        <v>1599</v>
      </c>
      <c r="K132" s="1698"/>
      <c r="L132" s="16"/>
      <c r="M132" s="24">
        <f>Q132*S132*BD132</f>
        <v>0</v>
      </c>
      <c r="N132" s="47" t="str">
        <f t="shared" si="55"/>
        <v>MJ</v>
      </c>
      <c r="O132" s="909"/>
      <c r="P132" s="1326"/>
      <c r="Q132" s="59">
        <f>IFERROR(IF(AND(P132&lt;&gt;"",$BA132=1),P132,BB132),1)</f>
        <v>0.90909090909090906</v>
      </c>
      <c r="R132" s="15"/>
      <c r="S132" s="789"/>
      <c r="T132" s="47" t="str">
        <f>IFERROR(INDEX(energiedragers_EP_eenheden,MATCH($J132,tabellen_EMD!$C$196:$C$204,0),MATCH($B132,energiedragers_EP_eenheden_titel,0)),"-")</f>
        <v>GJ</v>
      </c>
      <c r="U132" s="39"/>
      <c r="V132" s="1326"/>
      <c r="W132" s="59">
        <f>IF(AND(V132&lt;&gt;"",$BA132=1),V132,BG132)</f>
        <v>87.7</v>
      </c>
      <c r="X132" s="47" t="str">
        <f t="shared" si="56"/>
        <v>kg/GJ</v>
      </c>
      <c r="Y132" s="12"/>
      <c r="Z132" s="24">
        <f>S132*W132*ABS(AZ132)</f>
        <v>0</v>
      </c>
      <c r="AA132" s="47" t="s">
        <v>468</v>
      </c>
      <c r="AB132" s="67"/>
      <c r="AC132" s="995"/>
      <c r="AD132" s="1405"/>
      <c r="AE132" s="1405"/>
      <c r="AF132" s="1405"/>
      <c r="AG132" s="1405"/>
      <c r="AH132" s="1405"/>
      <c r="AI132" s="1405"/>
      <c r="AJ132" s="1405"/>
      <c r="AK132" s="1405"/>
      <c r="AL132" s="1405"/>
      <c r="AM132" s="1405"/>
      <c r="AN132" s="1405"/>
      <c r="AO132" s="1405"/>
      <c r="AP132" s="1405"/>
      <c r="AQ132" s="1405"/>
      <c r="AR132" s="1405"/>
      <c r="AS132" s="67"/>
      <c r="AT132" s="995"/>
      <c r="AU132" s="12"/>
      <c r="AV132" s="22" t="str">
        <f t="shared" si="53"/>
        <v>externe koudelevering</v>
      </c>
      <c r="AW132" s="46" t="str">
        <f t="shared" si="54"/>
        <v>externe koude</v>
      </c>
      <c r="AX132" s="24"/>
      <c r="AY132" s="12"/>
      <c r="AZ132" s="115">
        <v>1</v>
      </c>
      <c r="BA132" s="24">
        <f>IFERROR(INDEX(tabellen_EMD!$C$185:$N$193,MATCH($J132,tabellen_EMD!$C$185:$C$193,0),MATCH(BA$63,tabellen_EMD!$C$185:$N$185,0)),0)</f>
        <v>1</v>
      </c>
      <c r="BB132" s="115">
        <f>VLOOKUP($J132,energiedragers_EP_PEF,MATCH(_xlfn.CONCAT($C$65," | PEF"),energiedragers_EP_PEF_titel,0),FALSE)</f>
        <v>0.90909090909090906</v>
      </c>
      <c r="BC132" s="899"/>
      <c r="BD132" s="115">
        <f t="shared" si="57"/>
        <v>1000</v>
      </c>
      <c r="BE132" s="47" t="str">
        <f t="shared" si="58"/>
        <v>MJ/GJ</v>
      </c>
      <c r="BF132" s="899"/>
      <c r="BG132" s="218">
        <f>IFERROR(INDEX(tabellen_EMD!$C$240:$Z$248,MATCH($J132,tabellen_EMD!$C$240:$C$248,0),MATCH($B132,tabellen_EMD!$C$240:$Z$240,0))*(F132&lt;&gt;"zomercomfort"),0)</f>
        <v>87.7</v>
      </c>
      <c r="BH132" s="47" t="str">
        <f t="shared" si="59"/>
        <v>kg/GJ</v>
      </c>
      <c r="BI132" s="899"/>
    </row>
    <row r="133" spans="1:61" s="940" customFormat="1" hidden="1">
      <c r="A133" s="86"/>
      <c r="B133" s="47" t="str">
        <f>B131</f>
        <v>Uniec 2 finaal</v>
      </c>
      <c r="C133" s="47" t="str">
        <f>C131</f>
        <v>NEN 7120</v>
      </c>
      <c r="D133" s="943"/>
      <c r="E133" s="14"/>
      <c r="F133" s="15" t="s">
        <v>1391</v>
      </c>
      <c r="G133" s="15"/>
      <c r="H133" s="15"/>
      <c r="I133" s="905"/>
      <c r="J133" s="43" t="s">
        <v>1391</v>
      </c>
      <c r="K133" s="43"/>
      <c r="L133" s="16"/>
      <c r="M133" s="950">
        <f>SUM(M126,M129:M132)-M128</f>
        <v>0</v>
      </c>
      <c r="N133" s="15" t="str">
        <f t="shared" si="55"/>
        <v>MJ</v>
      </c>
      <c r="O133" s="15"/>
      <c r="P133" s="39"/>
      <c r="Q133" s="39"/>
      <c r="R133" s="15"/>
      <c r="S133" s="899"/>
      <c r="T133" s="899"/>
      <c r="U133" s="39"/>
      <c r="V133" s="39"/>
      <c r="W133" s="39"/>
      <c r="X133" s="39"/>
      <c r="Y133" s="12"/>
      <c r="Z133" s="950">
        <f>SUM(Z126,Z129:Z132)-Z128</f>
        <v>0</v>
      </c>
      <c r="AA133" s="15" t="s">
        <v>468</v>
      </c>
      <c r="AB133" s="67"/>
      <c r="AC133" s="995"/>
      <c r="AD133" s="1405"/>
      <c r="AE133" s="1405"/>
      <c r="AF133" s="1405"/>
      <c r="AG133" s="1405"/>
      <c r="AH133" s="1405"/>
      <c r="AI133" s="1405"/>
      <c r="AJ133" s="1405"/>
      <c r="AK133" s="1405"/>
      <c r="AL133" s="1405"/>
      <c r="AM133" s="1405"/>
      <c r="AN133" s="1405"/>
      <c r="AO133" s="1405"/>
      <c r="AP133" s="1405"/>
      <c r="AQ133" s="1405"/>
      <c r="AR133" s="1405"/>
      <c r="AS133" s="67"/>
      <c r="AT133" s="995"/>
      <c r="AU133" s="12"/>
      <c r="AV133" s="22" t="str">
        <f t="shared" si="53"/>
        <v>totaal</v>
      </c>
      <c r="AW133" s="46" t="str">
        <f t="shared" si="54"/>
        <v>totaal</v>
      </c>
      <c r="AX133" s="24"/>
      <c r="AY133" s="12"/>
      <c r="AZ133" s="12"/>
      <c r="BA133" s="12"/>
      <c r="BB133" s="12"/>
      <c r="BC133" s="899"/>
      <c r="BD133" s="899"/>
      <c r="BE133" s="899"/>
      <c r="BF133" s="899"/>
      <c r="BG133" s="15"/>
      <c r="BH133" s="15"/>
      <c r="BI133" s="899"/>
    </row>
    <row r="134" spans="1:61" s="49" customFormat="1" hidden="1">
      <c r="A134" s="212"/>
      <c r="B134" s="47" t="str">
        <f t="shared" si="52"/>
        <v>Uniec 2 finaal</v>
      </c>
      <c r="C134" s="47" t="str">
        <f t="shared" si="52"/>
        <v>NEN 7120</v>
      </c>
      <c r="D134" s="943"/>
      <c r="E134" s="50"/>
      <c r="F134" s="452" t="str">
        <f>IFERROR(IF($P$23=$B134,_xlfn.CONCAT("Bij 1.1 ingevuld: ",FIXED($J$35,2,FALSE)," ",$K$35),""),"invoer niet correct")</f>
        <v/>
      </c>
      <c r="G134" s="452"/>
      <c r="H134" s="452"/>
      <c r="I134" s="905"/>
      <c r="J134" s="909" t="str">
        <f>IFERROR(IF($P$23=$B134,IF(ABS((M134-$J$35)/$J$35)&gt;1%,"Afwijking &gt;1% met subthema 1.1",""),""),"invoer niet correct")</f>
        <v/>
      </c>
      <c r="K134" s="909"/>
      <c r="L134" s="910"/>
      <c r="M134" s="1339" t="str">
        <f>IFERROR(IF($P$23=$B134,M133/$J$59,""),"")</f>
        <v/>
      </c>
      <c r="N134" s="452" t="str">
        <f>IF($P$23=$B134,_xlfn.CONCAT(N133,"/m2"),"")</f>
        <v/>
      </c>
      <c r="O134" s="452"/>
      <c r="P134" s="39"/>
      <c r="Q134" s="39"/>
      <c r="R134" s="899"/>
      <c r="S134" s="899"/>
      <c r="T134" s="899"/>
      <c r="U134" s="39"/>
      <c r="V134" s="39"/>
      <c r="W134" s="910" t="str">
        <f>IFERROR(IF($P$23=$B134,_xlfn.CONCAT("Bij 1.1 ingevuld: ",FIXED($AG$40,1,FALSE)," ",$AH$40),""),"invoer niet correct")</f>
        <v/>
      </c>
      <c r="X134" s="909" t="str">
        <f>IFERROR(IF($P$23=$B134,IF(ABS((Z134-$AG$40)/$AG$40)&gt;1%,"afwijking &gt;1% met subthema 1.1",""),""),"invoer niet correct")</f>
        <v/>
      </c>
      <c r="Y134" s="12"/>
      <c r="Z134" s="951" t="str">
        <f>IFERROR(IF($P$23=$B134,Z133/$J$58,""),"")</f>
        <v/>
      </c>
      <c r="AA134" s="452" t="str">
        <f>IF($P$23=$B134,_xlfn.CONCAT(AA133,"/m2"),"")</f>
        <v/>
      </c>
      <c r="AB134" s="1393"/>
      <c r="AC134" s="1001"/>
      <c r="AD134" s="1405"/>
      <c r="AE134" s="1405"/>
      <c r="AF134" s="1405"/>
      <c r="AG134" s="1405"/>
      <c r="AH134" s="1405"/>
      <c r="AI134" s="1405"/>
      <c r="AJ134" s="1405"/>
      <c r="AK134" s="1405"/>
      <c r="AL134" s="1405"/>
      <c r="AM134" s="1405"/>
      <c r="AN134" s="1405"/>
      <c r="AO134" s="1405"/>
      <c r="AP134" s="1405"/>
      <c r="AQ134" s="1405"/>
      <c r="AR134" s="1405"/>
      <c r="AS134" s="1393"/>
      <c r="AT134" s="1001"/>
      <c r="AU134" s="12"/>
      <c r="AV134" s="452"/>
      <c r="AW134" s="452"/>
      <c r="AX134" s="452"/>
      <c r="AY134" s="452"/>
      <c r="AZ134" s="452"/>
      <c r="BA134" s="452"/>
      <c r="BB134" s="452"/>
      <c r="BC134" s="452"/>
      <c r="BD134" s="452"/>
      <c r="BE134" s="452"/>
      <c r="BF134" s="452"/>
      <c r="BG134" s="452"/>
      <c r="BH134" s="452"/>
      <c r="BI134" s="899"/>
    </row>
    <row r="135" spans="1:61" hidden="1">
      <c r="A135" s="86"/>
      <c r="B135" s="47" t="str">
        <f t="shared" si="52"/>
        <v>Uniec 2 finaal</v>
      </c>
      <c r="C135" s="47" t="str">
        <f t="shared" si="52"/>
        <v>NEN 7120</v>
      </c>
      <c r="D135" s="943"/>
      <c r="E135" s="14"/>
      <c r="F135" s="43"/>
      <c r="G135" s="43"/>
      <c r="H135" s="43"/>
      <c r="I135" s="905"/>
      <c r="J135" s="55"/>
      <c r="K135" s="55"/>
      <c r="L135" s="53"/>
      <c r="M135" s="55"/>
      <c r="N135" s="56"/>
      <c r="O135" s="148"/>
      <c r="P135" s="39"/>
      <c r="Q135" s="39"/>
      <c r="R135" s="53"/>
      <c r="S135" s="1"/>
      <c r="T135" s="53"/>
      <c r="U135" s="39"/>
      <c r="V135" s="39"/>
      <c r="W135" s="39"/>
      <c r="X135" s="39"/>
      <c r="Y135" s="12"/>
      <c r="Z135" s="16"/>
      <c r="AA135" s="13"/>
      <c r="AB135" s="67"/>
      <c r="AC135" s="995"/>
      <c r="AD135" s="1405"/>
      <c r="AE135" s="1405"/>
      <c r="AF135" s="1405"/>
      <c r="AG135" s="1405"/>
      <c r="AH135" s="1405"/>
      <c r="AI135" s="1405"/>
      <c r="AJ135" s="1405"/>
      <c r="AK135" s="1405"/>
      <c r="AL135" s="1405"/>
      <c r="AM135" s="1405"/>
      <c r="AN135" s="1405"/>
      <c r="AO135" s="1405"/>
      <c r="AP135" s="1405"/>
      <c r="AQ135" s="1405"/>
      <c r="AR135" s="1405"/>
      <c r="AS135" s="67"/>
      <c r="AT135" s="995"/>
      <c r="AU135" s="12"/>
      <c r="AV135" s="12"/>
      <c r="AW135" s="12"/>
      <c r="AX135" s="12"/>
      <c r="AY135" s="12"/>
      <c r="AZ135" s="54"/>
      <c r="BA135" s="12"/>
      <c r="BB135" s="54"/>
      <c r="BC135" s="148"/>
      <c r="BD135" s="1"/>
      <c r="BE135" s="1"/>
      <c r="BF135" s="148"/>
      <c r="BG135" s="54"/>
      <c r="BH135" s="16"/>
      <c r="BI135" s="148"/>
    </row>
    <row r="136" spans="1:61" s="49" customFormat="1" hidden="1">
      <c r="B136" s="939" t="str">
        <f>tabellen_EMD!$C$178</f>
        <v>VABI NTA 8800</v>
      </c>
      <c r="C136" s="939" t="str">
        <f>VLOOKUP(B136,'ISSO75.3 naar GPR4'!$AV$40:$AY$48,COLUMNS($AV$40:$AX$40),FALSE)</f>
        <v>NTA 8800</v>
      </c>
      <c r="D136" s="943"/>
      <c r="E136" s="50"/>
      <c r="F136" s="15" t="str">
        <f>_xlfn.CONCAT("Overnemen uit '",B136,"': ",VLOOKUP(B136,$AV$41:$AZ$48,COLUMNS($AV$40:$AZ$40),FALSE))</f>
        <v>Overnemen uit 'VABI NTA 8800': Totale deelposten (niet primair)</v>
      </c>
      <c r="G136" s="43"/>
      <c r="H136" s="43"/>
      <c r="I136" s="905"/>
      <c r="J136" s="44"/>
      <c r="K136" s="44"/>
      <c r="L136" s="44"/>
      <c r="M136" s="909" t="s">
        <v>1485</v>
      </c>
      <c r="N136" s="41"/>
      <c r="O136" s="41"/>
      <c r="P136" s="453" t="s">
        <v>1487</v>
      </c>
      <c r="Q136" s="39"/>
      <c r="R136" s="39"/>
      <c r="S136" s="453" t="s">
        <v>1484</v>
      </c>
      <c r="T136" s="39"/>
      <c r="U136" s="39"/>
      <c r="V136" s="453" t="s">
        <v>1614</v>
      </c>
      <c r="W136" s="39"/>
      <c r="X136" s="39"/>
      <c r="Y136" s="12"/>
      <c r="Z136" s="453" t="s">
        <v>1536</v>
      </c>
      <c r="AA136" s="12"/>
      <c r="AB136" s="1393"/>
      <c r="AC136" s="1001"/>
      <c r="AD136" s="1405"/>
      <c r="AE136" s="1405"/>
      <c r="AF136" s="1405"/>
      <c r="AG136" s="1405"/>
      <c r="AH136" s="1405"/>
      <c r="AI136" s="1405"/>
      <c r="AJ136" s="1405"/>
      <c r="AK136" s="1405"/>
      <c r="AL136" s="1405"/>
      <c r="AM136" s="1405"/>
      <c r="AN136" s="1405"/>
      <c r="AO136" s="1405"/>
      <c r="AP136" s="1405"/>
      <c r="AQ136" s="1405"/>
      <c r="AR136" s="1405"/>
      <c r="AS136" s="1393"/>
      <c r="AT136" s="1001"/>
      <c r="AU136" s="12"/>
      <c r="AV136" s="12"/>
      <c r="AW136" s="12"/>
      <c r="AX136" s="12"/>
      <c r="AY136" s="12"/>
      <c r="AZ136" s="888" t="str">
        <f>AZ$63</f>
        <v>Eenheid energie</v>
      </c>
      <c r="BA136" s="888" t="s">
        <v>1628</v>
      </c>
      <c r="BB136" s="888" t="str">
        <f>BB$63</f>
        <v>PEF finaal → primair</v>
      </c>
      <c r="BC136" s="452"/>
      <c r="BD136" s="452" t="str">
        <f>BD$63</f>
        <v>eenheden omrekenen</v>
      </c>
      <c r="BE136" s="452"/>
      <c r="BF136" s="452"/>
      <c r="BG136" s="888" t="str">
        <f>BG$63</f>
        <v>CO2</v>
      </c>
      <c r="BH136" s="39"/>
      <c r="BI136" s="899"/>
    </row>
    <row r="137" spans="1:61" hidden="1">
      <c r="A137" s="49"/>
      <c r="B137" s="47" t="str">
        <f t="shared" ref="B137:C149" si="60">B136</f>
        <v>VABI NTA 8800</v>
      </c>
      <c r="C137" s="47" t="str">
        <f t="shared" si="60"/>
        <v>NTA 8800</v>
      </c>
      <c r="D137" s="943"/>
      <c r="E137" s="14"/>
      <c r="F137" s="892" t="s">
        <v>496</v>
      </c>
      <c r="G137" s="892"/>
      <c r="H137" s="892"/>
      <c r="I137" s="905"/>
      <c r="J137" s="909" t="s">
        <v>458</v>
      </c>
      <c r="K137" s="909"/>
      <c r="L137" s="889"/>
      <c r="M137" s="910" t="s">
        <v>1534</v>
      </c>
      <c r="N137" s="452" t="s">
        <v>204</v>
      </c>
      <c r="O137" s="39"/>
      <c r="P137" s="888" t="s">
        <v>1533</v>
      </c>
      <c r="Q137" s="910" t="s">
        <v>1532</v>
      </c>
      <c r="R137" s="452"/>
      <c r="S137" s="888" t="s">
        <v>1534</v>
      </c>
      <c r="T137" s="889" t="s">
        <v>204</v>
      </c>
      <c r="U137" s="39"/>
      <c r="V137" s="888" t="s">
        <v>1533</v>
      </c>
      <c r="W137" s="910" t="s">
        <v>1532</v>
      </c>
      <c r="X137" s="889" t="s">
        <v>204</v>
      </c>
      <c r="Y137" s="12"/>
      <c r="Z137" s="888" t="s">
        <v>1534</v>
      </c>
      <c r="AA137" s="889" t="s">
        <v>204</v>
      </c>
      <c r="AB137" s="67"/>
      <c r="AC137" s="995"/>
      <c r="AD137" s="1405"/>
      <c r="AE137" s="1405"/>
      <c r="AF137" s="1405"/>
      <c r="AG137" s="1405"/>
      <c r="AH137" s="1405"/>
      <c r="AI137" s="1405"/>
      <c r="AJ137" s="1405"/>
      <c r="AK137" s="1405"/>
      <c r="AL137" s="1405"/>
      <c r="AM137" s="1405"/>
      <c r="AN137" s="1405"/>
      <c r="AO137" s="1405"/>
      <c r="AP137" s="1405"/>
      <c r="AQ137" s="1405"/>
      <c r="AR137" s="1405"/>
      <c r="AS137" s="67"/>
      <c r="AT137" s="995"/>
      <c r="AU137" s="12"/>
      <c r="AV137" s="892" t="str">
        <f t="shared" ref="AV137:AV148" si="61">F137</f>
        <v>energiefunctie</v>
      </c>
      <c r="AW137" s="452" t="str">
        <f t="shared" ref="AW137:AW148" si="62">J137</f>
        <v>energiedrager</v>
      </c>
      <c r="AX137" s="910"/>
      <c r="AY137" s="12"/>
      <c r="AZ137" s="888" t="str">
        <f>AZ$64</f>
        <v>pos/neg</v>
      </c>
      <c r="BA137" s="888"/>
      <c r="BB137" s="888" t="str">
        <f>BB$64</f>
        <v>default</v>
      </c>
      <c r="BC137" s="452"/>
      <c r="BD137" s="452" t="str">
        <f>BD$64</f>
        <v>waarde</v>
      </c>
      <c r="BE137" s="452" t="str">
        <f>BE$64</f>
        <v>eenheden</v>
      </c>
      <c r="BF137" s="452"/>
      <c r="BG137" s="888" t="str">
        <f>BG$64</f>
        <v>default</v>
      </c>
      <c r="BH137" s="888" t="str">
        <f>BH$64</f>
        <v>eenheid</v>
      </c>
      <c r="BI137" s="452"/>
    </row>
    <row r="138" spans="1:61" hidden="1">
      <c r="A138" s="86"/>
      <c r="B138" s="47" t="str">
        <f t="shared" si="60"/>
        <v>VABI NTA 8800</v>
      </c>
      <c r="C138" s="47" t="str">
        <f t="shared" si="60"/>
        <v>NTA 8800</v>
      </c>
      <c r="D138" s="943"/>
      <c r="E138" s="14"/>
      <c r="F138" s="22" t="s">
        <v>501</v>
      </c>
      <c r="G138" s="22"/>
      <c r="H138" s="22"/>
      <c r="I138" s="905"/>
      <c r="J138" s="1691" t="s">
        <v>465</v>
      </c>
      <c r="K138" s="1698"/>
      <c r="L138" s="16"/>
      <c r="M138" s="24">
        <f t="shared" ref="M138:M147" si="63">Q138*S138*BD138</f>
        <v>0</v>
      </c>
      <c r="N138" s="47" t="str">
        <f t="shared" ref="N138:N148" si="64">INDEX(EP_methode_eenheid,1,MATCH($C138,EP_methode,0))</f>
        <v>kWh</v>
      </c>
      <c r="O138" s="909"/>
      <c r="P138" s="39"/>
      <c r="Q138" s="59">
        <f t="shared" ref="Q138:Q147" si="65">IFERROR(IF(AND(P138&lt;&gt;"",$BA138=1),P138,BB138),1)</f>
        <v>1.45</v>
      </c>
      <c r="R138" s="15"/>
      <c r="S138" s="25"/>
      <c r="T138" s="47" t="str">
        <f>IFERROR(INDEX(energiedragers_EP_eenheden,MATCH($J138,tabellen_EMD!$C$196:$C$204,0),MATCH($B138,energiedragers_EP_eenheden_titel,0)),"-")</f>
        <v>kWh</v>
      </c>
      <c r="U138" s="39"/>
      <c r="V138" s="15"/>
      <c r="W138" s="59">
        <f t="shared" ref="W138:W147" si="66">IF(AND(V138&lt;&gt;"",$BA138=1),V138,BG138)</f>
        <v>0.34</v>
      </c>
      <c r="X138" s="47" t="str">
        <f t="shared" ref="X138:X147" si="67">BH138</f>
        <v>kg/kWh</v>
      </c>
      <c r="Y138" s="12"/>
      <c r="Z138" s="24">
        <f t="shared" ref="Z138:Z147" si="68">S138*W138*ABS(AZ138)</f>
        <v>0</v>
      </c>
      <c r="AA138" s="47" t="s">
        <v>468</v>
      </c>
      <c r="AB138" s="67"/>
      <c r="AC138" s="995"/>
      <c r="AD138" s="1405"/>
      <c r="AE138" s="1405"/>
      <c r="AF138" s="1405"/>
      <c r="AG138" s="1405"/>
      <c r="AH138" s="1405"/>
      <c r="AI138" s="1405"/>
      <c r="AJ138" s="1405"/>
      <c r="AK138" s="1405"/>
      <c r="AL138" s="1405"/>
      <c r="AM138" s="1405"/>
      <c r="AN138" s="1405"/>
      <c r="AO138" s="1405"/>
      <c r="AP138" s="1405"/>
      <c r="AQ138" s="1405"/>
      <c r="AR138" s="1405"/>
      <c r="AS138" s="67"/>
      <c r="AT138" s="995"/>
      <c r="AU138" s="12"/>
      <c r="AV138" s="22" t="str">
        <f t="shared" si="61"/>
        <v>ventilatie</v>
      </c>
      <c r="AW138" s="46" t="str">
        <f t="shared" si="62"/>
        <v>elektriciteit</v>
      </c>
      <c r="AX138" s="24"/>
      <c r="AY138" s="12"/>
      <c r="AZ138" s="115">
        <v>1</v>
      </c>
      <c r="BA138" s="24">
        <f>IFERROR(INDEX(tabellen_EMD!$C$185:$N$193,MATCH($J138,tabellen_EMD!$C$185:$C$193,0),MATCH(BA$63,tabellen_EMD!$C$185:$N$185,0)),0)</f>
        <v>0</v>
      </c>
      <c r="BB138" s="115">
        <f t="shared" ref="BB138:BB147" si="69">VLOOKUP($J138,energiedragers_EP_PEF,MATCH(_xlfn.CONCAT($C138," | PEF"),energiedragers_EP_PEF_titel,0),FALSE)</f>
        <v>1.45</v>
      </c>
      <c r="BC138" s="899"/>
      <c r="BD138" s="115">
        <f t="shared" ref="BD138:BD147" si="70">IFERROR(VLOOKUP($J138,energiedragers_EP_omrekenen,MATCH($B138,energiedragers_EP_omrekenen_titel,0),FALSE),1)</f>
        <v>1</v>
      </c>
      <c r="BE138" s="47" t="str">
        <f t="shared" ref="BE138:BE147" si="71">_xlfn.CONCAT(N138,"/",T138)</f>
        <v>kWh/kWh</v>
      </c>
      <c r="BF138" s="899"/>
      <c r="BG138" s="218">
        <f>IFERROR(INDEX(tabellen_EMD!$C$240:$Z$248,MATCH($J138,tabellen_EMD!$C$240:$C$248,0),MATCH($B138,tabellen_EMD!$C$240:$Z$240,0))*(F138&lt;&gt;"zomercomfort"),0)</f>
        <v>0.34</v>
      </c>
      <c r="BH138" s="47" t="str">
        <f t="shared" ref="BH138:BH147" si="72">"kg/"&amp;T138</f>
        <v>kg/kWh</v>
      </c>
      <c r="BI138" s="899"/>
    </row>
    <row r="139" spans="1:61" hidden="1">
      <c r="A139" s="49"/>
      <c r="B139" s="47" t="str">
        <f t="shared" si="60"/>
        <v>VABI NTA 8800</v>
      </c>
      <c r="C139" s="47" t="str">
        <f t="shared" si="60"/>
        <v>NTA 8800</v>
      </c>
      <c r="D139" s="943"/>
      <c r="E139" s="14"/>
      <c r="F139" s="22" t="s">
        <v>502</v>
      </c>
      <c r="G139" s="22"/>
      <c r="H139" s="22"/>
      <c r="I139" s="905"/>
      <c r="J139" s="1685"/>
      <c r="K139" s="1685"/>
      <c r="L139" s="16"/>
      <c r="M139" s="24">
        <f t="shared" si="63"/>
        <v>0</v>
      </c>
      <c r="N139" s="47" t="str">
        <f t="shared" si="64"/>
        <v>kWh</v>
      </c>
      <c r="O139" s="909"/>
      <c r="P139" s="154"/>
      <c r="Q139" s="59">
        <f t="shared" si="65"/>
        <v>1</v>
      </c>
      <c r="R139" s="15"/>
      <c r="S139" s="25"/>
      <c r="T139" s="47" t="str">
        <f>IFERROR(INDEX(energiedragers_EP_eenheden,MATCH($J139,tabellen_EMD!$C$196:$C$204,0),MATCH($B139,energiedragers_EP_eenheden_titel,0)),"-")</f>
        <v>-</v>
      </c>
      <c r="U139" s="39"/>
      <c r="V139" s="154"/>
      <c r="W139" s="59">
        <f t="shared" si="66"/>
        <v>0</v>
      </c>
      <c r="X139" s="47" t="str">
        <f t="shared" si="67"/>
        <v>kg/-</v>
      </c>
      <c r="Y139" s="12"/>
      <c r="Z139" s="24">
        <f t="shared" si="68"/>
        <v>0</v>
      </c>
      <c r="AA139" s="47" t="s">
        <v>468</v>
      </c>
      <c r="AB139" s="67"/>
      <c r="AC139" s="995"/>
      <c r="AD139" s="1405"/>
      <c r="AE139" s="1405"/>
      <c r="AF139" s="1405"/>
      <c r="AG139" s="1405"/>
      <c r="AH139" s="1405"/>
      <c r="AI139" s="1405"/>
      <c r="AJ139" s="1405"/>
      <c r="AK139" s="1405"/>
      <c r="AL139" s="1405"/>
      <c r="AM139" s="1405"/>
      <c r="AN139" s="1405"/>
      <c r="AO139" s="1405"/>
      <c r="AP139" s="1405"/>
      <c r="AQ139" s="1405"/>
      <c r="AR139" s="1405"/>
      <c r="AS139" s="67"/>
      <c r="AT139" s="995"/>
      <c r="AU139" s="12"/>
      <c r="AV139" s="22" t="str">
        <f t="shared" si="61"/>
        <v>verwarming</v>
      </c>
      <c r="AW139" s="46">
        <f t="shared" si="62"/>
        <v>0</v>
      </c>
      <c r="AX139" s="24"/>
      <c r="AY139" s="12"/>
      <c r="AZ139" s="115">
        <v>1</v>
      </c>
      <c r="BA139" s="24">
        <f>IFERROR(INDEX(tabellen_EMD!$C$185:$N$193,MATCH($J139,tabellen_EMD!$C$185:$C$193,0),MATCH(BA$63,tabellen_EMD!$C$185:$N$185,0)),0)</f>
        <v>0</v>
      </c>
      <c r="BB139" s="115" t="e">
        <f t="shared" si="69"/>
        <v>#N/A</v>
      </c>
      <c r="BC139" s="899"/>
      <c r="BD139" s="115">
        <f t="shared" si="70"/>
        <v>1</v>
      </c>
      <c r="BE139" s="47" t="str">
        <f t="shared" si="71"/>
        <v>kWh/-</v>
      </c>
      <c r="BF139" s="899"/>
      <c r="BG139" s="218">
        <f>IFERROR(INDEX(tabellen_EMD!$C$240:$Z$248,MATCH($J139,tabellen_EMD!$C$240:$C$248,0),MATCH($B139,tabellen_EMD!$C$240:$Z$240,0))*(F139&lt;&gt;"zomercomfort"),0)</f>
        <v>0</v>
      </c>
      <c r="BH139" s="47" t="str">
        <f t="shared" si="72"/>
        <v>kg/-</v>
      </c>
      <c r="BI139" s="899"/>
    </row>
    <row r="140" spans="1:61" hidden="1">
      <c r="A140" s="86"/>
      <c r="B140" s="47" t="str">
        <f t="shared" si="60"/>
        <v>VABI NTA 8800</v>
      </c>
      <c r="C140" s="47" t="str">
        <f t="shared" si="60"/>
        <v>NTA 8800</v>
      </c>
      <c r="D140" s="943"/>
      <c r="E140" s="14"/>
      <c r="F140" s="22" t="s">
        <v>503</v>
      </c>
      <c r="G140" s="22"/>
      <c r="H140" s="22"/>
      <c r="I140" s="905"/>
      <c r="J140" s="1685"/>
      <c r="K140" s="1685"/>
      <c r="L140" s="16"/>
      <c r="M140" s="24">
        <f t="shared" si="63"/>
        <v>0</v>
      </c>
      <c r="N140" s="47" t="str">
        <f t="shared" si="64"/>
        <v>kWh</v>
      </c>
      <c r="O140" s="909"/>
      <c r="P140" s="154"/>
      <c r="Q140" s="59">
        <f t="shared" si="65"/>
        <v>1</v>
      </c>
      <c r="R140" s="15"/>
      <c r="S140" s="25"/>
      <c r="T140" s="47" t="str">
        <f>IFERROR(INDEX(energiedragers_EP_eenheden,MATCH($J140,tabellen_EMD!$C$196:$C$204,0),MATCH($B140,energiedragers_EP_eenheden_titel,0)),"-")</f>
        <v>-</v>
      </c>
      <c r="U140" s="39"/>
      <c r="V140" s="154"/>
      <c r="W140" s="59">
        <f t="shared" si="66"/>
        <v>0</v>
      </c>
      <c r="X140" s="47" t="str">
        <f t="shared" si="67"/>
        <v>kg/-</v>
      </c>
      <c r="Y140" s="12"/>
      <c r="Z140" s="24">
        <f t="shared" si="68"/>
        <v>0</v>
      </c>
      <c r="AA140" s="47" t="s">
        <v>468</v>
      </c>
      <c r="AB140" s="67"/>
      <c r="AC140" s="995"/>
      <c r="AD140" s="1405"/>
      <c r="AE140" s="1405"/>
      <c r="AF140" s="1405"/>
      <c r="AG140" s="1405"/>
      <c r="AH140" s="1405"/>
      <c r="AI140" s="1405"/>
      <c r="AJ140" s="1405"/>
      <c r="AK140" s="1405"/>
      <c r="AL140" s="1405"/>
      <c r="AM140" s="1405"/>
      <c r="AN140" s="1405"/>
      <c r="AO140" s="1405"/>
      <c r="AP140" s="1405"/>
      <c r="AQ140" s="1405"/>
      <c r="AR140" s="1405"/>
      <c r="AS140" s="67"/>
      <c r="AT140" s="995"/>
      <c r="AU140" s="12"/>
      <c r="AV140" s="22" t="str">
        <f t="shared" si="61"/>
        <v>tapwater</v>
      </c>
      <c r="AW140" s="46">
        <f t="shared" si="62"/>
        <v>0</v>
      </c>
      <c r="AX140" s="24"/>
      <c r="AY140" s="12"/>
      <c r="AZ140" s="115">
        <v>1</v>
      </c>
      <c r="BA140" s="24">
        <f>IFERROR(INDEX(tabellen_EMD!$C$185:$N$193,MATCH($J140,tabellen_EMD!$C$185:$C$193,0),MATCH(BA$63,tabellen_EMD!$C$185:$N$185,0)),0)</f>
        <v>0</v>
      </c>
      <c r="BB140" s="115" t="e">
        <f t="shared" si="69"/>
        <v>#N/A</v>
      </c>
      <c r="BC140" s="899"/>
      <c r="BD140" s="115">
        <f t="shared" si="70"/>
        <v>1</v>
      </c>
      <c r="BE140" s="47" t="str">
        <f t="shared" si="71"/>
        <v>kWh/-</v>
      </c>
      <c r="BF140" s="899"/>
      <c r="BG140" s="218">
        <f>IFERROR(INDEX(tabellen_EMD!$C$240:$Z$248,MATCH($J140,tabellen_EMD!$C$240:$C$248,0),MATCH($B140,tabellen_EMD!$C$240:$Z$240,0))*(F140&lt;&gt;"zomercomfort"),0)</f>
        <v>0</v>
      </c>
      <c r="BH140" s="47" t="str">
        <f t="shared" si="72"/>
        <v>kg/-</v>
      </c>
      <c r="BI140" s="899"/>
    </row>
    <row r="141" spans="1:61" hidden="1">
      <c r="A141" s="86"/>
      <c r="B141" s="47" t="str">
        <f t="shared" si="60"/>
        <v>VABI NTA 8800</v>
      </c>
      <c r="C141" s="47" t="str">
        <f t="shared" si="60"/>
        <v>NTA 8800</v>
      </c>
      <c r="D141" s="943"/>
      <c r="E141" s="14"/>
      <c r="F141" s="22" t="s">
        <v>504</v>
      </c>
      <c r="G141" s="22"/>
      <c r="H141" s="22"/>
      <c r="I141" s="905"/>
      <c r="J141" s="1685"/>
      <c r="K141" s="1685"/>
      <c r="L141" s="16"/>
      <c r="M141" s="24">
        <f t="shared" si="63"/>
        <v>0</v>
      </c>
      <c r="N141" s="47" t="str">
        <f t="shared" si="64"/>
        <v>kWh</v>
      </c>
      <c r="O141" s="909"/>
      <c r="P141" s="154"/>
      <c r="Q141" s="59">
        <f t="shared" si="65"/>
        <v>1</v>
      </c>
      <c r="R141" s="15"/>
      <c r="S141" s="25"/>
      <c r="T141" s="47" t="str">
        <f>IFERROR(INDEX(energiedragers_EP_eenheden,MATCH($J141,tabellen_EMD!$C$196:$C$204,0),MATCH($B141,energiedragers_EP_eenheden_titel,0)),"-")</f>
        <v>-</v>
      </c>
      <c r="U141" s="39"/>
      <c r="V141" s="154"/>
      <c r="W141" s="59">
        <f t="shared" si="66"/>
        <v>0</v>
      </c>
      <c r="X141" s="47" t="str">
        <f t="shared" si="67"/>
        <v>kg/-</v>
      </c>
      <c r="Y141" s="12"/>
      <c r="Z141" s="24">
        <f t="shared" si="68"/>
        <v>0</v>
      </c>
      <c r="AA141" s="47" t="s">
        <v>468</v>
      </c>
      <c r="AB141" s="67"/>
      <c r="AC141" s="995"/>
      <c r="AD141" s="1405"/>
      <c r="AE141" s="1405"/>
      <c r="AF141" s="1405"/>
      <c r="AG141" s="1405"/>
      <c r="AH141" s="1405"/>
      <c r="AI141" s="1405"/>
      <c r="AJ141" s="1405"/>
      <c r="AK141" s="1405"/>
      <c r="AL141" s="1405"/>
      <c r="AM141" s="1405"/>
      <c r="AN141" s="1405"/>
      <c r="AO141" s="1405"/>
      <c r="AP141" s="1405"/>
      <c r="AQ141" s="1405"/>
      <c r="AR141" s="1405"/>
      <c r="AS141" s="67"/>
      <c r="AT141" s="995"/>
      <c r="AU141" s="12"/>
      <c r="AV141" s="22" t="str">
        <f t="shared" si="61"/>
        <v>koeling</v>
      </c>
      <c r="AW141" s="46">
        <f t="shared" si="62"/>
        <v>0</v>
      </c>
      <c r="AX141" s="24"/>
      <c r="AY141" s="12"/>
      <c r="AZ141" s="115">
        <v>1</v>
      </c>
      <c r="BA141" s="24">
        <f>IFERROR(INDEX(tabellen_EMD!$C$185:$N$193,MATCH($J141,tabellen_EMD!$C$185:$C$193,0),MATCH(BA$63,tabellen_EMD!$C$185:$N$185,0)),0)</f>
        <v>0</v>
      </c>
      <c r="BB141" s="115" t="e">
        <f t="shared" si="69"/>
        <v>#N/A</v>
      </c>
      <c r="BC141" s="899"/>
      <c r="BD141" s="115">
        <f t="shared" si="70"/>
        <v>1</v>
      </c>
      <c r="BE141" s="47" t="str">
        <f t="shared" si="71"/>
        <v>kWh/-</v>
      </c>
      <c r="BF141" s="899"/>
      <c r="BG141" s="218">
        <f>IFERROR(INDEX(tabellen_EMD!$C$240:$Z$248,MATCH($J141,tabellen_EMD!$C$240:$C$248,0),MATCH($B141,tabellen_EMD!$C$240:$Z$240,0))*(F141&lt;&gt;"zomercomfort"),0)</f>
        <v>0</v>
      </c>
      <c r="BH141" s="47" t="str">
        <f t="shared" si="72"/>
        <v>kg/-</v>
      </c>
      <c r="BI141" s="899"/>
    </row>
    <row r="142" spans="1:61" hidden="1">
      <c r="A142" s="86"/>
      <c r="B142" s="47" t="str">
        <f t="shared" si="60"/>
        <v>VABI NTA 8800</v>
      </c>
      <c r="C142" s="47" t="str">
        <f t="shared" si="60"/>
        <v>NTA 8800</v>
      </c>
      <c r="D142" s="943"/>
      <c r="E142" s="14"/>
      <c r="F142" s="22" t="s">
        <v>505</v>
      </c>
      <c r="G142" s="22"/>
      <c r="H142" s="22"/>
      <c r="I142" s="905"/>
      <c r="J142" s="1691" t="s">
        <v>465</v>
      </c>
      <c r="K142" s="1698"/>
      <c r="L142" s="16"/>
      <c r="M142" s="24">
        <f t="shared" si="63"/>
        <v>0</v>
      </c>
      <c r="N142" s="47" t="str">
        <f t="shared" si="64"/>
        <v>kWh</v>
      </c>
      <c r="O142" s="909"/>
      <c r="P142" s="39"/>
      <c r="Q142" s="59">
        <f t="shared" si="65"/>
        <v>1.45</v>
      </c>
      <c r="R142" s="15"/>
      <c r="S142" s="25"/>
      <c r="T142" s="47" t="str">
        <f>IFERROR(INDEX(energiedragers_EP_eenheden,MATCH($J142,tabellen_EMD!$C$196:$C$204,0),MATCH($B142,energiedragers_EP_eenheden_titel,0)),"-")</f>
        <v>kWh</v>
      </c>
      <c r="U142" s="39"/>
      <c r="V142" s="15"/>
      <c r="W142" s="59">
        <f t="shared" si="66"/>
        <v>0.34</v>
      </c>
      <c r="X142" s="47" t="str">
        <f t="shared" si="67"/>
        <v>kg/kWh</v>
      </c>
      <c r="Y142" s="12"/>
      <c r="Z142" s="24">
        <f t="shared" si="68"/>
        <v>0</v>
      </c>
      <c r="AA142" s="47" t="s">
        <v>468</v>
      </c>
      <c r="AB142" s="67"/>
      <c r="AC142" s="995"/>
      <c r="AD142" s="1405"/>
      <c r="AE142" s="1405"/>
      <c r="AF142" s="1405"/>
      <c r="AG142" s="1405"/>
      <c r="AH142" s="1405"/>
      <c r="AI142" s="1405"/>
      <c r="AJ142" s="1405"/>
      <c r="AK142" s="1405"/>
      <c r="AL142" s="1405"/>
      <c r="AM142" s="1405"/>
      <c r="AN142" s="1405"/>
      <c r="AO142" s="1405"/>
      <c r="AP142" s="1405"/>
      <c r="AQ142" s="1405"/>
      <c r="AR142" s="1405"/>
      <c r="AS142" s="67"/>
      <c r="AT142" s="995"/>
      <c r="AU142" s="12"/>
      <c r="AV142" s="22" t="str">
        <f t="shared" si="61"/>
        <v>bevochtiging</v>
      </c>
      <c r="AW142" s="46" t="str">
        <f t="shared" si="62"/>
        <v>elektriciteit</v>
      </c>
      <c r="AX142" s="24"/>
      <c r="AY142" s="12"/>
      <c r="AZ142" s="115">
        <v>1</v>
      </c>
      <c r="BA142" s="24">
        <f>IFERROR(INDEX(tabellen_EMD!$C$185:$N$193,MATCH($J142,tabellen_EMD!$C$185:$C$193,0),MATCH(BA$63,tabellen_EMD!$C$185:$N$185,0)),0)</f>
        <v>0</v>
      </c>
      <c r="BB142" s="115">
        <f t="shared" si="69"/>
        <v>1.45</v>
      </c>
      <c r="BC142" s="899"/>
      <c r="BD142" s="115">
        <f t="shared" si="70"/>
        <v>1</v>
      </c>
      <c r="BE142" s="47" t="str">
        <f t="shared" si="71"/>
        <v>kWh/kWh</v>
      </c>
      <c r="BF142" s="899"/>
      <c r="BG142" s="218">
        <f>IFERROR(INDEX(tabellen_EMD!$C$240:$Z$248,MATCH($J142,tabellen_EMD!$C$240:$C$248,0),MATCH($B142,tabellen_EMD!$C$240:$Z$240,0))*(F142&lt;&gt;"zomercomfort"),0)</f>
        <v>0.34</v>
      </c>
      <c r="BH142" s="47" t="str">
        <f t="shared" si="72"/>
        <v>kg/kWh</v>
      </c>
      <c r="BI142" s="899"/>
    </row>
    <row r="143" spans="1:61" hidden="1">
      <c r="A143" s="86"/>
      <c r="B143" s="47" t="str">
        <f t="shared" si="60"/>
        <v>VABI NTA 8800</v>
      </c>
      <c r="C143" s="47" t="str">
        <f t="shared" si="60"/>
        <v>NTA 8800</v>
      </c>
      <c r="D143" s="943"/>
      <c r="E143" s="14"/>
      <c r="F143" s="22" t="s">
        <v>506</v>
      </c>
      <c r="G143" s="22"/>
      <c r="H143" s="22"/>
      <c r="I143" s="905"/>
      <c r="J143" s="1691" t="s">
        <v>465</v>
      </c>
      <c r="K143" s="1698"/>
      <c r="L143" s="16"/>
      <c r="M143" s="24">
        <f t="shared" si="63"/>
        <v>0</v>
      </c>
      <c r="N143" s="47" t="str">
        <f t="shared" si="64"/>
        <v>kWh</v>
      </c>
      <c r="O143" s="909"/>
      <c r="P143" s="39"/>
      <c r="Q143" s="59">
        <f t="shared" si="65"/>
        <v>1.45</v>
      </c>
      <c r="R143" s="15"/>
      <c r="S143" s="25"/>
      <c r="T143" s="47" t="str">
        <f>IFERROR(INDEX(energiedragers_EP_eenheden,MATCH($J143,tabellen_EMD!$C$196:$C$204,0),MATCH($B143,energiedragers_EP_eenheden_titel,0)),"-")</f>
        <v>kWh</v>
      </c>
      <c r="U143" s="39"/>
      <c r="V143" s="15"/>
      <c r="W143" s="59">
        <f t="shared" si="66"/>
        <v>0.34</v>
      </c>
      <c r="X143" s="47" t="str">
        <f t="shared" si="67"/>
        <v>kg/kWh</v>
      </c>
      <c r="Y143" s="12"/>
      <c r="Z143" s="24">
        <f t="shared" si="68"/>
        <v>0</v>
      </c>
      <c r="AA143" s="47" t="s">
        <v>468</v>
      </c>
      <c r="AB143" s="67"/>
      <c r="AC143" s="995"/>
      <c r="AD143" s="1405"/>
      <c r="AE143" s="1405"/>
      <c r="AF143" s="1405"/>
      <c r="AG143" s="1405"/>
      <c r="AH143" s="1405"/>
      <c r="AI143" s="1405"/>
      <c r="AJ143" s="1405"/>
      <c r="AK143" s="1405"/>
      <c r="AL143" s="1405"/>
      <c r="AM143" s="1405"/>
      <c r="AN143" s="1405"/>
      <c r="AO143" s="1405"/>
      <c r="AP143" s="1405"/>
      <c r="AQ143" s="1405"/>
      <c r="AR143" s="1405"/>
      <c r="AS143" s="67"/>
      <c r="AT143" s="995"/>
      <c r="AU143" s="12"/>
      <c r="AV143" s="22" t="str">
        <f t="shared" si="61"/>
        <v>ontvochtiging</v>
      </c>
      <c r="AW143" s="46" t="str">
        <f t="shared" si="62"/>
        <v>elektriciteit</v>
      </c>
      <c r="AX143" s="24"/>
      <c r="AY143" s="12"/>
      <c r="AZ143" s="115">
        <v>1</v>
      </c>
      <c r="BA143" s="24">
        <f>IFERROR(INDEX(tabellen_EMD!$C$185:$N$193,MATCH($J143,tabellen_EMD!$C$185:$C$193,0),MATCH(BA$63,tabellen_EMD!$C$185:$N$185,0)),0)</f>
        <v>0</v>
      </c>
      <c r="BB143" s="115">
        <f t="shared" si="69"/>
        <v>1.45</v>
      </c>
      <c r="BC143" s="899"/>
      <c r="BD143" s="115">
        <f t="shared" si="70"/>
        <v>1</v>
      </c>
      <c r="BE143" s="47" t="str">
        <f t="shared" si="71"/>
        <v>kWh/kWh</v>
      </c>
      <c r="BF143" s="899"/>
      <c r="BG143" s="218">
        <f>IFERROR(INDEX(tabellen_EMD!$C$240:$Z$248,MATCH($J143,tabellen_EMD!$C$240:$C$248,0),MATCH($B143,tabellen_EMD!$C$240:$Z$240,0))*(F143&lt;&gt;"zomercomfort"),0)</f>
        <v>0.34</v>
      </c>
      <c r="BH143" s="47" t="str">
        <f t="shared" si="72"/>
        <v>kg/kWh</v>
      </c>
      <c r="BI143" s="899"/>
    </row>
    <row r="144" spans="1:61" hidden="1">
      <c r="A144" s="18"/>
      <c r="B144" s="47" t="str">
        <f t="shared" si="60"/>
        <v>VABI NTA 8800</v>
      </c>
      <c r="C144" s="47" t="str">
        <f t="shared" si="60"/>
        <v>NTA 8800</v>
      </c>
      <c r="D144" s="943"/>
      <c r="E144" s="14"/>
      <c r="F144" s="22" t="s">
        <v>507</v>
      </c>
      <c r="G144" s="22"/>
      <c r="H144" s="22"/>
      <c r="I144" s="905"/>
      <c r="J144" s="1691" t="s">
        <v>465</v>
      </c>
      <c r="K144" s="1698"/>
      <c r="L144" s="16"/>
      <c r="M144" s="24">
        <f t="shared" si="63"/>
        <v>0</v>
      </c>
      <c r="N144" s="47" t="str">
        <f t="shared" si="64"/>
        <v>kWh</v>
      </c>
      <c r="O144" s="909"/>
      <c r="P144" s="39"/>
      <c r="Q144" s="59">
        <f t="shared" si="65"/>
        <v>1.45</v>
      </c>
      <c r="R144" s="15"/>
      <c r="S144" s="25"/>
      <c r="T144" s="47" t="str">
        <f>IFERROR(INDEX(energiedragers_EP_eenheden,MATCH($J144,tabellen_EMD!$C$196:$C$204,0),MATCH($B144,energiedragers_EP_eenheden_titel,0)),"-")</f>
        <v>kWh</v>
      </c>
      <c r="U144" s="39"/>
      <c r="V144" s="15"/>
      <c r="W144" s="59">
        <f t="shared" si="66"/>
        <v>0.34</v>
      </c>
      <c r="X144" s="47" t="str">
        <f t="shared" si="67"/>
        <v>kg/kWh</v>
      </c>
      <c r="Y144" s="12"/>
      <c r="Z144" s="24">
        <f t="shared" si="68"/>
        <v>0</v>
      </c>
      <c r="AA144" s="47" t="s">
        <v>468</v>
      </c>
      <c r="AB144" s="67"/>
      <c r="AC144" s="995"/>
      <c r="AD144" s="1405"/>
      <c r="AE144" s="1405"/>
      <c r="AF144" s="1405"/>
      <c r="AG144" s="1405"/>
      <c r="AH144" s="1405"/>
      <c r="AI144" s="1405"/>
      <c r="AJ144" s="1405"/>
      <c r="AK144" s="1405"/>
      <c r="AL144" s="1405"/>
      <c r="AM144" s="1405"/>
      <c r="AN144" s="1405"/>
      <c r="AO144" s="1405"/>
      <c r="AP144" s="1405"/>
      <c r="AQ144" s="1405"/>
      <c r="AR144" s="1405"/>
      <c r="AS144" s="67"/>
      <c r="AT144" s="995"/>
      <c r="AU144" s="12"/>
      <c r="AV144" s="22" t="str">
        <f t="shared" si="61"/>
        <v>verlichting</v>
      </c>
      <c r="AW144" s="46" t="str">
        <f t="shared" si="62"/>
        <v>elektriciteit</v>
      </c>
      <c r="AX144" s="24"/>
      <c r="AY144" s="12"/>
      <c r="AZ144" s="115">
        <v>1</v>
      </c>
      <c r="BA144" s="24">
        <f>IFERROR(INDEX(tabellen_EMD!$C$185:$N$193,MATCH($J144,tabellen_EMD!$C$185:$C$193,0),MATCH(BA$63,tabellen_EMD!$C$185:$N$185,0)),0)</f>
        <v>0</v>
      </c>
      <c r="BB144" s="115">
        <f t="shared" si="69"/>
        <v>1.45</v>
      </c>
      <c r="BC144" s="899"/>
      <c r="BD144" s="115">
        <f t="shared" si="70"/>
        <v>1</v>
      </c>
      <c r="BE144" s="47" t="str">
        <f t="shared" si="71"/>
        <v>kWh/kWh</v>
      </c>
      <c r="BF144" s="899"/>
      <c r="BG144" s="218">
        <f>IFERROR(INDEX(tabellen_EMD!$C$240:$Z$248,MATCH($J144,tabellen_EMD!$C$240:$C$248,0),MATCH($B144,tabellen_EMD!$C$240:$Z$240,0))*(F144&lt;&gt;"zomercomfort"),0)</f>
        <v>0.34</v>
      </c>
      <c r="BH144" s="47" t="str">
        <f t="shared" si="72"/>
        <v>kg/kWh</v>
      </c>
      <c r="BI144" s="899"/>
    </row>
    <row r="145" spans="1:61" s="18" customFormat="1" hidden="1">
      <c r="A145" s="49"/>
      <c r="B145" s="47" t="str">
        <f t="shared" si="60"/>
        <v>VABI NTA 8800</v>
      </c>
      <c r="C145" s="47" t="str">
        <f t="shared" si="60"/>
        <v>NTA 8800</v>
      </c>
      <c r="D145" s="943"/>
      <c r="E145" s="14"/>
      <c r="F145" s="22" t="s">
        <v>508</v>
      </c>
      <c r="G145" s="22"/>
      <c r="H145" s="22"/>
      <c r="I145" s="905"/>
      <c r="J145" s="1691" t="s">
        <v>465</v>
      </c>
      <c r="K145" s="1698"/>
      <c r="L145" s="16"/>
      <c r="M145" s="24">
        <f t="shared" si="63"/>
        <v>0</v>
      </c>
      <c r="N145" s="47" t="str">
        <f t="shared" si="64"/>
        <v>kWh</v>
      </c>
      <c r="O145" s="909"/>
      <c r="P145" s="39"/>
      <c r="Q145" s="59">
        <f t="shared" si="65"/>
        <v>1.45</v>
      </c>
      <c r="R145" s="15"/>
      <c r="S145" s="25"/>
      <c r="T145" s="47" t="str">
        <f>IFERROR(INDEX(energiedragers_EP_eenheden,MATCH($J145,tabellen_EMD!$C$196:$C$204,0),MATCH($B145,energiedragers_EP_eenheden_titel,0)),"-")</f>
        <v>kWh</v>
      </c>
      <c r="U145" s="39"/>
      <c r="V145" s="15"/>
      <c r="W145" s="59">
        <f t="shared" si="66"/>
        <v>0.34</v>
      </c>
      <c r="X145" s="47" t="str">
        <f t="shared" si="67"/>
        <v>kg/kWh</v>
      </c>
      <c r="Y145" s="12"/>
      <c r="Z145" s="24">
        <f t="shared" si="68"/>
        <v>0</v>
      </c>
      <c r="AA145" s="47" t="s">
        <v>468</v>
      </c>
      <c r="AB145" s="67"/>
      <c r="AC145" s="995"/>
      <c r="AD145" s="1405"/>
      <c r="AE145" s="1405"/>
      <c r="AF145" s="1405"/>
      <c r="AG145" s="1405"/>
      <c r="AH145" s="1405"/>
      <c r="AI145" s="1405"/>
      <c r="AJ145" s="1405"/>
      <c r="AK145" s="1405"/>
      <c r="AL145" s="1405"/>
      <c r="AM145" s="1405"/>
      <c r="AN145" s="1405"/>
      <c r="AO145" s="1405"/>
      <c r="AP145" s="1405"/>
      <c r="AQ145" s="1405"/>
      <c r="AR145" s="1405"/>
      <c r="AS145" s="67"/>
      <c r="AT145" s="995"/>
      <c r="AU145" s="12"/>
      <c r="AV145" s="22" t="str">
        <f t="shared" si="61"/>
        <v>hulpenergie elektrisch</v>
      </c>
      <c r="AW145" s="46" t="str">
        <f t="shared" si="62"/>
        <v>elektriciteit</v>
      </c>
      <c r="AX145" s="24"/>
      <c r="AY145" s="12"/>
      <c r="AZ145" s="115">
        <v>1</v>
      </c>
      <c r="BA145" s="24">
        <f>IFERROR(INDEX(tabellen_EMD!$C$185:$N$193,MATCH($J145,tabellen_EMD!$C$185:$C$193,0),MATCH(BA$63,tabellen_EMD!$C$185:$N$185,0)),0)</f>
        <v>0</v>
      </c>
      <c r="BB145" s="115">
        <f t="shared" si="69"/>
        <v>1.45</v>
      </c>
      <c r="BC145" s="899"/>
      <c r="BD145" s="115">
        <f t="shared" si="70"/>
        <v>1</v>
      </c>
      <c r="BE145" s="47" t="str">
        <f t="shared" si="71"/>
        <v>kWh/kWh</v>
      </c>
      <c r="BF145" s="899"/>
      <c r="BG145" s="218">
        <f>IFERROR(INDEX(tabellen_EMD!$C$240:$Z$248,MATCH($J145,tabellen_EMD!$C$240:$C$248,0),MATCH($B145,tabellen_EMD!$C$240:$Z$240,0))*(F145&lt;&gt;"zomercomfort"),0)</f>
        <v>0.34</v>
      </c>
      <c r="BH145" s="47" t="str">
        <f t="shared" si="72"/>
        <v>kg/kWh</v>
      </c>
      <c r="BI145" s="899"/>
    </row>
    <row r="146" spans="1:61" hidden="1">
      <c r="A146" s="49"/>
      <c r="B146" s="47" t="str">
        <f t="shared" si="60"/>
        <v>VABI NTA 8800</v>
      </c>
      <c r="C146" s="47" t="str">
        <f t="shared" si="60"/>
        <v>NTA 8800</v>
      </c>
      <c r="D146" s="943"/>
      <c r="E146" s="14"/>
      <c r="F146" s="22" t="s">
        <v>1443</v>
      </c>
      <c r="G146" s="22"/>
      <c r="H146" s="22"/>
      <c r="I146" s="905"/>
      <c r="J146" s="1691" t="s">
        <v>463</v>
      </c>
      <c r="K146" s="1698"/>
      <c r="L146" s="16"/>
      <c r="M146" s="24">
        <f t="shared" si="63"/>
        <v>0</v>
      </c>
      <c r="N146" s="47" t="str">
        <f t="shared" si="64"/>
        <v>kWh</v>
      </c>
      <c r="O146" s="909"/>
      <c r="P146" s="39"/>
      <c r="Q146" s="59">
        <f t="shared" si="65"/>
        <v>1</v>
      </c>
      <c r="R146" s="15"/>
      <c r="S146" s="25"/>
      <c r="T146" s="47" t="str">
        <f>IFERROR(INDEX(energiedragers_EP_eenheden,MATCH($J146,tabellen_EMD!$C$196:$C$204,0),MATCH($B146,energiedragers_EP_eenheden_titel,0)),"-")</f>
        <v>kWh</v>
      </c>
      <c r="U146" s="39"/>
      <c r="V146" s="15"/>
      <c r="W146" s="59">
        <f t="shared" si="66"/>
        <v>0.183</v>
      </c>
      <c r="X146" s="47" t="str">
        <f t="shared" si="67"/>
        <v>kg/kWh</v>
      </c>
      <c r="Y146" s="12"/>
      <c r="Z146" s="24">
        <f t="shared" si="68"/>
        <v>0</v>
      </c>
      <c r="AA146" s="47" t="s">
        <v>468</v>
      </c>
      <c r="AB146" s="67"/>
      <c r="AC146" s="995"/>
      <c r="AD146" s="1405"/>
      <c r="AE146" s="1405"/>
      <c r="AF146" s="1405"/>
      <c r="AG146" s="1405"/>
      <c r="AH146" s="1405"/>
      <c r="AI146" s="1405"/>
      <c r="AJ146" s="1405"/>
      <c r="AK146" s="1405"/>
      <c r="AL146" s="1405"/>
      <c r="AM146" s="1405"/>
      <c r="AN146" s="1405"/>
      <c r="AO146" s="1405"/>
      <c r="AP146" s="1405"/>
      <c r="AQ146" s="1405"/>
      <c r="AR146" s="1405"/>
      <c r="AS146" s="67"/>
      <c r="AT146" s="995"/>
      <c r="AU146" s="12"/>
      <c r="AV146" s="22" t="str">
        <f t="shared" si="61"/>
        <v>hulpenergie waakvlam</v>
      </c>
      <c r="AW146" s="46" t="str">
        <f t="shared" si="62"/>
        <v>aardgas</v>
      </c>
      <c r="AX146" s="24"/>
      <c r="AY146" s="12"/>
      <c r="AZ146" s="115">
        <v>1</v>
      </c>
      <c r="BA146" s="24">
        <f>IFERROR(INDEX(tabellen_EMD!$C$185:$N$193,MATCH($J146,tabellen_EMD!$C$185:$C$193,0),MATCH(BA$63,tabellen_EMD!$C$185:$N$185,0)),0)</f>
        <v>0</v>
      </c>
      <c r="BB146" s="115">
        <f t="shared" si="69"/>
        <v>1</v>
      </c>
      <c r="BC146" s="899"/>
      <c r="BD146" s="115">
        <f t="shared" si="70"/>
        <v>1</v>
      </c>
      <c r="BE146" s="47" t="str">
        <f t="shared" si="71"/>
        <v>kWh/kWh</v>
      </c>
      <c r="BF146" s="899"/>
      <c r="BG146" s="218">
        <f>IFERROR(INDEX(tabellen_EMD!$C$240:$Z$248,MATCH($J146,tabellen_EMD!$C$240:$C$248,0),MATCH($B146,tabellen_EMD!$C$240:$Z$240,0))*(F146&lt;&gt;"zomercomfort"),0)</f>
        <v>0.183</v>
      </c>
      <c r="BH146" s="47" t="str">
        <f t="shared" si="72"/>
        <v>kg/kWh</v>
      </c>
      <c r="BI146" s="899"/>
    </row>
    <row r="147" spans="1:61" hidden="1">
      <c r="A147" s="86"/>
      <c r="B147" s="47" t="str">
        <f t="shared" si="60"/>
        <v>VABI NTA 8800</v>
      </c>
      <c r="C147" s="47" t="str">
        <f t="shared" si="60"/>
        <v>NTA 8800</v>
      </c>
      <c r="D147" s="943"/>
      <c r="E147" s="50"/>
      <c r="F147" s="22" t="s">
        <v>509</v>
      </c>
      <c r="G147" s="22"/>
      <c r="H147" s="22"/>
      <c r="I147" s="905"/>
      <c r="J147" s="1691" t="s">
        <v>466</v>
      </c>
      <c r="K147" s="1698"/>
      <c r="L147" s="16"/>
      <c r="M147" s="24">
        <f t="shared" si="63"/>
        <v>0</v>
      </c>
      <c r="N147" s="47" t="str">
        <f t="shared" si="64"/>
        <v>kWh</v>
      </c>
      <c r="O147" s="909"/>
      <c r="P147" s="39"/>
      <c r="Q147" s="59">
        <f t="shared" si="65"/>
        <v>1.45</v>
      </c>
      <c r="R147" s="15"/>
      <c r="S147" s="25"/>
      <c r="T147" s="47" t="str">
        <f>IFERROR(INDEX(energiedragers_EP_eenheden,MATCH($J147,tabellen_EMD!$C$196:$C$204,0),MATCH($B147,energiedragers_EP_eenheden_titel,0)),"-")</f>
        <v>kWh</v>
      </c>
      <c r="U147" s="39"/>
      <c r="V147" s="15"/>
      <c r="W147" s="59">
        <f t="shared" si="66"/>
        <v>0.34</v>
      </c>
      <c r="X147" s="47" t="str">
        <f t="shared" si="67"/>
        <v>kg/kWh</v>
      </c>
      <c r="Y147" s="12"/>
      <c r="Z147" s="24">
        <f t="shared" si="68"/>
        <v>0</v>
      </c>
      <c r="AA147" s="47" t="s">
        <v>468</v>
      </c>
      <c r="AB147" s="1393"/>
      <c r="AC147" s="1001"/>
      <c r="AD147" s="1405"/>
      <c r="AE147" s="1405"/>
      <c r="AF147" s="1405"/>
      <c r="AG147" s="1405"/>
      <c r="AH147" s="1405"/>
      <c r="AI147" s="1405"/>
      <c r="AJ147" s="1405"/>
      <c r="AK147" s="1405"/>
      <c r="AL147" s="1405"/>
      <c r="AM147" s="1405"/>
      <c r="AN147" s="1405"/>
      <c r="AO147" s="1405"/>
      <c r="AP147" s="1405"/>
      <c r="AQ147" s="1405"/>
      <c r="AR147" s="1405"/>
      <c r="AS147" s="1393"/>
      <c r="AT147" s="1001"/>
      <c r="AU147" s="12"/>
      <c r="AV147" s="22" t="str">
        <f t="shared" si="61"/>
        <v>elektriciteitsopwekking</v>
      </c>
      <c r="AW147" s="46" t="str">
        <f t="shared" si="62"/>
        <v>elektriciteit opgewekt</v>
      </c>
      <c r="AX147" s="24"/>
      <c r="AY147" s="12"/>
      <c r="AZ147" s="115">
        <v>1</v>
      </c>
      <c r="BA147" s="24">
        <f>IFERROR(INDEX(tabellen_EMD!$C$185:$N$193,MATCH($J147,tabellen_EMD!$C$185:$C$193,0),MATCH(BA$63,tabellen_EMD!$C$185:$N$185,0)),0)</f>
        <v>0</v>
      </c>
      <c r="BB147" s="115">
        <f t="shared" si="69"/>
        <v>1.45</v>
      </c>
      <c r="BC147" s="899"/>
      <c r="BD147" s="115">
        <f t="shared" si="70"/>
        <v>1</v>
      </c>
      <c r="BE147" s="47" t="str">
        <f t="shared" si="71"/>
        <v>kWh/kWh</v>
      </c>
      <c r="BF147" s="899"/>
      <c r="BG147" s="218">
        <f>IFERROR(INDEX(tabellen_EMD!$C$240:$Z$248,MATCH($J147,tabellen_EMD!$C$240:$C$248,0),MATCH($B147,tabellen_EMD!$C$240:$Z$240,0))*(F147&lt;&gt;"zomercomfort"),0)</f>
        <v>0.34</v>
      </c>
      <c r="BH147" s="47" t="str">
        <f t="shared" si="72"/>
        <v>kg/kWh</v>
      </c>
      <c r="BI147" s="899"/>
    </row>
    <row r="148" spans="1:61" s="940" customFormat="1" hidden="1">
      <c r="A148" s="49"/>
      <c r="B148" s="47" t="str">
        <f t="shared" si="60"/>
        <v>VABI NTA 8800</v>
      </c>
      <c r="C148" s="47" t="str">
        <f t="shared" si="60"/>
        <v>NTA 8800</v>
      </c>
      <c r="D148" s="943"/>
      <c r="E148" s="14"/>
      <c r="F148" s="15" t="s">
        <v>1391</v>
      </c>
      <c r="G148" s="951"/>
      <c r="H148" s="15"/>
      <c r="I148" s="905"/>
      <c r="J148" s="43" t="s">
        <v>1391</v>
      </c>
      <c r="K148" s="43"/>
      <c r="L148" s="16"/>
      <c r="M148" s="950">
        <f>SUM(M138:M146)-M147</f>
        <v>0</v>
      </c>
      <c r="N148" s="15" t="str">
        <f t="shared" si="64"/>
        <v>kWh</v>
      </c>
      <c r="O148" s="15"/>
      <c r="P148" s="39"/>
      <c r="Q148" s="39"/>
      <c r="R148" s="15"/>
      <c r="S148" s="899"/>
      <c r="T148" s="899"/>
      <c r="U148" s="39"/>
      <c r="V148" s="39"/>
      <c r="W148" s="39"/>
      <c r="X148" s="39"/>
      <c r="Y148" s="12"/>
      <c r="Z148" s="950">
        <f>SUM(Z138:Z145)-SUM(Z146:Z147)</f>
        <v>0</v>
      </c>
      <c r="AA148" s="15" t="s">
        <v>468</v>
      </c>
      <c r="AB148" s="67"/>
      <c r="AC148" s="995"/>
      <c r="AD148" s="1405"/>
      <c r="AE148" s="1405"/>
      <c r="AF148" s="1405"/>
      <c r="AG148" s="1405"/>
      <c r="AH148" s="1405"/>
      <c r="AI148" s="1405"/>
      <c r="AJ148" s="1405"/>
      <c r="AK148" s="1405"/>
      <c r="AL148" s="1405"/>
      <c r="AM148" s="1405"/>
      <c r="AN148" s="1405"/>
      <c r="AO148" s="1405"/>
      <c r="AP148" s="1405"/>
      <c r="AQ148" s="1405"/>
      <c r="AR148" s="1405"/>
      <c r="AS148" s="67"/>
      <c r="AT148" s="995"/>
      <c r="AU148" s="12"/>
      <c r="AV148" s="22" t="str">
        <f t="shared" si="61"/>
        <v>totaal</v>
      </c>
      <c r="AW148" s="46" t="str">
        <f t="shared" si="62"/>
        <v>totaal</v>
      </c>
      <c r="AX148" s="24"/>
      <c r="AY148" s="12"/>
      <c r="AZ148" s="12"/>
      <c r="BA148" s="12"/>
      <c r="BB148" s="12"/>
      <c r="BC148" s="899"/>
      <c r="BD148" s="899"/>
      <c r="BE148" s="899"/>
      <c r="BF148" s="899"/>
      <c r="BG148" s="15"/>
      <c r="BH148" s="15"/>
      <c r="BI148" s="899"/>
    </row>
    <row r="149" spans="1:61" s="49" customFormat="1" hidden="1">
      <c r="A149" s="212"/>
      <c r="B149" s="47" t="str">
        <f t="shared" si="60"/>
        <v>VABI NTA 8800</v>
      </c>
      <c r="C149" s="47" t="str">
        <f t="shared" si="60"/>
        <v>NTA 8800</v>
      </c>
      <c r="D149" s="943"/>
      <c r="E149" s="50"/>
      <c r="F149" s="452" t="str">
        <f>IFERROR(IF($P$23=$B149,_xlfn.CONCAT("Bij 1.1 ingevuld: ",FIXED($J$35,2,FALSE)," ",$K$35),""),"invoer niet correct")</f>
        <v/>
      </c>
      <c r="G149" s="452"/>
      <c r="H149" s="452"/>
      <c r="I149" s="905"/>
      <c r="J149" s="909" t="str">
        <f>IFERROR(IF($P$23=$B149,IF(ABS((M149-$J$35)/$J$35)&gt;1%,"Afwijking &gt;1% met subthema 1.1",""),""),"invoer niet correct")</f>
        <v/>
      </c>
      <c r="K149" s="909"/>
      <c r="L149" s="910"/>
      <c r="M149" s="1339" t="str">
        <f>IFERROR(IF($P$23=$B149,M148/$J$59,""),"")</f>
        <v/>
      </c>
      <c r="N149" s="452" t="str">
        <f>IF($P$23=$B149,_xlfn.CONCAT(N148,"/m2"),"")</f>
        <v/>
      </c>
      <c r="O149" s="452"/>
      <c r="P149" s="39"/>
      <c r="Q149" s="39"/>
      <c r="R149" s="899"/>
      <c r="S149" s="899"/>
      <c r="T149" s="899"/>
      <c r="U149" s="39"/>
      <c r="V149" s="39"/>
      <c r="W149" s="910" t="str">
        <f>IFERROR(IF($P$23=$B149,_xlfn.CONCAT("Bij 1.1 ingevuld: ",FIXED($AG$40,1,FALSE)," ",$AH$40),""),"invoer niet correct")</f>
        <v/>
      </c>
      <c r="X149" s="909" t="str">
        <f>IFERROR(IF($P$23=$B149,IF(ABS((Z149-$AG$40)/$AG$40)&gt;1%,"afwijking &gt;1% met subthema 1.1",""),""),"invoer niet correct")</f>
        <v/>
      </c>
      <c r="Y149" s="12"/>
      <c r="Z149" s="951" t="str">
        <f>IFERROR(IF($P$23=$B149,Z148/$J$58,""),"")</f>
        <v/>
      </c>
      <c r="AA149" s="452" t="str">
        <f>IF($P$23=$B149,_xlfn.CONCAT(AA148,"/m2"),"")</f>
        <v/>
      </c>
      <c r="AB149" s="1393"/>
      <c r="AC149" s="1001"/>
      <c r="AD149" s="1405"/>
      <c r="AE149" s="1405"/>
      <c r="AF149" s="1405"/>
      <c r="AG149" s="1405"/>
      <c r="AH149" s="1405"/>
      <c r="AI149" s="1405"/>
      <c r="AJ149" s="1405"/>
      <c r="AK149" s="1405"/>
      <c r="AL149" s="1405"/>
      <c r="AM149" s="1405"/>
      <c r="AN149" s="1405"/>
      <c r="AO149" s="1405"/>
      <c r="AP149" s="1405"/>
      <c r="AQ149" s="1405"/>
      <c r="AR149" s="1405"/>
      <c r="AS149" s="1393"/>
      <c r="AT149" s="1001"/>
      <c r="AU149" s="12"/>
      <c r="AV149" s="452"/>
      <c r="AW149" s="452"/>
      <c r="AX149" s="452"/>
      <c r="AY149" s="452"/>
      <c r="AZ149" s="452"/>
      <c r="BA149" s="452"/>
      <c r="BB149" s="452"/>
      <c r="BC149" s="452"/>
      <c r="BD149" s="452"/>
      <c r="BE149" s="452"/>
      <c r="BF149" s="452"/>
      <c r="BG149" s="452"/>
      <c r="BH149" s="452"/>
      <c r="BI149" s="899"/>
    </row>
    <row r="150" spans="1:61" s="49" customFormat="1" hidden="1">
      <c r="B150" s="47" t="str">
        <f>B149</f>
        <v>VABI NTA 8800</v>
      </c>
      <c r="C150" s="47" t="str">
        <f>C149</f>
        <v>NTA 8800</v>
      </c>
      <c r="D150" s="943"/>
      <c r="E150" s="50"/>
      <c r="F150" s="43"/>
      <c r="G150" s="43"/>
      <c r="H150" s="43"/>
      <c r="I150" s="905"/>
      <c r="J150" s="44"/>
      <c r="K150" s="44"/>
      <c r="L150" s="44"/>
      <c r="M150" s="917"/>
      <c r="N150" s="44"/>
      <c r="O150" s="44"/>
      <c r="P150" s="39"/>
      <c r="Q150" s="39"/>
      <c r="R150" s="899"/>
      <c r="S150" s="899"/>
      <c r="T150" s="899"/>
      <c r="U150" s="39"/>
      <c r="V150" s="39"/>
      <c r="W150" s="39"/>
      <c r="X150" s="39"/>
      <c r="Y150" s="12"/>
      <c r="Z150" s="899"/>
      <c r="AA150" s="899"/>
      <c r="AB150" s="1393"/>
      <c r="AC150" s="1001"/>
      <c r="AD150" s="1405"/>
      <c r="AE150" s="1405"/>
      <c r="AF150" s="1405"/>
      <c r="AG150" s="1405"/>
      <c r="AH150" s="1405"/>
      <c r="AI150" s="1405"/>
      <c r="AJ150" s="1405"/>
      <c r="AK150" s="1405"/>
      <c r="AL150" s="1405"/>
      <c r="AM150" s="1405"/>
      <c r="AN150" s="1405"/>
      <c r="AO150" s="1405"/>
      <c r="AP150" s="1405"/>
      <c r="AQ150" s="1405"/>
      <c r="AR150" s="1405"/>
      <c r="AS150" s="1393"/>
      <c r="AT150" s="1001"/>
      <c r="AU150" s="12"/>
      <c r="AV150" s="12"/>
      <c r="AW150" s="12"/>
      <c r="AX150" s="12"/>
      <c r="AY150" s="12"/>
      <c r="AZ150" s="44"/>
      <c r="BA150" s="12"/>
      <c r="BB150" s="44"/>
      <c r="BC150" s="899"/>
      <c r="BD150" s="899"/>
      <c r="BE150" s="899"/>
      <c r="BF150" s="899"/>
      <c r="BG150" s="899"/>
      <c r="BH150" s="899"/>
      <c r="BI150" s="899"/>
    </row>
    <row r="151" spans="1:61" hidden="1">
      <c r="A151" s="49"/>
      <c r="B151" s="939" t="str">
        <f>tabellen_EMD!$C$179</f>
        <v>Uniec 3 per functie</v>
      </c>
      <c r="C151" s="939" t="str">
        <f>VLOOKUP(B151,'ISSO75.3 naar GPR4'!$AV$40:$AY$48,COLUMNS($AV$40:$AX$40),FALSE)</f>
        <v>NTA 8800</v>
      </c>
      <c r="D151" s="943"/>
      <c r="E151" s="14"/>
      <c r="F151" s="15" t="str">
        <f>_xlfn.CONCAT("Overnemen uit '",B151,"': ",VLOOKUP(B151,$AV$41:$AZ$48,COLUMNS($AV$40:$AZ$40),FALSE))</f>
        <v>Overnemen uit 'Uniec 3 per functie': Jaarlijkse hoeveelheid energiegebruik voor de energiefunctie</v>
      </c>
      <c r="G151" s="15"/>
      <c r="H151" s="15"/>
      <c r="I151" s="905"/>
      <c r="J151" s="41"/>
      <c r="K151" s="41"/>
      <c r="L151" s="12"/>
      <c r="M151" s="909" t="s">
        <v>1485</v>
      </c>
      <c r="N151" s="41"/>
      <c r="O151" s="41"/>
      <c r="P151" s="453" t="s">
        <v>1487</v>
      </c>
      <c r="Q151" s="39"/>
      <c r="R151" s="39"/>
      <c r="S151" s="453" t="s">
        <v>1484</v>
      </c>
      <c r="T151" s="39"/>
      <c r="U151" s="39"/>
      <c r="V151" s="453" t="s">
        <v>1613</v>
      </c>
      <c r="W151" s="39"/>
      <c r="X151" s="39"/>
      <c r="Y151" s="12"/>
      <c r="Z151" s="453" t="s">
        <v>1536</v>
      </c>
      <c r="AA151" s="12"/>
      <c r="AB151" s="67"/>
      <c r="AC151" s="995"/>
      <c r="AD151" s="1405"/>
      <c r="AE151" s="1405"/>
      <c r="AF151" s="1405"/>
      <c r="AG151" s="1405"/>
      <c r="AH151" s="1405"/>
      <c r="AI151" s="1405"/>
      <c r="AJ151" s="1405"/>
      <c r="AK151" s="1405"/>
      <c r="AL151" s="1405"/>
      <c r="AM151" s="1405"/>
      <c r="AN151" s="1405"/>
      <c r="AO151" s="1405"/>
      <c r="AP151" s="1405"/>
      <c r="AQ151" s="1405"/>
      <c r="AR151" s="1405"/>
      <c r="AS151" s="67"/>
      <c r="AT151" s="995"/>
      <c r="AU151" s="12"/>
      <c r="AV151" s="12"/>
      <c r="AW151" s="12"/>
      <c r="AX151" s="12"/>
      <c r="AY151" s="12"/>
      <c r="AZ151" s="888" t="str">
        <f>AZ$63</f>
        <v>Eenheid energie</v>
      </c>
      <c r="BA151" s="888" t="s">
        <v>1628</v>
      </c>
      <c r="BB151" s="888" t="str">
        <f>BB$63</f>
        <v>PEF finaal → primair</v>
      </c>
      <c r="BC151" s="452"/>
      <c r="BD151" s="452" t="str">
        <f>BD$63</f>
        <v>eenheden omrekenen</v>
      </c>
      <c r="BE151" s="452"/>
      <c r="BF151" s="452"/>
      <c r="BG151" s="888" t="str">
        <f>BG$63</f>
        <v>CO2</v>
      </c>
      <c r="BH151" s="39"/>
      <c r="BI151" s="39"/>
    </row>
    <row r="152" spans="1:61" hidden="1">
      <c r="A152" s="49"/>
      <c r="B152" s="47" t="str">
        <f t="shared" ref="B152:C167" si="73">B151</f>
        <v>Uniec 3 per functie</v>
      </c>
      <c r="C152" s="47" t="str">
        <f t="shared" si="73"/>
        <v>NTA 8800</v>
      </c>
      <c r="D152" s="943"/>
      <c r="E152" s="14"/>
      <c r="F152" s="892" t="s">
        <v>496</v>
      </c>
      <c r="G152" s="892"/>
      <c r="H152" s="892"/>
      <c r="I152" s="905"/>
      <c r="J152" s="909" t="s">
        <v>458</v>
      </c>
      <c r="K152" s="909"/>
      <c r="L152" s="889"/>
      <c r="M152" s="910" t="s">
        <v>1534</v>
      </c>
      <c r="N152" s="452" t="s">
        <v>204</v>
      </c>
      <c r="O152" s="39"/>
      <c r="P152" s="888" t="s">
        <v>1533</v>
      </c>
      <c r="Q152" s="910" t="s">
        <v>1532</v>
      </c>
      <c r="R152" s="452"/>
      <c r="S152" s="888" t="s">
        <v>1534</v>
      </c>
      <c r="T152" s="889" t="s">
        <v>204</v>
      </c>
      <c r="U152" s="39"/>
      <c r="V152" s="888" t="s">
        <v>1533</v>
      </c>
      <c r="W152" s="910" t="s">
        <v>1532</v>
      </c>
      <c r="X152" s="889" t="s">
        <v>204</v>
      </c>
      <c r="Y152" s="12"/>
      <c r="Z152" s="888" t="s">
        <v>1534</v>
      </c>
      <c r="AA152" s="889" t="s">
        <v>204</v>
      </c>
      <c r="AB152" s="67"/>
      <c r="AC152" s="995"/>
      <c r="AD152" s="1405"/>
      <c r="AE152" s="1405"/>
      <c r="AF152" s="1405"/>
      <c r="AG152" s="1405"/>
      <c r="AH152" s="1405"/>
      <c r="AI152" s="1405"/>
      <c r="AJ152" s="1405"/>
      <c r="AK152" s="1405"/>
      <c r="AL152" s="1405"/>
      <c r="AM152" s="1405"/>
      <c r="AN152" s="1405"/>
      <c r="AO152" s="1405"/>
      <c r="AP152" s="1405"/>
      <c r="AQ152" s="1405"/>
      <c r="AR152" s="1405"/>
      <c r="AS152" s="67"/>
      <c r="AT152" s="995"/>
      <c r="AU152" s="12"/>
      <c r="AV152" s="892" t="str">
        <f t="shared" ref="AV152:AV166" si="74">F152</f>
        <v>energiefunctie</v>
      </c>
      <c r="AW152" s="452" t="str">
        <f t="shared" ref="AW152:AW166" si="75">J152</f>
        <v>energiedrager</v>
      </c>
      <c r="AX152" s="910"/>
      <c r="AY152" s="12"/>
      <c r="AZ152" s="888" t="str">
        <f>AZ$64</f>
        <v>pos/neg</v>
      </c>
      <c r="BA152" s="888"/>
      <c r="BB152" s="888" t="str">
        <f>BB$64</f>
        <v>default</v>
      </c>
      <c r="BC152" s="452"/>
      <c r="BD152" s="452" t="str">
        <f>BD$64</f>
        <v>waarde</v>
      </c>
      <c r="BE152" s="452" t="str">
        <f>BE$64</f>
        <v>eenheden</v>
      </c>
      <c r="BF152" s="452"/>
      <c r="BG152" s="888" t="str">
        <f>BG$64</f>
        <v>default</v>
      </c>
      <c r="BH152" s="888" t="str">
        <f>BH$64</f>
        <v>eenheid</v>
      </c>
      <c r="BI152" s="452"/>
    </row>
    <row r="153" spans="1:61" hidden="1">
      <c r="A153" s="86"/>
      <c r="B153" s="47" t="str">
        <f>B156</f>
        <v>Uniec 3 per functie</v>
      </c>
      <c r="C153" s="47" t="str">
        <f>C156</f>
        <v>NTA 8800</v>
      </c>
      <c r="D153" s="943"/>
      <c r="E153" s="14"/>
      <c r="F153" s="22" t="s">
        <v>1508</v>
      </c>
      <c r="G153" s="22"/>
      <c r="H153" s="22"/>
      <c r="I153" s="905"/>
      <c r="J153" s="1685"/>
      <c r="K153" s="1685"/>
      <c r="L153" s="16"/>
      <c r="M153" s="25"/>
      <c r="N153" s="22" t="str">
        <f>INDEX(EP_methode_eenheid,1,MATCH($C153,EP_methode,0))</f>
        <v>kWh</v>
      </c>
      <c r="O153" s="15"/>
      <c r="P153" s="154"/>
      <c r="Q153" s="59">
        <f t="shared" ref="Q153:Q161" si="76">IFERROR(IF(AND(P153&lt;&gt;"",$BA153=1),P153,BB153),1)</f>
        <v>1</v>
      </c>
      <c r="R153" s="15"/>
      <c r="S153" s="59">
        <f t="shared" ref="S153:S161" si="77">M153/Q153/BD153</f>
        <v>0</v>
      </c>
      <c r="T153" s="47" t="str">
        <f>IFERROR(INDEX(energiedragers_EP_eenheden,MATCH($J153,tabellen_EMD!$C$196:$C$204,0),MATCH($B153,energiedragers_EP_eenheden_titel,0)),"-")</f>
        <v>-</v>
      </c>
      <c r="U153" s="213" t="s">
        <v>396</v>
      </c>
      <c r="V153" s="154"/>
      <c r="W153" s="59">
        <f t="shared" ref="W153:W161" si="78">IF(AND(V153&lt;&gt;"",$BA153=1),V153,BG153)</f>
        <v>0</v>
      </c>
      <c r="X153" s="47" t="str">
        <f t="shared" ref="X153:X165" si="79">BH153</f>
        <v>kg/-</v>
      </c>
      <c r="Y153" s="12"/>
      <c r="Z153" s="24">
        <f t="shared" ref="Z153:Z161" si="80">S153*W153*ABS(AZ153)</f>
        <v>0</v>
      </c>
      <c r="AA153" s="47" t="s">
        <v>468</v>
      </c>
      <c r="AB153" s="67"/>
      <c r="AC153" s="995"/>
      <c r="AD153" s="1405"/>
      <c r="AE153" s="1405"/>
      <c r="AF153" s="1405"/>
      <c r="AG153" s="1405"/>
      <c r="AH153" s="1405"/>
      <c r="AI153" s="1405"/>
      <c r="AJ153" s="1405"/>
      <c r="AK153" s="1405"/>
      <c r="AL153" s="1405"/>
      <c r="AM153" s="1405"/>
      <c r="AN153" s="1405"/>
      <c r="AO153" s="1405"/>
      <c r="AP153" s="1405"/>
      <c r="AQ153" s="1405"/>
      <c r="AR153" s="1405"/>
      <c r="AS153" s="67"/>
      <c r="AT153" s="995"/>
      <c r="AU153" s="12"/>
      <c r="AV153" s="22" t="str">
        <f t="shared" si="74"/>
        <v>koeling (excl. hulpenergie)</v>
      </c>
      <c r="AW153" s="46">
        <f t="shared" si="75"/>
        <v>0</v>
      </c>
      <c r="AX153" s="24"/>
      <c r="AY153" s="12"/>
      <c r="AZ153" s="115">
        <v>1</v>
      </c>
      <c r="BA153" s="24">
        <f>IFERROR(INDEX(tabellen_EMD!$C$185:$N$193,MATCH($J153,tabellen_EMD!$C$185:$C$193,0),MATCH(BA$63,tabellen_EMD!$C$185:$N$185,0)),0)</f>
        <v>0</v>
      </c>
      <c r="BB153" s="115" t="e">
        <f t="shared" ref="BB153:BB165" si="81">VLOOKUP($J153,energiedragers_EP_PEF,MATCH(_xlfn.CONCAT($C153," | PEF"),energiedragers_EP_PEF_titel,0),FALSE)</f>
        <v>#N/A</v>
      </c>
      <c r="BC153" s="15"/>
      <c r="BD153" s="115">
        <f t="shared" ref="BD153:BD161" si="82">IFERROR(VLOOKUP($J153,energiedragers_EP_omrekenen,MATCH($B153,energiedragers_EP_omrekenen_titel,0),FALSE),1)</f>
        <v>1</v>
      </c>
      <c r="BE153" s="47" t="str">
        <f t="shared" ref="BE153:BE161" si="83">_xlfn.CONCAT(N153,"/",T153)</f>
        <v>kWh/-</v>
      </c>
      <c r="BF153" s="15"/>
      <c r="BG153" s="218">
        <f>IFERROR(INDEX(tabellen_EMD!$C$240:$Z$248,MATCH($J153,tabellen_EMD!$C$240:$C$248,0),MATCH($B153,tabellen_EMD!$C$240:$Z$240,0))*(F153&lt;&gt;"zomercomfort"),0)</f>
        <v>0</v>
      </c>
      <c r="BH153" s="47" t="str">
        <f t="shared" ref="BH153:BH161" si="84">"kg/"&amp;T153</f>
        <v>kg/-</v>
      </c>
      <c r="BI153" s="15"/>
    </row>
    <row r="154" spans="1:61" hidden="1">
      <c r="A154" s="86"/>
      <c r="B154" s="47" t="str">
        <f>B153</f>
        <v>Uniec 3 per functie</v>
      </c>
      <c r="C154" s="47" t="str">
        <f>C153</f>
        <v>NTA 8800</v>
      </c>
      <c r="D154" s="943"/>
      <c r="E154" s="14"/>
      <c r="F154" s="209" t="s">
        <v>1502</v>
      </c>
      <c r="G154" s="209"/>
      <c r="H154" s="209"/>
      <c r="I154" s="905"/>
      <c r="J154" s="1691" t="s">
        <v>465</v>
      </c>
      <c r="K154" s="1698"/>
      <c r="L154" s="16"/>
      <c r="M154" s="25"/>
      <c r="N154" s="22" t="str">
        <f>INDEX(EP_methode_eenheid,1,MATCH($C154,EP_methode,0))</f>
        <v>kWh</v>
      </c>
      <c r="O154" s="15"/>
      <c r="P154" s="39"/>
      <c r="Q154" s="59">
        <f t="shared" si="76"/>
        <v>1.45</v>
      </c>
      <c r="R154" s="15"/>
      <c r="S154" s="24">
        <f t="shared" si="77"/>
        <v>0</v>
      </c>
      <c r="T154" s="47" t="str">
        <f>IFERROR(INDEX(energiedragers_EP_eenheden,MATCH($J154,tabellen_EMD!$C$196:$C$204,0),MATCH($B154,energiedragers_EP_eenheden_titel,0)),"-")</f>
        <v>kWh</v>
      </c>
      <c r="U154" s="39"/>
      <c r="V154" s="15"/>
      <c r="W154" s="59">
        <f t="shared" si="78"/>
        <v>0.34</v>
      </c>
      <c r="X154" s="47" t="str">
        <f t="shared" si="79"/>
        <v>kg/kWh</v>
      </c>
      <c r="Y154" s="12"/>
      <c r="Z154" s="24">
        <f t="shared" si="80"/>
        <v>0</v>
      </c>
      <c r="AA154" s="47" t="s">
        <v>468</v>
      </c>
      <c r="AB154" s="67"/>
      <c r="AC154" s="995"/>
      <c r="AD154" s="1405"/>
      <c r="AE154" s="1405"/>
      <c r="AF154" s="1405"/>
      <c r="AG154" s="1405"/>
      <c r="AH154" s="1405"/>
      <c r="AI154" s="1405"/>
      <c r="AJ154" s="1405"/>
      <c r="AK154" s="1405"/>
      <c r="AL154" s="1405"/>
      <c r="AM154" s="1405"/>
      <c r="AN154" s="1405"/>
      <c r="AO154" s="1405"/>
      <c r="AP154" s="1405"/>
      <c r="AQ154" s="1405"/>
      <c r="AR154" s="1405"/>
      <c r="AS154" s="67"/>
      <c r="AT154" s="995"/>
      <c r="AU154" s="12"/>
      <c r="AV154" s="22" t="str">
        <f t="shared" si="74"/>
        <v>hulpenergie</v>
      </c>
      <c r="AW154" s="46" t="str">
        <f t="shared" si="75"/>
        <v>elektriciteit</v>
      </c>
      <c r="AX154" s="24"/>
      <c r="AY154" s="12"/>
      <c r="AZ154" s="115">
        <v>1</v>
      </c>
      <c r="BA154" s="24">
        <f>IFERROR(INDEX(tabellen_EMD!$C$185:$N$193,MATCH($J154,tabellen_EMD!$C$185:$C$193,0),MATCH(BA$63,tabellen_EMD!$C$185:$N$185,0)),0)</f>
        <v>0</v>
      </c>
      <c r="BB154" s="115">
        <f t="shared" si="81"/>
        <v>1.45</v>
      </c>
      <c r="BC154" s="15"/>
      <c r="BD154" s="115">
        <f t="shared" si="82"/>
        <v>1</v>
      </c>
      <c r="BE154" s="47" t="str">
        <f t="shared" si="83"/>
        <v>kWh/kWh</v>
      </c>
      <c r="BF154" s="15"/>
      <c r="BG154" s="218">
        <f>IFERROR(INDEX(tabellen_EMD!$C$240:$Z$248,MATCH($J154,tabellen_EMD!$C$240:$C$248,0),MATCH($B154,tabellen_EMD!$C$240:$Z$240,0))*(F154&lt;&gt;"zomercomfort"),0)</f>
        <v>0.34</v>
      </c>
      <c r="BH154" s="47" t="str">
        <f t="shared" si="84"/>
        <v>kg/kWh</v>
      </c>
      <c r="BI154" s="15"/>
    </row>
    <row r="155" spans="1:61" hidden="1">
      <c r="A155" s="86"/>
      <c r="B155" s="47" t="str">
        <f>B158</f>
        <v>Uniec 3 per functie</v>
      </c>
      <c r="C155" s="47" t="str">
        <f>C158</f>
        <v>NTA 8800</v>
      </c>
      <c r="D155" s="943"/>
      <c r="E155" s="14"/>
      <c r="F155" s="22" t="s">
        <v>1507</v>
      </c>
      <c r="G155" s="22"/>
      <c r="H155" s="22"/>
      <c r="I155" s="905"/>
      <c r="J155" s="1685"/>
      <c r="K155" s="1685"/>
      <c r="L155" s="16"/>
      <c r="M155" s="25"/>
      <c r="N155" s="22" t="str">
        <f>INDEX(EP_methode_eenheid,1,MATCH($C155,EP_methode,0))</f>
        <v>kWh</v>
      </c>
      <c r="O155" s="15"/>
      <c r="P155" s="154"/>
      <c r="Q155" s="59">
        <f t="shared" si="76"/>
        <v>1</v>
      </c>
      <c r="R155" s="15"/>
      <c r="S155" s="24">
        <f t="shared" si="77"/>
        <v>0</v>
      </c>
      <c r="T155" s="47" t="str">
        <f>IFERROR(INDEX(energiedragers_EP_eenheden,MATCH($J155,tabellen_EMD!$C$196:$C$204,0),MATCH($B155,energiedragers_EP_eenheden_titel,0)),"-")</f>
        <v>-</v>
      </c>
      <c r="U155" s="39"/>
      <c r="V155" s="154"/>
      <c r="W155" s="59">
        <f t="shared" si="78"/>
        <v>0</v>
      </c>
      <c r="X155" s="47" t="str">
        <f t="shared" si="79"/>
        <v>kg/-</v>
      </c>
      <c r="Y155" s="12"/>
      <c r="Z155" s="24">
        <f t="shared" si="80"/>
        <v>0</v>
      </c>
      <c r="AA155" s="47" t="s">
        <v>468</v>
      </c>
      <c r="AB155" s="67"/>
      <c r="AC155" s="995"/>
      <c r="AD155" s="1405"/>
      <c r="AE155" s="1405"/>
      <c r="AF155" s="1405"/>
      <c r="AG155" s="1405"/>
      <c r="AH155" s="1405"/>
      <c r="AI155" s="1405"/>
      <c r="AJ155" s="1405"/>
      <c r="AK155" s="1405"/>
      <c r="AL155" s="1405"/>
      <c r="AM155" s="1405"/>
      <c r="AN155" s="1405"/>
      <c r="AO155" s="1405"/>
      <c r="AP155" s="1405"/>
      <c r="AQ155" s="1405"/>
      <c r="AR155" s="1405"/>
      <c r="AS155" s="67"/>
      <c r="AT155" s="995"/>
      <c r="AU155" s="12"/>
      <c r="AV155" s="22" t="str">
        <f t="shared" si="74"/>
        <v>warm tapwater (excl. hulpenergie)</v>
      </c>
      <c r="AW155" s="46">
        <f t="shared" si="75"/>
        <v>0</v>
      </c>
      <c r="AX155" s="24"/>
      <c r="AY155" s="12"/>
      <c r="AZ155" s="115">
        <v>1</v>
      </c>
      <c r="BA155" s="24">
        <f>IFERROR(INDEX(tabellen_EMD!$C$185:$N$193,MATCH($J155,tabellen_EMD!$C$185:$C$193,0),MATCH(BA$63,tabellen_EMD!$C$185:$N$185,0)),0)</f>
        <v>0</v>
      </c>
      <c r="BB155" s="115" t="e">
        <f t="shared" si="81"/>
        <v>#N/A</v>
      </c>
      <c r="BC155" s="15"/>
      <c r="BD155" s="115">
        <f t="shared" si="82"/>
        <v>1</v>
      </c>
      <c r="BE155" s="47" t="str">
        <f t="shared" si="83"/>
        <v>kWh/-</v>
      </c>
      <c r="BF155" s="15"/>
      <c r="BG155" s="218">
        <f>IFERROR(INDEX(tabellen_EMD!$C$240:$Z$248,MATCH($J155,tabellen_EMD!$C$240:$C$248,0),MATCH($B155,tabellen_EMD!$C$240:$Z$240,0))*(F155&lt;&gt;"zomercomfort"),0)</f>
        <v>0</v>
      </c>
      <c r="BH155" s="47" t="str">
        <f t="shared" si="84"/>
        <v>kg/-</v>
      </c>
      <c r="BI155" s="15"/>
    </row>
    <row r="156" spans="1:61" hidden="1">
      <c r="A156" s="86"/>
      <c r="B156" s="47" t="str">
        <f>B155</f>
        <v>Uniec 3 per functie</v>
      </c>
      <c r="C156" s="47" t="str">
        <f>C155</f>
        <v>NTA 8800</v>
      </c>
      <c r="D156" s="943"/>
      <c r="E156" s="14"/>
      <c r="F156" s="209" t="s">
        <v>1502</v>
      </c>
      <c r="G156" s="209"/>
      <c r="H156" s="209"/>
      <c r="I156" s="905"/>
      <c r="J156" s="1691" t="s">
        <v>465</v>
      </c>
      <c r="K156" s="1698"/>
      <c r="L156" s="16"/>
      <c r="M156" s="25"/>
      <c r="N156" s="22" t="str">
        <f>INDEX(EP_methode_eenheid,1,MATCH($C156,EP_methode,0))</f>
        <v>kWh</v>
      </c>
      <c r="O156" s="15"/>
      <c r="P156" s="39"/>
      <c r="Q156" s="59">
        <f t="shared" si="76"/>
        <v>1.45</v>
      </c>
      <c r="R156" s="15"/>
      <c r="S156" s="24">
        <f t="shared" si="77"/>
        <v>0</v>
      </c>
      <c r="T156" s="47" t="str">
        <f>IFERROR(INDEX(energiedragers_EP_eenheden,MATCH($J156,tabellen_EMD!$C$196:$C$204,0),MATCH($B156,energiedragers_EP_eenheden_titel,0)),"-")</f>
        <v>kWh</v>
      </c>
      <c r="U156" s="39"/>
      <c r="V156" s="15"/>
      <c r="W156" s="59">
        <f t="shared" si="78"/>
        <v>0.34</v>
      </c>
      <c r="X156" s="47" t="str">
        <f t="shared" si="79"/>
        <v>kg/kWh</v>
      </c>
      <c r="Y156" s="12"/>
      <c r="Z156" s="24">
        <f t="shared" si="80"/>
        <v>0</v>
      </c>
      <c r="AA156" s="47" t="s">
        <v>468</v>
      </c>
      <c r="AB156" s="67"/>
      <c r="AC156" s="995"/>
      <c r="AD156" s="1405"/>
      <c r="AE156" s="1405"/>
      <c r="AF156" s="1405"/>
      <c r="AG156" s="1405"/>
      <c r="AH156" s="1405"/>
      <c r="AI156" s="1405"/>
      <c r="AJ156" s="1405"/>
      <c r="AK156" s="1405"/>
      <c r="AL156" s="1405"/>
      <c r="AM156" s="1405"/>
      <c r="AN156" s="1405"/>
      <c r="AO156" s="1405"/>
      <c r="AP156" s="1405"/>
      <c r="AQ156" s="1405"/>
      <c r="AR156" s="1405"/>
      <c r="AS156" s="67"/>
      <c r="AT156" s="995"/>
      <c r="AU156" s="12"/>
      <c r="AV156" s="22" t="str">
        <f t="shared" si="74"/>
        <v>hulpenergie</v>
      </c>
      <c r="AW156" s="46" t="str">
        <f t="shared" si="75"/>
        <v>elektriciteit</v>
      </c>
      <c r="AX156" s="24"/>
      <c r="AY156" s="12"/>
      <c r="AZ156" s="115">
        <v>1</v>
      </c>
      <c r="BA156" s="24">
        <f>IFERROR(INDEX(tabellen_EMD!$C$185:$N$193,MATCH($J156,tabellen_EMD!$C$185:$C$193,0),MATCH(BA$63,tabellen_EMD!$C$185:$N$185,0)),0)</f>
        <v>0</v>
      </c>
      <c r="BB156" s="115">
        <f t="shared" si="81"/>
        <v>1.45</v>
      </c>
      <c r="BC156" s="15"/>
      <c r="BD156" s="115">
        <f t="shared" si="82"/>
        <v>1</v>
      </c>
      <c r="BE156" s="47" t="str">
        <f t="shared" si="83"/>
        <v>kWh/kWh</v>
      </c>
      <c r="BF156" s="15"/>
      <c r="BG156" s="218">
        <f>IFERROR(INDEX(tabellen_EMD!$C$240:$Z$248,MATCH($J156,tabellen_EMD!$C$240:$C$248,0),MATCH($B156,tabellen_EMD!$C$240:$Z$240,0))*(F156&lt;&gt;"zomercomfort"),0)</f>
        <v>0.34</v>
      </c>
      <c r="BH156" s="47" t="str">
        <f t="shared" si="84"/>
        <v>kg/kWh</v>
      </c>
      <c r="BI156" s="15"/>
    </row>
    <row r="157" spans="1:61" hidden="1">
      <c r="A157" s="86"/>
      <c r="B157" s="47" t="str">
        <f>B152</f>
        <v>Uniec 3 per functie</v>
      </c>
      <c r="C157" s="47" t="str">
        <f>C152</f>
        <v>NTA 8800</v>
      </c>
      <c r="D157" s="943"/>
      <c r="E157" s="14"/>
      <c r="F157" s="22" t="s">
        <v>1506</v>
      </c>
      <c r="G157" s="22"/>
      <c r="H157" s="22"/>
      <c r="I157" s="905"/>
      <c r="J157" s="1685"/>
      <c r="K157" s="1685"/>
      <c r="L157" s="16"/>
      <c r="M157" s="25"/>
      <c r="N157" s="22" t="str">
        <f t="shared" ref="N157:N166" si="85">INDEX(EP_methode_eenheid,1,MATCH($C157,EP_methode,0))</f>
        <v>kWh</v>
      </c>
      <c r="O157" s="15"/>
      <c r="P157" s="154"/>
      <c r="Q157" s="59">
        <f t="shared" si="76"/>
        <v>1</v>
      </c>
      <c r="R157" s="15"/>
      <c r="S157" s="24">
        <f t="shared" si="77"/>
        <v>0</v>
      </c>
      <c r="T157" s="47" t="str">
        <f>IFERROR(INDEX(energiedragers_EP_eenheden,MATCH($J157,tabellen_EMD!$C$196:$C$204,0),MATCH($B157,energiedragers_EP_eenheden_titel,0)),"-")</f>
        <v>-</v>
      </c>
      <c r="U157" s="39"/>
      <c r="V157" s="154"/>
      <c r="W157" s="59">
        <f t="shared" si="78"/>
        <v>0</v>
      </c>
      <c r="X157" s="47" t="str">
        <f t="shared" si="79"/>
        <v>kg/-</v>
      </c>
      <c r="Y157" s="12"/>
      <c r="Z157" s="24">
        <f t="shared" si="80"/>
        <v>0</v>
      </c>
      <c r="AA157" s="47" t="s">
        <v>468</v>
      </c>
      <c r="AB157" s="67"/>
      <c r="AC157" s="995"/>
      <c r="AD157" s="1405"/>
      <c r="AE157" s="1405"/>
      <c r="AF157" s="1405"/>
      <c r="AG157" s="1405"/>
      <c r="AH157" s="1405"/>
      <c r="AI157" s="1405"/>
      <c r="AJ157" s="1405"/>
      <c r="AK157" s="1405"/>
      <c r="AL157" s="1405"/>
      <c r="AM157" s="1405"/>
      <c r="AN157" s="1405"/>
      <c r="AO157" s="1405"/>
      <c r="AP157" s="1405"/>
      <c r="AQ157" s="1405"/>
      <c r="AR157" s="1405"/>
      <c r="AS157" s="67"/>
      <c r="AT157" s="995"/>
      <c r="AU157" s="12"/>
      <c r="AV157" s="22" t="str">
        <f t="shared" si="74"/>
        <v>verwarming (excl. hulpenergie)</v>
      </c>
      <c r="AW157" s="46">
        <f t="shared" si="75"/>
        <v>0</v>
      </c>
      <c r="AX157" s="24"/>
      <c r="AY157" s="12"/>
      <c r="AZ157" s="115">
        <v>1</v>
      </c>
      <c r="BA157" s="24">
        <f>IFERROR(INDEX(tabellen_EMD!$C$185:$N$193,MATCH($J157,tabellen_EMD!$C$185:$C$193,0),MATCH(BA$63,tabellen_EMD!$C$185:$N$185,0)),0)</f>
        <v>0</v>
      </c>
      <c r="BB157" s="115" t="e">
        <f t="shared" si="81"/>
        <v>#N/A</v>
      </c>
      <c r="BC157" s="15"/>
      <c r="BD157" s="115">
        <f t="shared" si="82"/>
        <v>1</v>
      </c>
      <c r="BE157" s="47" t="str">
        <f t="shared" si="83"/>
        <v>kWh/-</v>
      </c>
      <c r="BF157" s="15"/>
      <c r="BG157" s="218">
        <f>IFERROR(INDEX(tabellen_EMD!$C$240:$Z$248,MATCH($J157,tabellen_EMD!$C$240:$C$248,0),MATCH($B157,tabellen_EMD!$C$240:$Z$240,0))*(F157&lt;&gt;"zomercomfort"),0)</f>
        <v>0</v>
      </c>
      <c r="BH157" s="47" t="str">
        <f t="shared" si="84"/>
        <v>kg/-</v>
      </c>
      <c r="BI157" s="15"/>
    </row>
    <row r="158" spans="1:61" hidden="1">
      <c r="A158" s="49"/>
      <c r="B158" s="47" t="str">
        <f t="shared" si="73"/>
        <v>Uniec 3 per functie</v>
      </c>
      <c r="C158" s="47" t="str">
        <f t="shared" si="73"/>
        <v>NTA 8800</v>
      </c>
      <c r="D158" s="943"/>
      <c r="E158" s="14"/>
      <c r="F158" s="209" t="s">
        <v>1502</v>
      </c>
      <c r="G158" s="209"/>
      <c r="H158" s="209"/>
      <c r="I158" s="905"/>
      <c r="J158" s="1691" t="s">
        <v>465</v>
      </c>
      <c r="K158" s="1698"/>
      <c r="L158" s="16"/>
      <c r="M158" s="25"/>
      <c r="N158" s="22" t="str">
        <f t="shared" si="85"/>
        <v>kWh</v>
      </c>
      <c r="O158" s="15"/>
      <c r="P158" s="39"/>
      <c r="Q158" s="59">
        <f t="shared" si="76"/>
        <v>1.45</v>
      </c>
      <c r="R158" s="15"/>
      <c r="S158" s="24">
        <f t="shared" si="77"/>
        <v>0</v>
      </c>
      <c r="T158" s="47" t="str">
        <f>IFERROR(INDEX(energiedragers_EP_eenheden,MATCH($J158,tabellen_EMD!$C$196:$C$204,0),MATCH($B158,energiedragers_EP_eenheden_titel,0)),"-")</f>
        <v>kWh</v>
      </c>
      <c r="U158" s="39"/>
      <c r="V158" s="15"/>
      <c r="W158" s="59">
        <f t="shared" si="78"/>
        <v>0.34</v>
      </c>
      <c r="X158" s="47" t="str">
        <f t="shared" si="79"/>
        <v>kg/kWh</v>
      </c>
      <c r="Y158" s="12"/>
      <c r="Z158" s="24">
        <f t="shared" si="80"/>
        <v>0</v>
      </c>
      <c r="AA158" s="47" t="s">
        <v>468</v>
      </c>
      <c r="AB158" s="67"/>
      <c r="AC158" s="995"/>
      <c r="AD158" s="1405"/>
      <c r="AE158" s="1405"/>
      <c r="AF158" s="1405"/>
      <c r="AG158" s="1405"/>
      <c r="AH158" s="1405"/>
      <c r="AI158" s="1405"/>
      <c r="AJ158" s="1405"/>
      <c r="AK158" s="1405"/>
      <c r="AL158" s="1405"/>
      <c r="AM158" s="1405"/>
      <c r="AN158" s="1405"/>
      <c r="AO158" s="1405"/>
      <c r="AP158" s="1405"/>
      <c r="AQ158" s="1405"/>
      <c r="AR158" s="1405"/>
      <c r="AS158" s="67"/>
      <c r="AT158" s="995"/>
      <c r="AU158" s="12"/>
      <c r="AV158" s="22" t="str">
        <f t="shared" si="74"/>
        <v>hulpenergie</v>
      </c>
      <c r="AW158" s="46" t="str">
        <f t="shared" si="75"/>
        <v>elektriciteit</v>
      </c>
      <c r="AX158" s="24"/>
      <c r="AY158" s="12"/>
      <c r="AZ158" s="115">
        <v>1</v>
      </c>
      <c r="BA158" s="24">
        <f>IFERROR(INDEX(tabellen_EMD!$C$185:$N$193,MATCH($J158,tabellen_EMD!$C$185:$C$193,0),MATCH(BA$63,tabellen_EMD!$C$185:$N$185,0)),0)</f>
        <v>0</v>
      </c>
      <c r="BB158" s="115">
        <f t="shared" si="81"/>
        <v>1.45</v>
      </c>
      <c r="BC158" s="15"/>
      <c r="BD158" s="115">
        <f t="shared" si="82"/>
        <v>1</v>
      </c>
      <c r="BE158" s="47" t="str">
        <f t="shared" si="83"/>
        <v>kWh/kWh</v>
      </c>
      <c r="BF158" s="15"/>
      <c r="BG158" s="218">
        <f>IFERROR(INDEX(tabellen_EMD!$C$240:$Z$248,MATCH($J158,tabellen_EMD!$C$240:$C$248,0),MATCH($B158,tabellen_EMD!$C$240:$Z$240,0))*(F158&lt;&gt;"zomercomfort"),0)</f>
        <v>0.34</v>
      </c>
      <c r="BH158" s="47" t="str">
        <f t="shared" si="84"/>
        <v>kg/kWh</v>
      </c>
      <c r="BI158" s="15"/>
    </row>
    <row r="159" spans="1:61" hidden="1">
      <c r="A159" s="18"/>
      <c r="B159" s="47" t="str">
        <f>B154</f>
        <v>Uniec 3 per functie</v>
      </c>
      <c r="C159" s="47" t="str">
        <f>C154</f>
        <v>NTA 8800</v>
      </c>
      <c r="D159" s="943"/>
      <c r="E159" s="14"/>
      <c r="F159" s="22" t="s">
        <v>1396</v>
      </c>
      <c r="G159" s="22"/>
      <c r="H159" s="22"/>
      <c r="I159" s="905"/>
      <c r="J159" s="1691" t="s">
        <v>465</v>
      </c>
      <c r="K159" s="1698"/>
      <c r="L159" s="16"/>
      <c r="M159" s="25"/>
      <c r="N159" s="22" t="str">
        <f t="shared" si="85"/>
        <v>kWh</v>
      </c>
      <c r="O159" s="15"/>
      <c r="P159" s="39"/>
      <c r="Q159" s="59">
        <f t="shared" si="76"/>
        <v>1.45</v>
      </c>
      <c r="R159" s="15"/>
      <c r="S159" s="24">
        <f t="shared" si="77"/>
        <v>0</v>
      </c>
      <c r="T159" s="47" t="str">
        <f>IFERROR(INDEX(energiedragers_EP_eenheden,MATCH($J159,tabellen_EMD!$C$196:$C$204,0),MATCH($B159,energiedragers_EP_eenheden_titel,0)),"-")</f>
        <v>kWh</v>
      </c>
      <c r="U159" s="39"/>
      <c r="V159" s="15"/>
      <c r="W159" s="59">
        <f t="shared" si="78"/>
        <v>0</v>
      </c>
      <c r="X159" s="47" t="str">
        <f t="shared" si="79"/>
        <v>kg/kWh</v>
      </c>
      <c r="Y159" s="12"/>
      <c r="Z159" s="24">
        <f t="shared" si="80"/>
        <v>0</v>
      </c>
      <c r="AA159" s="47" t="s">
        <v>468</v>
      </c>
      <c r="AB159" s="67"/>
      <c r="AC159" s="995"/>
      <c r="AD159" s="1405"/>
      <c r="AE159" s="1405"/>
      <c r="AF159" s="1405"/>
      <c r="AG159" s="1405"/>
      <c r="AH159" s="1405"/>
      <c r="AI159" s="1405"/>
      <c r="AJ159" s="1405"/>
      <c r="AK159" s="1405"/>
      <c r="AL159" s="1405"/>
      <c r="AM159" s="1405"/>
      <c r="AN159" s="1405"/>
      <c r="AO159" s="1405"/>
      <c r="AP159" s="1405"/>
      <c r="AQ159" s="1405"/>
      <c r="AR159" s="1405"/>
      <c r="AS159" s="67"/>
      <c r="AT159" s="995"/>
      <c r="AU159" s="12"/>
      <c r="AV159" s="22" t="str">
        <f t="shared" si="74"/>
        <v>zomercomfort</v>
      </c>
      <c r="AW159" s="46" t="str">
        <f t="shared" si="75"/>
        <v>elektriciteit</v>
      </c>
      <c r="AX159" s="24"/>
      <c r="AY159" s="12"/>
      <c r="AZ159" s="115">
        <v>1</v>
      </c>
      <c r="BA159" s="24">
        <f>IFERROR(INDEX(tabellen_EMD!$C$185:$N$193,MATCH($J159,tabellen_EMD!$C$185:$C$193,0),MATCH(BA$63,tabellen_EMD!$C$185:$N$185,0)),0)</f>
        <v>0</v>
      </c>
      <c r="BB159" s="115">
        <f t="shared" si="81"/>
        <v>1.45</v>
      </c>
      <c r="BC159" s="15"/>
      <c r="BD159" s="115">
        <f t="shared" si="82"/>
        <v>1</v>
      </c>
      <c r="BE159" s="47" t="str">
        <f t="shared" si="83"/>
        <v>kWh/kWh</v>
      </c>
      <c r="BF159" s="15"/>
      <c r="BG159" s="218">
        <f>IFERROR(INDEX(tabellen_EMD!$C$240:$Z$248,MATCH($J159,tabellen_EMD!$C$240:$C$248,0),MATCH($B159,tabellen_EMD!$C$240:$Z$240,0))*(F159&lt;&gt;"zomercomfort"),0)</f>
        <v>0</v>
      </c>
      <c r="BH159" s="47" t="str">
        <f t="shared" si="84"/>
        <v>kg/kWh</v>
      </c>
      <c r="BI159" s="15"/>
    </row>
    <row r="160" spans="1:61" hidden="1">
      <c r="A160" s="18"/>
      <c r="B160" s="47" t="str">
        <f t="shared" si="73"/>
        <v>Uniec 3 per functie</v>
      </c>
      <c r="C160" s="47" t="str">
        <f t="shared" si="73"/>
        <v>NTA 8800</v>
      </c>
      <c r="D160" s="943"/>
      <c r="E160" s="14"/>
      <c r="F160" s="22" t="s">
        <v>1375</v>
      </c>
      <c r="G160" s="22"/>
      <c r="H160" s="22"/>
      <c r="I160" s="905"/>
      <c r="J160" s="1691" t="s">
        <v>465</v>
      </c>
      <c r="K160" s="1698"/>
      <c r="L160" s="16"/>
      <c r="M160" s="25"/>
      <c r="N160" s="22" t="str">
        <f t="shared" si="85"/>
        <v>kWh</v>
      </c>
      <c r="O160" s="15"/>
      <c r="P160" s="39"/>
      <c r="Q160" s="59">
        <f t="shared" si="76"/>
        <v>1.45</v>
      </c>
      <c r="R160" s="15"/>
      <c r="S160" s="24">
        <f t="shared" si="77"/>
        <v>0</v>
      </c>
      <c r="T160" s="47" t="str">
        <f>IFERROR(INDEX(energiedragers_EP_eenheden,MATCH($J160,tabellen_EMD!$C$196:$C$204,0),MATCH($B160,energiedragers_EP_eenheden_titel,0)),"-")</f>
        <v>kWh</v>
      </c>
      <c r="U160" s="39"/>
      <c r="V160" s="15"/>
      <c r="W160" s="59">
        <f t="shared" si="78"/>
        <v>0.34</v>
      </c>
      <c r="X160" s="47" t="str">
        <f t="shared" si="79"/>
        <v>kg/kWh</v>
      </c>
      <c r="Y160" s="12"/>
      <c r="Z160" s="24">
        <f t="shared" si="80"/>
        <v>0</v>
      </c>
      <c r="AA160" s="47" t="s">
        <v>468</v>
      </c>
      <c r="AB160" s="67"/>
      <c r="AC160" s="995"/>
      <c r="AD160" s="1405"/>
      <c r="AE160" s="1405"/>
      <c r="AF160" s="1405"/>
      <c r="AG160" s="1405"/>
      <c r="AH160" s="1405"/>
      <c r="AI160" s="1405"/>
      <c r="AJ160" s="1405"/>
      <c r="AK160" s="1405"/>
      <c r="AL160" s="1405"/>
      <c r="AM160" s="1405"/>
      <c r="AN160" s="1405"/>
      <c r="AO160" s="1405"/>
      <c r="AP160" s="1405"/>
      <c r="AQ160" s="1405"/>
      <c r="AR160" s="1405"/>
      <c r="AS160" s="67"/>
      <c r="AT160" s="995"/>
      <c r="AU160" s="12"/>
      <c r="AV160" s="22" t="str">
        <f t="shared" si="74"/>
        <v>ventilatoren</v>
      </c>
      <c r="AW160" s="46" t="str">
        <f t="shared" si="75"/>
        <v>elektriciteit</v>
      </c>
      <c r="AX160" s="24"/>
      <c r="AY160" s="12"/>
      <c r="AZ160" s="115">
        <v>1</v>
      </c>
      <c r="BA160" s="24">
        <f>IFERROR(INDEX(tabellen_EMD!$C$185:$N$193,MATCH($J160,tabellen_EMD!$C$185:$C$193,0),MATCH(BA$63,tabellen_EMD!$C$185:$N$185,0)),0)</f>
        <v>0</v>
      </c>
      <c r="BB160" s="115">
        <f t="shared" si="81"/>
        <v>1.45</v>
      </c>
      <c r="BC160" s="899"/>
      <c r="BD160" s="115">
        <f t="shared" si="82"/>
        <v>1</v>
      </c>
      <c r="BE160" s="47" t="str">
        <f t="shared" si="83"/>
        <v>kWh/kWh</v>
      </c>
      <c r="BF160" s="899"/>
      <c r="BG160" s="218">
        <f>IFERROR(INDEX(tabellen_EMD!$C$240:$Z$248,MATCH($J160,tabellen_EMD!$C$240:$C$248,0),MATCH($B160,tabellen_EMD!$C$240:$Z$240,0))*(F160&lt;&gt;"zomercomfort"),0)</f>
        <v>0.34</v>
      </c>
      <c r="BH160" s="47" t="str">
        <f t="shared" si="84"/>
        <v>kg/kWh</v>
      </c>
      <c r="BI160" s="899"/>
    </row>
    <row r="161" spans="1:61" s="18" customFormat="1" hidden="1">
      <c r="A161" s="49"/>
      <c r="B161" s="47" t="str">
        <f t="shared" si="73"/>
        <v>Uniec 3 per functie</v>
      </c>
      <c r="C161" s="47" t="str">
        <f t="shared" si="73"/>
        <v>NTA 8800</v>
      </c>
      <c r="D161" s="943"/>
      <c r="E161" s="14"/>
      <c r="F161" s="22" t="s">
        <v>507</v>
      </c>
      <c r="G161" s="22"/>
      <c r="H161" s="22"/>
      <c r="I161" s="905"/>
      <c r="J161" s="1691" t="s">
        <v>465</v>
      </c>
      <c r="K161" s="1698"/>
      <c r="L161" s="16"/>
      <c r="M161" s="25"/>
      <c r="N161" s="22" t="str">
        <f t="shared" si="85"/>
        <v>kWh</v>
      </c>
      <c r="O161" s="15"/>
      <c r="P161" s="39"/>
      <c r="Q161" s="59">
        <f t="shared" si="76"/>
        <v>1.45</v>
      </c>
      <c r="R161" s="15"/>
      <c r="S161" s="24">
        <f t="shared" si="77"/>
        <v>0</v>
      </c>
      <c r="T161" s="47" t="str">
        <f>IFERROR(INDEX(energiedragers_EP_eenheden,MATCH($J161,tabellen_EMD!$C$196:$C$204,0),MATCH($B161,energiedragers_EP_eenheden_titel,0)),"-")</f>
        <v>kWh</v>
      </c>
      <c r="U161" s="39"/>
      <c r="V161" s="15"/>
      <c r="W161" s="59">
        <f t="shared" si="78"/>
        <v>0.34</v>
      </c>
      <c r="X161" s="47" t="str">
        <f t="shared" si="79"/>
        <v>kg/kWh</v>
      </c>
      <c r="Y161" s="12"/>
      <c r="Z161" s="24">
        <f t="shared" si="80"/>
        <v>0</v>
      </c>
      <c r="AA161" s="47" t="s">
        <v>468</v>
      </c>
      <c r="AB161" s="67"/>
      <c r="AC161" s="995"/>
      <c r="AD161" s="1405"/>
      <c r="AE161" s="1405"/>
      <c r="AF161" s="1405"/>
      <c r="AG161" s="1405"/>
      <c r="AH161" s="1405"/>
      <c r="AI161" s="1405"/>
      <c r="AJ161" s="1405"/>
      <c r="AK161" s="1405"/>
      <c r="AL161" s="1405"/>
      <c r="AM161" s="1405"/>
      <c r="AN161" s="1405"/>
      <c r="AO161" s="1405"/>
      <c r="AP161" s="1405"/>
      <c r="AQ161" s="1405"/>
      <c r="AR161" s="1405"/>
      <c r="AS161" s="67"/>
      <c r="AT161" s="995"/>
      <c r="AU161" s="12"/>
      <c r="AV161" s="22" t="str">
        <f t="shared" si="74"/>
        <v>verlichting</v>
      </c>
      <c r="AW161" s="46" t="str">
        <f t="shared" si="75"/>
        <v>elektriciteit</v>
      </c>
      <c r="AX161" s="24"/>
      <c r="AY161" s="12"/>
      <c r="AZ161" s="115">
        <v>1</v>
      </c>
      <c r="BA161" s="24">
        <f>IFERROR(INDEX(tabellen_EMD!$C$185:$N$193,MATCH($J161,tabellen_EMD!$C$185:$C$193,0),MATCH(BA$63,tabellen_EMD!$C$185:$N$185,0)),0)</f>
        <v>0</v>
      </c>
      <c r="BB161" s="115">
        <f t="shared" si="81"/>
        <v>1.45</v>
      </c>
      <c r="BC161" s="899"/>
      <c r="BD161" s="115">
        <f t="shared" si="82"/>
        <v>1</v>
      </c>
      <c r="BE161" s="47" t="str">
        <f t="shared" si="83"/>
        <v>kWh/kWh</v>
      </c>
      <c r="BF161" s="899"/>
      <c r="BG161" s="218">
        <f>IFERROR(INDEX(tabellen_EMD!$C$240:$Z$248,MATCH($J161,tabellen_EMD!$C$240:$C$248,0),MATCH($B161,tabellen_EMD!$C$240:$Z$240,0))*(F161&lt;&gt;"zomercomfort"),0)</f>
        <v>0.34</v>
      </c>
      <c r="BH161" s="47" t="str">
        <f t="shared" si="84"/>
        <v>kg/kWh</v>
      </c>
      <c r="BI161" s="899"/>
    </row>
    <row r="162" spans="1:61" s="940" customFormat="1" hidden="1">
      <c r="A162" s="49"/>
      <c r="B162" s="47" t="str">
        <f t="shared" si="73"/>
        <v>Uniec 3 per functie</v>
      </c>
      <c r="C162" s="47" t="str">
        <f t="shared" si="73"/>
        <v>NTA 8800</v>
      </c>
      <c r="D162" s="943"/>
      <c r="E162" s="14"/>
      <c r="F162" s="15" t="s">
        <v>1391</v>
      </c>
      <c r="G162" s="15"/>
      <c r="H162" s="15"/>
      <c r="I162" s="905"/>
      <c r="J162" s="43" t="s">
        <v>1391</v>
      </c>
      <c r="K162" s="43"/>
      <c r="L162" s="16"/>
      <c r="M162" s="950">
        <f>SUM(M153:M161)</f>
        <v>0</v>
      </c>
      <c r="N162" s="15" t="str">
        <f t="shared" si="85"/>
        <v>kWh</v>
      </c>
      <c r="O162" s="15"/>
      <c r="P162" s="39"/>
      <c r="Q162" s="39"/>
      <c r="R162" s="15"/>
      <c r="S162" s="899"/>
      <c r="T162" s="899"/>
      <c r="U162" s="39"/>
      <c r="V162" s="39"/>
      <c r="W162" s="39"/>
      <c r="X162" s="39"/>
      <c r="Y162" s="12"/>
      <c r="Z162" s="950">
        <f>SUM(Z153:Z161)</f>
        <v>0</v>
      </c>
      <c r="AA162" s="15" t="s">
        <v>468</v>
      </c>
      <c r="AB162" s="67"/>
      <c r="AC162" s="995"/>
      <c r="AD162" s="1405"/>
      <c r="AE162" s="1405"/>
      <c r="AF162" s="1405"/>
      <c r="AG162" s="1405"/>
      <c r="AH162" s="1405"/>
      <c r="AI162" s="1405"/>
      <c r="AJ162" s="1405"/>
      <c r="AK162" s="1405"/>
      <c r="AL162" s="1405"/>
      <c r="AM162" s="1405"/>
      <c r="AN162" s="1405"/>
      <c r="AO162" s="1405"/>
      <c r="AP162" s="1405"/>
      <c r="AQ162" s="1405"/>
      <c r="AR162" s="1405"/>
      <c r="AS162" s="67"/>
      <c r="AT162" s="995"/>
      <c r="AU162" s="12"/>
      <c r="AV162" s="22" t="str">
        <f t="shared" si="74"/>
        <v>totaal</v>
      </c>
      <c r="AW162" s="46" t="str">
        <f t="shared" si="75"/>
        <v>totaal</v>
      </c>
      <c r="AX162" s="24"/>
      <c r="AY162" s="12"/>
      <c r="AZ162" s="12"/>
      <c r="BA162" s="12"/>
      <c r="BB162" s="12"/>
      <c r="BC162" s="899"/>
      <c r="BD162" s="899"/>
      <c r="BE162" s="899"/>
      <c r="BF162" s="899"/>
      <c r="BG162" s="15"/>
      <c r="BH162" s="15"/>
      <c r="BI162" s="899"/>
    </row>
    <row r="163" spans="1:61" hidden="1">
      <c r="A163" s="49"/>
      <c r="B163" s="47" t="str">
        <f>B161</f>
        <v>Uniec 3 per functie</v>
      </c>
      <c r="C163" s="47" t="str">
        <f>C161</f>
        <v>NTA 8800</v>
      </c>
      <c r="D163" s="943"/>
      <c r="E163" s="14"/>
      <c r="F163" s="22" t="s">
        <v>1503</v>
      </c>
      <c r="G163" s="22"/>
      <c r="H163" s="22"/>
      <c r="I163" s="905"/>
      <c r="J163" s="1691" t="s">
        <v>1538</v>
      </c>
      <c r="K163" s="1698"/>
      <c r="L163" s="16"/>
      <c r="M163" s="25"/>
      <c r="N163" s="22" t="str">
        <f t="shared" si="85"/>
        <v>kWh</v>
      </c>
      <c r="O163" s="15"/>
      <c r="P163" s="39"/>
      <c r="Q163" s="59">
        <f>IFERROR(IF(AND(P163&lt;&gt;"",$BA163=1),P163,BB163),1)</f>
        <v>1.45</v>
      </c>
      <c r="R163" s="15"/>
      <c r="S163" s="24">
        <f>M163/Q163/BD163</f>
        <v>0</v>
      </c>
      <c r="T163" s="47" t="str">
        <f>IFERROR(INDEX(energiedragers_EP_eenheden,MATCH($J163,tabellen_EMD!$C$196:$C$204,0),MATCH($B163,energiedragers_EP_eenheden_titel,0)),"-")</f>
        <v>kWh</v>
      </c>
      <c r="U163" s="39"/>
      <c r="V163" s="15"/>
      <c r="W163" s="59">
        <f>IF(AND(V163&lt;&gt;"",$BA163=1),V163,BG163)</f>
        <v>0.34</v>
      </c>
      <c r="X163" s="47" t="str">
        <f t="shared" si="79"/>
        <v>kg/kWh</v>
      </c>
      <c r="Y163" s="12"/>
      <c r="Z163" s="24">
        <f>S163*W163*ABS(AZ163)</f>
        <v>0</v>
      </c>
      <c r="AA163" s="47" t="s">
        <v>468</v>
      </c>
      <c r="AB163" s="67"/>
      <c r="AC163" s="995"/>
      <c r="AD163" s="1405"/>
      <c r="AE163" s="1405"/>
      <c r="AF163" s="1405"/>
      <c r="AG163" s="1405"/>
      <c r="AH163" s="1405"/>
      <c r="AI163" s="1405"/>
      <c r="AJ163" s="1405"/>
      <c r="AK163" s="1405"/>
      <c r="AL163" s="1405"/>
      <c r="AM163" s="1405"/>
      <c r="AN163" s="1405"/>
      <c r="AO163" s="1405"/>
      <c r="AP163" s="1405"/>
      <c r="AQ163" s="1405"/>
      <c r="AR163" s="1405"/>
      <c r="AS163" s="67"/>
      <c r="AT163" s="995"/>
      <c r="AU163" s="12"/>
      <c r="AV163" s="22" t="str">
        <f t="shared" si="74"/>
        <v>geëxporteerde elektriciteit</v>
      </c>
      <c r="AW163" s="46" t="str">
        <f t="shared" si="75"/>
        <v>elektriciteit geëxporteerd</v>
      </c>
      <c r="AX163" s="24"/>
      <c r="AY163" s="12"/>
      <c r="AZ163" s="115">
        <v>1</v>
      </c>
      <c r="BA163" s="24">
        <f>IFERROR(INDEX(tabellen_EMD!$C$185:$N$193,MATCH($J163,tabellen_EMD!$C$185:$C$193,0),MATCH(BA$63,tabellen_EMD!$C$185:$N$185,0)),0)</f>
        <v>0</v>
      </c>
      <c r="BB163" s="115">
        <f t="shared" si="81"/>
        <v>1.45</v>
      </c>
      <c r="BC163" s="899"/>
      <c r="BD163" s="115">
        <f>IFERROR(VLOOKUP($J163,energiedragers_EP_omrekenen,MATCH($B163,energiedragers_EP_omrekenen_titel,0),FALSE),1)</f>
        <v>1</v>
      </c>
      <c r="BE163" s="47" t="str">
        <f>_xlfn.CONCAT(N163,"/",T163)</f>
        <v>kWh/kWh</v>
      </c>
      <c r="BF163" s="899"/>
      <c r="BG163" s="218">
        <f>IFERROR(INDEX(tabellen_EMD!$C$240:$Z$248,MATCH($J163,tabellen_EMD!$C$240:$C$248,0),MATCH($B163,tabellen_EMD!$C$240:$Z$240,0))*(F163&lt;&gt;"zomercomfort"),0)</f>
        <v>0.34</v>
      </c>
      <c r="BH163" s="47" t="str">
        <f>"kg/"&amp;T163</f>
        <v>kg/kWh</v>
      </c>
      <c r="BI163" s="899"/>
    </row>
    <row r="164" spans="1:61" hidden="1">
      <c r="A164" s="49"/>
      <c r="B164" s="47" t="str">
        <f t="shared" si="73"/>
        <v>Uniec 3 per functie</v>
      </c>
      <c r="C164" s="47" t="str">
        <f t="shared" si="73"/>
        <v>NTA 8800</v>
      </c>
      <c r="D164" s="943"/>
      <c r="E164" s="14"/>
      <c r="F164" s="22" t="s">
        <v>1504</v>
      </c>
      <c r="G164" s="22"/>
      <c r="H164" s="22"/>
      <c r="I164" s="905"/>
      <c r="J164" s="1691" t="s">
        <v>466</v>
      </c>
      <c r="K164" s="1698"/>
      <c r="L164" s="16"/>
      <c r="M164" s="25"/>
      <c r="N164" s="22" t="str">
        <f t="shared" si="85"/>
        <v>kWh</v>
      </c>
      <c r="O164" s="15"/>
      <c r="P164" s="39"/>
      <c r="Q164" s="59">
        <f>IFERROR(IF(AND(P164&lt;&gt;"",$BA164=1),P164,BB164),1)</f>
        <v>1.45</v>
      </c>
      <c r="R164" s="15"/>
      <c r="S164" s="24">
        <f>M164/Q164/BD164</f>
        <v>0</v>
      </c>
      <c r="T164" s="47" t="str">
        <f>IFERROR(INDEX(energiedragers_EP_eenheden,MATCH($J164,tabellen_EMD!$C$196:$C$204,0),MATCH($B164,energiedragers_EP_eenheden_titel,0)),"-")</f>
        <v>kWh</v>
      </c>
      <c r="U164" s="39"/>
      <c r="V164" s="15"/>
      <c r="W164" s="59">
        <f>IF(AND(V164&lt;&gt;"",$BA164=1),V164,BG164)</f>
        <v>0.34</v>
      </c>
      <c r="X164" s="47" t="str">
        <f t="shared" si="79"/>
        <v>kg/kWh</v>
      </c>
      <c r="Y164" s="12"/>
      <c r="Z164" s="24">
        <f>S164*W164*ABS(AZ164)</f>
        <v>0</v>
      </c>
      <c r="AA164" s="47" t="s">
        <v>468</v>
      </c>
      <c r="AB164" s="67"/>
      <c r="AC164" s="995"/>
      <c r="AD164" s="1405"/>
      <c r="AE164" s="1405"/>
      <c r="AF164" s="1405"/>
      <c r="AG164" s="1405"/>
      <c r="AH164" s="1405"/>
      <c r="AI164" s="1405"/>
      <c r="AJ164" s="1405"/>
      <c r="AK164" s="1405"/>
      <c r="AL164" s="1405"/>
      <c r="AM164" s="1405"/>
      <c r="AN164" s="1405"/>
      <c r="AO164" s="1405"/>
      <c r="AP164" s="1405"/>
      <c r="AQ164" s="1405"/>
      <c r="AR164" s="1405"/>
      <c r="AS164" s="67"/>
      <c r="AT164" s="995"/>
      <c r="AU164" s="12"/>
      <c r="AV164" s="22" t="str">
        <f t="shared" si="74"/>
        <v>op eigen perceel opgewekte &amp; verbruikte elektriciteit</v>
      </c>
      <c r="AW164" s="46" t="str">
        <f t="shared" si="75"/>
        <v>elektriciteit opgewekt</v>
      </c>
      <c r="AX164" s="24"/>
      <c r="AY164" s="12"/>
      <c r="AZ164" s="115">
        <v>1</v>
      </c>
      <c r="BA164" s="24">
        <f>IFERROR(INDEX(tabellen_EMD!$C$185:$N$193,MATCH($J164,tabellen_EMD!$C$185:$C$193,0),MATCH(BA$63,tabellen_EMD!$C$185:$N$185,0)),0)</f>
        <v>0</v>
      </c>
      <c r="BB164" s="115">
        <f t="shared" si="81"/>
        <v>1.45</v>
      </c>
      <c r="BC164" s="899"/>
      <c r="BD164" s="115">
        <f>IFERROR(VLOOKUP($J164,energiedragers_EP_omrekenen,MATCH($B164,energiedragers_EP_omrekenen_titel,0),FALSE),1)</f>
        <v>1</v>
      </c>
      <c r="BE164" s="47" t="str">
        <f>_xlfn.CONCAT(N164,"/",T164)</f>
        <v>kWh/kWh</v>
      </c>
      <c r="BF164" s="899"/>
      <c r="BG164" s="218">
        <f>IFERROR(INDEX(tabellen_EMD!$C$240:$Z$248,MATCH($J164,tabellen_EMD!$C$240:$C$248,0),MATCH($B164,tabellen_EMD!$C$240:$Z$240,0))*(F164&lt;&gt;"zomercomfort"),0)</f>
        <v>0.34</v>
      </c>
      <c r="BH164" s="47" t="str">
        <f>"kg/"&amp;T164</f>
        <v>kg/kWh</v>
      </c>
      <c r="BI164" s="899"/>
    </row>
    <row r="165" spans="1:61" hidden="1">
      <c r="A165" s="49"/>
      <c r="B165" s="47" t="str">
        <f t="shared" si="73"/>
        <v>Uniec 3 per functie</v>
      </c>
      <c r="C165" s="47" t="str">
        <f t="shared" si="73"/>
        <v>NTA 8800</v>
      </c>
      <c r="D165" s="943"/>
      <c r="E165" s="14"/>
      <c r="F165" s="22" t="s">
        <v>1505</v>
      </c>
      <c r="G165" s="22"/>
      <c r="H165" s="22"/>
      <c r="I165" s="905"/>
      <c r="J165" s="1691" t="s">
        <v>466</v>
      </c>
      <c r="K165" s="1698"/>
      <c r="L165" s="16"/>
      <c r="M165" s="25"/>
      <c r="N165" s="22" t="str">
        <f t="shared" si="85"/>
        <v>kWh</v>
      </c>
      <c r="O165" s="15"/>
      <c r="P165" s="39"/>
      <c r="Q165" s="59">
        <f>IFERROR(IF(AND(P165&lt;&gt;"",$BA165=1),P165,BB165),1)</f>
        <v>1.45</v>
      </c>
      <c r="R165" s="15"/>
      <c r="S165" s="24">
        <f>M165/Q165/BD165</f>
        <v>0</v>
      </c>
      <c r="T165" s="47" t="str">
        <f>IFERROR(INDEX(energiedragers_EP_eenheden,MATCH($J165,tabellen_EMD!$C$196:$C$204,0),MATCH($B165,energiedragers_EP_eenheden_titel,0)),"-")</f>
        <v>kWh</v>
      </c>
      <c r="U165" s="39"/>
      <c r="V165" s="15"/>
      <c r="W165" s="59">
        <f>IF(AND(V165&lt;&gt;"",$BA165=1),V165,BG165)</f>
        <v>0.34</v>
      </c>
      <c r="X165" s="47" t="str">
        <f t="shared" si="79"/>
        <v>kg/kWh</v>
      </c>
      <c r="Y165" s="12"/>
      <c r="Z165" s="24">
        <f>S165*W165*ABS(AZ165)</f>
        <v>0</v>
      </c>
      <c r="AA165" s="47" t="s">
        <v>468</v>
      </c>
      <c r="AB165" s="67"/>
      <c r="AC165" s="995"/>
      <c r="AD165" s="1405"/>
      <c r="AE165" s="1405"/>
      <c r="AF165" s="1405"/>
      <c r="AG165" s="1405"/>
      <c r="AH165" s="1405"/>
      <c r="AI165" s="1405"/>
      <c r="AJ165" s="1405"/>
      <c r="AK165" s="1405"/>
      <c r="AL165" s="1405"/>
      <c r="AM165" s="1405"/>
      <c r="AN165" s="1405"/>
      <c r="AO165" s="1405"/>
      <c r="AP165" s="1405"/>
      <c r="AQ165" s="1405"/>
      <c r="AR165" s="1405"/>
      <c r="AS165" s="67"/>
      <c r="AT165" s="995"/>
      <c r="AU165" s="12"/>
      <c r="AV165" s="22" t="str">
        <f t="shared" si="74"/>
        <v>in het gebied opgewekte elektriciteit</v>
      </c>
      <c r="AW165" s="46" t="str">
        <f t="shared" si="75"/>
        <v>elektriciteit opgewekt</v>
      </c>
      <c r="AX165" s="24"/>
      <c r="AY165" s="12"/>
      <c r="AZ165" s="115">
        <v>1</v>
      </c>
      <c r="BA165" s="24">
        <f>IFERROR(INDEX(tabellen_EMD!$C$185:$N$193,MATCH($J165,tabellen_EMD!$C$185:$C$193,0),MATCH(BA$63,tabellen_EMD!$C$185:$N$185,0)),0)</f>
        <v>0</v>
      </c>
      <c r="BB165" s="115">
        <f t="shared" si="81"/>
        <v>1.45</v>
      </c>
      <c r="BC165" s="899"/>
      <c r="BD165" s="115">
        <f>IFERROR(VLOOKUP($J165,energiedragers_EP_omrekenen,MATCH($B165,energiedragers_EP_omrekenen_titel,0),FALSE),1)</f>
        <v>1</v>
      </c>
      <c r="BE165" s="47" t="str">
        <f>_xlfn.CONCAT(N165,"/",T165)</f>
        <v>kWh/kWh</v>
      </c>
      <c r="BF165" s="899"/>
      <c r="BG165" s="218">
        <f>IFERROR(INDEX(tabellen_EMD!$C$240:$Z$248,MATCH($J165,tabellen_EMD!$C$240:$C$248,0),MATCH($B165,tabellen_EMD!$C$240:$Z$240,0))*(F165&lt;&gt;"zomercomfort"),0)</f>
        <v>0.34</v>
      </c>
      <c r="BH165" s="47" t="str">
        <f>"kg/"&amp;T165</f>
        <v>kg/kWh</v>
      </c>
      <c r="BI165" s="899"/>
    </row>
    <row r="166" spans="1:61" s="940" customFormat="1" hidden="1">
      <c r="A166" s="49"/>
      <c r="B166" s="47" t="str">
        <f t="shared" si="73"/>
        <v>Uniec 3 per functie</v>
      </c>
      <c r="C166" s="47" t="str">
        <f t="shared" si="73"/>
        <v>NTA 8800</v>
      </c>
      <c r="D166" s="943"/>
      <c r="E166" s="14"/>
      <c r="F166" s="15" t="s">
        <v>1391</v>
      </c>
      <c r="G166" s="15"/>
      <c r="H166" s="15"/>
      <c r="I166" s="905"/>
      <c r="J166" s="43" t="s">
        <v>1391</v>
      </c>
      <c r="K166" s="43"/>
      <c r="L166" s="16"/>
      <c r="M166" s="950">
        <f>SUM(M153:M161)-SUM(M163:M165)</f>
        <v>0</v>
      </c>
      <c r="N166" s="15" t="str">
        <f t="shared" si="85"/>
        <v>kWh</v>
      </c>
      <c r="O166" s="15"/>
      <c r="P166" s="39"/>
      <c r="Q166" s="39"/>
      <c r="R166" s="15"/>
      <c r="S166" s="899"/>
      <c r="T166" s="899"/>
      <c r="U166" s="39"/>
      <c r="V166" s="39"/>
      <c r="W166" s="39"/>
      <c r="X166" s="39"/>
      <c r="Y166" s="12"/>
      <c r="Z166" s="950">
        <f>SUM(Z153:Z161)-SUM(Z163:Z165)</f>
        <v>0</v>
      </c>
      <c r="AA166" s="15" t="s">
        <v>468</v>
      </c>
      <c r="AB166" s="67"/>
      <c r="AC166" s="995"/>
      <c r="AD166" s="1405"/>
      <c r="AE166" s="1405"/>
      <c r="AF166" s="1405"/>
      <c r="AG166" s="1405"/>
      <c r="AH166" s="1405"/>
      <c r="AI166" s="1405"/>
      <c r="AJ166" s="1405"/>
      <c r="AK166" s="1405"/>
      <c r="AL166" s="1405"/>
      <c r="AM166" s="1405"/>
      <c r="AN166" s="1405"/>
      <c r="AO166" s="1405"/>
      <c r="AP166" s="1405"/>
      <c r="AQ166" s="1405"/>
      <c r="AR166" s="1405"/>
      <c r="AS166" s="67"/>
      <c r="AT166" s="995"/>
      <c r="AU166" s="12"/>
      <c r="AV166" s="22" t="str">
        <f t="shared" si="74"/>
        <v>totaal</v>
      </c>
      <c r="AW166" s="46" t="str">
        <f t="shared" si="75"/>
        <v>totaal</v>
      </c>
      <c r="AX166" s="24"/>
      <c r="AY166" s="12"/>
      <c r="AZ166" s="12"/>
      <c r="BA166" s="12"/>
      <c r="BB166" s="12"/>
      <c r="BC166" s="899"/>
      <c r="BD166" s="899"/>
      <c r="BE166" s="899"/>
      <c r="BF166" s="899"/>
      <c r="BG166" s="15"/>
      <c r="BH166" s="15"/>
      <c r="BI166" s="899"/>
    </row>
    <row r="167" spans="1:61" s="49" customFormat="1" hidden="1">
      <c r="A167" s="212"/>
      <c r="B167" s="47" t="str">
        <f t="shared" si="73"/>
        <v>Uniec 3 per functie</v>
      </c>
      <c r="C167" s="47" t="str">
        <f t="shared" si="73"/>
        <v>NTA 8800</v>
      </c>
      <c r="D167" s="943"/>
      <c r="E167" s="50"/>
      <c r="F167" s="452" t="str">
        <f>IFERROR(IF($P$23=$B167,_xlfn.CONCAT("Bij 1.1 ingevuld: ",FIXED($J$35,2,FALSE)," ",$K$35),""),"invoer niet correct")</f>
        <v/>
      </c>
      <c r="G167" s="452"/>
      <c r="H167" s="452"/>
      <c r="I167" s="905"/>
      <c r="J167" s="909" t="str">
        <f>IFERROR(IF($P$23=$B167,IF(ABS((M167-$J$35)/$J$35)&gt;1%,"Afwijking &gt;1% met subthema 1.1",""),""),"invoer niet correct")</f>
        <v/>
      </c>
      <c r="K167" s="909"/>
      <c r="L167" s="910"/>
      <c r="M167" s="1339" t="str">
        <f>IFERROR(IF($P$23=$B167,M166/$J$59,""),"")</f>
        <v/>
      </c>
      <c r="N167" s="452" t="str">
        <f>IF($P$23=$B167,_xlfn.CONCAT(N166,"/m2"),"")</f>
        <v/>
      </c>
      <c r="O167" s="452"/>
      <c r="P167" s="39"/>
      <c r="Q167" s="39"/>
      <c r="R167" s="899"/>
      <c r="S167" s="899"/>
      <c r="T167" s="899"/>
      <c r="U167" s="39"/>
      <c r="V167" s="39"/>
      <c r="W167" s="910" t="str">
        <f>IFERROR(IF($P$23=$B167,_xlfn.CONCAT("Bij 1.1 ingevuld: ",FIXED($AG$40,1,FALSE)," ",$AH$40),""),"invoer niet correct")</f>
        <v/>
      </c>
      <c r="X167" s="909" t="str">
        <f>IFERROR(IF($P$23=$B167,IF(ABS((Z167-$AG$40)/$AG$40)&gt;1%,"afwijking &gt;1% met subthema 1.1",""),""),"invoer niet correct")</f>
        <v/>
      </c>
      <c r="Y167" s="12"/>
      <c r="Z167" s="951" t="str">
        <f>IFERROR(IF($P$23=$B167,Z166/$J$58,""),"")</f>
        <v/>
      </c>
      <c r="AA167" s="452" t="str">
        <f>IF($P$23=$B167,_xlfn.CONCAT(AA166,"/m2"),"")</f>
        <v/>
      </c>
      <c r="AB167" s="1393"/>
      <c r="AC167" s="1001"/>
      <c r="AD167" s="1405"/>
      <c r="AE167" s="1405"/>
      <c r="AF167" s="1405"/>
      <c r="AG167" s="1405"/>
      <c r="AH167" s="1405"/>
      <c r="AI167" s="1405"/>
      <c r="AJ167" s="1405"/>
      <c r="AK167" s="1405"/>
      <c r="AL167" s="1405"/>
      <c r="AM167" s="1405"/>
      <c r="AN167" s="1405"/>
      <c r="AO167" s="1405"/>
      <c r="AP167" s="1405"/>
      <c r="AQ167" s="1405"/>
      <c r="AR167" s="1405"/>
      <c r="AS167" s="1393"/>
      <c r="AT167" s="1001"/>
      <c r="AU167" s="12"/>
      <c r="AV167" s="452"/>
      <c r="AW167" s="452"/>
      <c r="AX167" s="452"/>
      <c r="AY167" s="452"/>
      <c r="AZ167" s="452"/>
      <c r="BA167" s="452"/>
      <c r="BB167" s="452"/>
      <c r="BC167" s="452"/>
      <c r="BD167" s="452"/>
      <c r="BE167" s="452"/>
      <c r="BF167" s="452"/>
      <c r="BG167" s="452"/>
      <c r="BH167" s="452"/>
      <c r="BI167" s="899"/>
    </row>
    <row r="168" spans="1:61" s="49" customFormat="1" hidden="1">
      <c r="B168" s="47" t="str">
        <f t="shared" ref="B168:C168" si="86">B167</f>
        <v>Uniec 3 per functie</v>
      </c>
      <c r="C168" s="47" t="str">
        <f t="shared" si="86"/>
        <v>NTA 8800</v>
      </c>
      <c r="D168" s="943"/>
      <c r="E168" s="50"/>
      <c r="F168" s="43"/>
      <c r="G168" s="43"/>
      <c r="H168" s="43"/>
      <c r="I168" s="905"/>
      <c r="J168" s="44"/>
      <c r="K168" s="44"/>
      <c r="L168" s="44"/>
      <c r="M168" s="917"/>
      <c r="N168" s="44"/>
      <c r="O168" s="44"/>
      <c r="P168" s="39"/>
      <c r="Q168" s="39"/>
      <c r="R168" s="899"/>
      <c r="S168" s="899"/>
      <c r="T168" s="899"/>
      <c r="U168" s="39"/>
      <c r="V168" s="39"/>
      <c r="W168" s="39"/>
      <c r="X168" s="39"/>
      <c r="Y168" s="12"/>
      <c r="Z168" s="899"/>
      <c r="AA168" s="899"/>
      <c r="AB168" s="1393"/>
      <c r="AC168" s="1001"/>
      <c r="AD168" s="1405"/>
      <c r="AE168" s="1405"/>
      <c r="AF168" s="1405"/>
      <c r="AG168" s="1405"/>
      <c r="AH168" s="1405"/>
      <c r="AI168" s="1405"/>
      <c r="AJ168" s="1405"/>
      <c r="AK168" s="1405"/>
      <c r="AL168" s="1405"/>
      <c r="AM168" s="1405"/>
      <c r="AN168" s="1405"/>
      <c r="AO168" s="1405"/>
      <c r="AP168" s="1405"/>
      <c r="AQ168" s="1405"/>
      <c r="AR168" s="1405"/>
      <c r="AS168" s="1393"/>
      <c r="AT168" s="1001"/>
      <c r="AU168" s="12"/>
      <c r="AV168" s="12"/>
      <c r="AW168" s="12"/>
      <c r="AX168" s="12"/>
      <c r="AY168" s="12"/>
      <c r="AZ168" s="44"/>
      <c r="BA168" s="12"/>
      <c r="BB168" s="44"/>
      <c r="BC168" s="899"/>
      <c r="BD168" s="899"/>
      <c r="BE168" s="899"/>
      <c r="BF168" s="899"/>
      <c r="BG168" s="899"/>
      <c r="BH168" s="899"/>
      <c r="BI168" s="899"/>
    </row>
    <row r="169" spans="1:61" hidden="1">
      <c r="A169" s="86"/>
      <c r="B169" s="939" t="str">
        <f>tabellen_EMD!$C$180</f>
        <v>Uniec 3 finaal</v>
      </c>
      <c r="C169" s="939" t="str">
        <f>VLOOKUP(B169,'ISSO75.3 naar GPR4'!$AV$40:$AY$48,COLUMNS($AV$40:$AX$40),FALSE)</f>
        <v>NTA 8800</v>
      </c>
      <c r="D169" s="943"/>
      <c r="E169" s="14"/>
      <c r="F169" s="15" t="str">
        <f>_xlfn.CONCAT("Overnemen uit '",B169,"': ",VLOOKUP(B169,$AV$41:$AZ$48,COLUMNS($AV$40:$AZ$40),FALSE))</f>
        <v>Overnemen uit 'Uniec 3 finaal': Jaarlijkse hoeveelheid energiegebruik voor de energiefunctie</v>
      </c>
      <c r="G169" s="15"/>
      <c r="H169" s="15"/>
      <c r="I169" s="905"/>
      <c r="J169" s="43"/>
      <c r="K169" s="43"/>
      <c r="L169" s="16"/>
      <c r="M169" s="909" t="s">
        <v>1485</v>
      </c>
      <c r="N169" s="41"/>
      <c r="O169" s="41"/>
      <c r="P169" s="453" t="s">
        <v>1487</v>
      </c>
      <c r="Q169" s="39"/>
      <c r="R169" s="39"/>
      <c r="S169" s="453" t="s">
        <v>1484</v>
      </c>
      <c r="T169" s="39"/>
      <c r="U169" s="39"/>
      <c r="V169" s="453" t="s">
        <v>1613</v>
      </c>
      <c r="W169" s="39"/>
      <c r="X169" s="39"/>
      <c r="Y169" s="12"/>
      <c r="Z169" s="453" t="s">
        <v>1536</v>
      </c>
      <c r="AA169" s="12"/>
      <c r="AB169" s="67"/>
      <c r="AC169" s="995"/>
      <c r="AD169" s="1405"/>
      <c r="AE169" s="1405"/>
      <c r="AF169" s="1405"/>
      <c r="AG169" s="1405"/>
      <c r="AH169" s="1405"/>
      <c r="AI169" s="1405"/>
      <c r="AJ169" s="1405"/>
      <c r="AK169" s="1405"/>
      <c r="AL169" s="1405"/>
      <c r="AM169" s="1405"/>
      <c r="AN169" s="1405"/>
      <c r="AO169" s="1405"/>
      <c r="AP169" s="1405"/>
      <c r="AQ169" s="1405"/>
      <c r="AR169" s="1405"/>
      <c r="AS169" s="67"/>
      <c r="AT169" s="995"/>
      <c r="AU169" s="12"/>
      <c r="AV169" s="12"/>
      <c r="AW169" s="12"/>
      <c r="AX169" s="12"/>
      <c r="AY169" s="12"/>
      <c r="AZ169" s="888" t="str">
        <f>AZ$63</f>
        <v>Eenheid energie</v>
      </c>
      <c r="BA169" s="888" t="s">
        <v>1628</v>
      </c>
      <c r="BB169" s="888" t="str">
        <f>BB$63</f>
        <v>PEF finaal → primair</v>
      </c>
      <c r="BC169" s="452"/>
      <c r="BD169" s="452" t="str">
        <f>BD$63</f>
        <v>eenheden omrekenen</v>
      </c>
      <c r="BE169" s="452"/>
      <c r="BF169" s="452"/>
      <c r="BG169" s="888" t="str">
        <f>BG$63</f>
        <v>CO2</v>
      </c>
      <c r="BH169" s="39"/>
      <c r="BI169" s="899"/>
    </row>
    <row r="170" spans="1:61" hidden="1">
      <c r="A170" s="86"/>
      <c r="B170" s="47" t="str">
        <f t="shared" ref="B170:C180" si="87">B169</f>
        <v>Uniec 3 finaal</v>
      </c>
      <c r="C170" s="47" t="str">
        <f t="shared" si="87"/>
        <v>NTA 8800</v>
      </c>
      <c r="D170" s="943"/>
      <c r="E170" s="14"/>
      <c r="F170" s="909" t="s">
        <v>496</v>
      </c>
      <c r="G170" s="909"/>
      <c r="H170" s="909"/>
      <c r="I170" s="905"/>
      <c r="J170" s="909" t="s">
        <v>458</v>
      </c>
      <c r="K170" s="909"/>
      <c r="L170" s="889"/>
      <c r="M170" s="910" t="s">
        <v>1534</v>
      </c>
      <c r="N170" s="452" t="s">
        <v>204</v>
      </c>
      <c r="O170" s="39"/>
      <c r="P170" s="888" t="s">
        <v>1533</v>
      </c>
      <c r="Q170" s="910" t="s">
        <v>1532</v>
      </c>
      <c r="R170" s="452"/>
      <c r="S170" s="888" t="s">
        <v>1534</v>
      </c>
      <c r="T170" s="889" t="s">
        <v>204</v>
      </c>
      <c r="U170" s="39"/>
      <c r="V170" s="888" t="s">
        <v>1533</v>
      </c>
      <c r="W170" s="910" t="s">
        <v>1532</v>
      </c>
      <c r="X170" s="889" t="s">
        <v>204</v>
      </c>
      <c r="Y170" s="12"/>
      <c r="Z170" s="888" t="s">
        <v>1534</v>
      </c>
      <c r="AA170" s="889" t="s">
        <v>204</v>
      </c>
      <c r="AB170" s="67"/>
      <c r="AC170" s="995"/>
      <c r="AD170" s="1405"/>
      <c r="AE170" s="1405"/>
      <c r="AF170" s="1405"/>
      <c r="AG170" s="1405"/>
      <c r="AH170" s="1405"/>
      <c r="AI170" s="1405"/>
      <c r="AJ170" s="1405"/>
      <c r="AK170" s="1405"/>
      <c r="AL170" s="1405"/>
      <c r="AM170" s="1405"/>
      <c r="AN170" s="1405"/>
      <c r="AO170" s="1405"/>
      <c r="AP170" s="1405"/>
      <c r="AQ170" s="1405"/>
      <c r="AR170" s="1405"/>
      <c r="AS170" s="67"/>
      <c r="AT170" s="995"/>
      <c r="AU170" s="12"/>
      <c r="AV170" s="892" t="str">
        <f t="shared" ref="AV170:AV178" si="88">F170</f>
        <v>energiefunctie</v>
      </c>
      <c r="AW170" s="452" t="str">
        <f>J170</f>
        <v>energiedrager</v>
      </c>
      <c r="AX170" s="910"/>
      <c r="AY170" s="12"/>
      <c r="AZ170" s="888" t="str">
        <f>AZ$64</f>
        <v>pos/neg</v>
      </c>
      <c r="BA170" s="888"/>
      <c r="BB170" s="888" t="str">
        <f>BB$64</f>
        <v>default</v>
      </c>
      <c r="BC170" s="452"/>
      <c r="BD170" s="452" t="str">
        <f>BD$64</f>
        <v>waarde</v>
      </c>
      <c r="BE170" s="452" t="str">
        <f>BE$64</f>
        <v>eenheden</v>
      </c>
      <c r="BF170" s="452"/>
      <c r="BG170" s="888" t="str">
        <f>BG$64</f>
        <v>default</v>
      </c>
      <c r="BH170" s="888" t="str">
        <f>BH$64</f>
        <v>eenheid</v>
      </c>
      <c r="BI170" s="452"/>
    </row>
    <row r="171" spans="1:61" hidden="1">
      <c r="A171" s="86"/>
      <c r="B171" s="47" t="str">
        <f t="shared" si="87"/>
        <v>Uniec 3 finaal</v>
      </c>
      <c r="C171" s="47" t="str">
        <f t="shared" si="87"/>
        <v>NTA 8800</v>
      </c>
      <c r="D171" s="943"/>
      <c r="E171" s="14"/>
      <c r="F171" s="22" t="s">
        <v>1446</v>
      </c>
      <c r="G171" s="22"/>
      <c r="H171" s="22"/>
      <c r="I171" s="905"/>
      <c r="J171" s="1691" t="s">
        <v>465</v>
      </c>
      <c r="K171" s="1698"/>
      <c r="L171" s="16"/>
      <c r="M171" s="24">
        <f>Q171*S171*BD171</f>
        <v>0</v>
      </c>
      <c r="N171" s="47" t="str">
        <f t="shared" ref="N171:N178" si="89">INDEX(EP_methode_eenheid,1,MATCH($C171,EP_methode,0))</f>
        <v>kWh</v>
      </c>
      <c r="O171" s="909"/>
      <c r="P171" s="39"/>
      <c r="Q171" s="59">
        <f>IFERROR(IF(AND(P171&lt;&gt;"",$BA171=1),P171,BB171),1)</f>
        <v>1.45</v>
      </c>
      <c r="R171" s="15"/>
      <c r="S171" s="25"/>
      <c r="T171" s="47" t="str">
        <f>IFERROR(INDEX(energiedragers_EP_eenheden,MATCH($J171,tabellen_EMD!$C$196:$C$204,0),MATCH($B171,energiedragers_EP_eenheden_titel,0)),"-")</f>
        <v>kWh</v>
      </c>
      <c r="U171" s="39"/>
      <c r="V171" s="15"/>
      <c r="W171" s="59">
        <f>IF(AND(V171&lt;&gt;"",$BA171=1),V171,BG171)</f>
        <v>0.34</v>
      </c>
      <c r="X171" s="47" t="str">
        <f>BH171</f>
        <v>kg/kWh</v>
      </c>
      <c r="Y171" s="12"/>
      <c r="Z171" s="24">
        <f>S171*W171*ABS(AZ171)</f>
        <v>0</v>
      </c>
      <c r="AA171" s="47" t="s">
        <v>468</v>
      </c>
      <c r="AB171" s="67"/>
      <c r="AC171" s="995"/>
      <c r="AD171" s="1405"/>
      <c r="AE171" s="1405"/>
      <c r="AF171" s="1405"/>
      <c r="AG171" s="1405"/>
      <c r="AH171" s="1405"/>
      <c r="AI171" s="1405"/>
      <c r="AJ171" s="1405"/>
      <c r="AK171" s="1405"/>
      <c r="AL171" s="1405"/>
      <c r="AM171" s="1405"/>
      <c r="AN171" s="1405"/>
      <c r="AO171" s="1405"/>
      <c r="AP171" s="1405"/>
      <c r="AQ171" s="1405"/>
      <c r="AR171" s="1405"/>
      <c r="AS171" s="67"/>
      <c r="AT171" s="995"/>
      <c r="AU171" s="12"/>
      <c r="AV171" s="22" t="str">
        <f t="shared" si="88"/>
        <v>elek: gebouwgebonden installaties</v>
      </c>
      <c r="AW171" s="46" t="str">
        <f>J171</f>
        <v>elektriciteit</v>
      </c>
      <c r="AX171" s="24"/>
      <c r="AY171" s="12"/>
      <c r="AZ171" s="115">
        <v>1</v>
      </c>
      <c r="BA171" s="24">
        <f>IFERROR(INDEX(tabellen_EMD!$C$185:$N$193,MATCH($J171,tabellen_EMD!$C$185:$C$193,0),MATCH(BA$63,tabellen_EMD!$C$185:$N$185,0)),0)</f>
        <v>0</v>
      </c>
      <c r="BB171" s="115">
        <f>VLOOKUP($J171,energiedragers_EP_PEF,MATCH(_xlfn.CONCAT($C171," | PEF"),energiedragers_EP_PEF_titel,0),FALSE)</f>
        <v>1.45</v>
      </c>
      <c r="BC171" s="899"/>
      <c r="BD171" s="115">
        <f>IFERROR(VLOOKUP($J171,energiedragers_EP_omrekenen,MATCH($B171,energiedragers_EP_omrekenen_titel,0),FALSE),1)</f>
        <v>1</v>
      </c>
      <c r="BE171" s="47" t="str">
        <f>_xlfn.CONCAT(N171,"/",T171)</f>
        <v>kWh/kWh</v>
      </c>
      <c r="BF171" s="899"/>
      <c r="BG171" s="218">
        <f>IFERROR(INDEX(tabellen_EMD!$C$240:$Z$248,MATCH($J171,tabellen_EMD!$C$240:$C$248,0),MATCH($B171,tabellen_EMD!$C$240:$Z$240,0))*(F171&lt;&gt;"zomercomfort"),0)</f>
        <v>0.34</v>
      </c>
      <c r="BH171" s="47" t="str">
        <f>"kg/"&amp;T171</f>
        <v>kg/kWh</v>
      </c>
      <c r="BI171" s="899"/>
    </row>
    <row r="172" spans="1:61" hidden="1">
      <c r="A172" s="86"/>
      <c r="B172" s="47" t="str">
        <f t="shared" si="87"/>
        <v>Uniec 3 finaal</v>
      </c>
      <c r="C172" s="47" t="str">
        <f t="shared" si="87"/>
        <v>NTA 8800</v>
      </c>
      <c r="D172" s="943"/>
      <c r="E172" s="14"/>
      <c r="F172" s="22" t="s">
        <v>1447</v>
      </c>
      <c r="G172" s="22"/>
      <c r="H172" s="22"/>
      <c r="I172" s="905"/>
      <c r="J172" s="965"/>
      <c r="K172" s="965"/>
      <c r="L172" s="965"/>
      <c r="M172" s="965"/>
      <c r="N172" s="965"/>
      <c r="O172" s="965"/>
      <c r="P172" s="965"/>
      <c r="Q172" s="965"/>
      <c r="R172" s="965"/>
      <c r="S172" s="965"/>
      <c r="T172" s="965"/>
      <c r="U172" s="965"/>
      <c r="V172" s="965"/>
      <c r="W172" s="965"/>
      <c r="X172" s="965"/>
      <c r="Y172" s="965"/>
      <c r="Z172" s="965"/>
      <c r="AA172" s="965"/>
      <c r="AB172" s="67"/>
      <c r="AC172" s="995"/>
      <c r="AD172" s="1405"/>
      <c r="AE172" s="1405"/>
      <c r="AF172" s="1405"/>
      <c r="AG172" s="1405"/>
      <c r="AH172" s="1405"/>
      <c r="AI172" s="1405"/>
      <c r="AJ172" s="1405"/>
      <c r="AK172" s="1405"/>
      <c r="AL172" s="1405"/>
      <c r="AM172" s="1405"/>
      <c r="AN172" s="1405"/>
      <c r="AO172" s="1405"/>
      <c r="AP172" s="1405"/>
      <c r="AQ172" s="1405"/>
      <c r="AR172" s="1405"/>
      <c r="AS172" s="67"/>
      <c r="AT172" s="995"/>
      <c r="AU172" s="12"/>
      <c r="AV172" s="22" t="str">
        <f t="shared" si="88"/>
        <v>elek: niet gebouwgebonden installaties</v>
      </c>
      <c r="AW172" s="899"/>
      <c r="AX172" s="899"/>
      <c r="AY172" s="899"/>
      <c r="AZ172" s="899"/>
      <c r="BA172" s="899"/>
      <c r="BB172" s="899"/>
      <c r="BC172" s="899"/>
      <c r="BD172" s="899"/>
      <c r="BE172" s="899"/>
      <c r="BF172" s="899"/>
      <c r="BG172" s="899"/>
      <c r="BH172" s="899"/>
      <c r="BI172" s="899"/>
    </row>
    <row r="173" spans="1:61" hidden="1">
      <c r="A173" s="86"/>
      <c r="B173" s="47" t="str">
        <f t="shared" si="87"/>
        <v>Uniec 3 finaal</v>
      </c>
      <c r="C173" s="47" t="str">
        <f t="shared" si="87"/>
        <v>NTA 8800</v>
      </c>
      <c r="D173" s="943"/>
      <c r="E173" s="14"/>
      <c r="F173" s="22" t="s">
        <v>1448</v>
      </c>
      <c r="G173" s="22"/>
      <c r="H173" s="22"/>
      <c r="I173" s="905"/>
      <c r="J173" s="1691" t="s">
        <v>466</v>
      </c>
      <c r="K173" s="1698"/>
      <c r="L173" s="16"/>
      <c r="M173" s="24">
        <f>Q173*S173*BD173</f>
        <v>0</v>
      </c>
      <c r="N173" s="47" t="str">
        <f t="shared" si="89"/>
        <v>kWh</v>
      </c>
      <c r="O173" s="909"/>
      <c r="P173" s="39"/>
      <c r="Q173" s="59">
        <f>IFERROR(IF(AND(P173&lt;&gt;"",$BA173=1),P173,BB173),1)</f>
        <v>1.45</v>
      </c>
      <c r="R173" s="15"/>
      <c r="S173" s="25"/>
      <c r="T173" s="47" t="str">
        <f>IFERROR(INDEX(energiedragers_EP_eenheden,MATCH($J173,tabellen_EMD!$C$196:$C$204,0),MATCH($B173,energiedragers_EP_eenheden_titel,0)),"-")</f>
        <v>kWh</v>
      </c>
      <c r="U173" s="1156"/>
      <c r="V173" s="15"/>
      <c r="W173" s="59">
        <f>IF(AND(V173&lt;&gt;"",$BA173=1),V173,BG173)</f>
        <v>0.34</v>
      </c>
      <c r="X173" s="47" t="str">
        <f>BH173</f>
        <v>kg/kWh</v>
      </c>
      <c r="Y173" s="12"/>
      <c r="Z173" s="24">
        <f>S173*W173*ABS(AZ173)</f>
        <v>0</v>
      </c>
      <c r="AA173" s="47" t="s">
        <v>468</v>
      </c>
      <c r="AB173" s="67"/>
      <c r="AC173" s="995"/>
      <c r="AD173" s="1405"/>
      <c r="AE173" s="1405"/>
      <c r="AF173" s="1405"/>
      <c r="AG173" s="1405"/>
      <c r="AH173" s="1405"/>
      <c r="AI173" s="1405"/>
      <c r="AJ173" s="1405"/>
      <c r="AK173" s="1405"/>
      <c r="AL173" s="1405"/>
      <c r="AM173" s="1405"/>
      <c r="AN173" s="1405"/>
      <c r="AO173" s="1405"/>
      <c r="AP173" s="1405"/>
      <c r="AQ173" s="1405"/>
      <c r="AR173" s="1405"/>
      <c r="AS173" s="67"/>
      <c r="AT173" s="995"/>
      <c r="AU173" s="12"/>
      <c r="AV173" s="22" t="str">
        <f t="shared" si="88"/>
        <v>elek: opgewekte elektriciteit</v>
      </c>
      <c r="AW173" s="46" t="str">
        <f t="shared" ref="AW173:AW178" si="90">J173</f>
        <v>elektriciteit opgewekt</v>
      </c>
      <c r="AX173" s="24"/>
      <c r="AY173" s="12"/>
      <c r="AZ173" s="115">
        <v>1</v>
      </c>
      <c r="BA173" s="24">
        <f>IFERROR(INDEX(tabellen_EMD!$C$185:$N$193,MATCH($J173,tabellen_EMD!$C$185:$C$193,0),MATCH(BA$63,tabellen_EMD!$C$185:$N$185,0)),0)</f>
        <v>0</v>
      </c>
      <c r="BB173" s="115">
        <f>VLOOKUP($J173,energiedragers_EP_PEF,MATCH(_xlfn.CONCAT($C173," | PEF"),energiedragers_EP_PEF_titel,0),FALSE)</f>
        <v>1.45</v>
      </c>
      <c r="BC173" s="899"/>
      <c r="BD173" s="115">
        <f>IFERROR(VLOOKUP($J173,energiedragers_EP_omrekenen,MATCH($B173,energiedragers_EP_omrekenen_titel,0),FALSE),1)</f>
        <v>1</v>
      </c>
      <c r="BE173" s="47" t="str">
        <f>_xlfn.CONCAT(N173,"/",T173)</f>
        <v>kWh/kWh</v>
      </c>
      <c r="BF173" s="899"/>
      <c r="BG173" s="218">
        <f>IFERROR(INDEX(tabellen_EMD!$C$240:$Z$248,MATCH($J173,tabellen_EMD!$C$240:$C$248,0),MATCH($B173,tabellen_EMD!$C$240:$Z$240,0))*(F173&lt;&gt;"zomercomfort"),0)</f>
        <v>0.34</v>
      </c>
      <c r="BH173" s="47" t="str">
        <f>"kg/"&amp;T173</f>
        <v>kg/kWh</v>
      </c>
      <c r="BI173" s="899"/>
    </row>
    <row r="174" spans="1:61" hidden="1">
      <c r="A174" s="86"/>
      <c r="B174" s="47" t="str">
        <f t="shared" si="87"/>
        <v>Uniec 3 finaal</v>
      </c>
      <c r="C174" s="47" t="str">
        <f t="shared" si="87"/>
        <v>NTA 8800</v>
      </c>
      <c r="D174" s="943"/>
      <c r="E174" s="14"/>
      <c r="F174" s="22" t="s">
        <v>1450</v>
      </c>
      <c r="G174" s="22"/>
      <c r="H174" s="22"/>
      <c r="I174" s="905"/>
      <c r="J174" s="1691" t="s">
        <v>463</v>
      </c>
      <c r="K174" s="1698"/>
      <c r="L174" s="16"/>
      <c r="M174" s="24">
        <f>Q174*S174*BD174</f>
        <v>0</v>
      </c>
      <c r="N174" s="47" t="str">
        <f t="shared" si="89"/>
        <v>kWh</v>
      </c>
      <c r="O174" s="909"/>
      <c r="P174" s="39"/>
      <c r="Q174" s="59">
        <f>IFERROR(IF(AND(P174&lt;&gt;"",$BA174=1),P174,BB174),1)</f>
        <v>1</v>
      </c>
      <c r="R174" s="15"/>
      <c r="S174" s="25"/>
      <c r="T174" s="47" t="str">
        <f>IFERROR(INDEX(energiedragers_EP_eenheden,MATCH($J174,tabellen_EMD!$C$196:$C$204,0),MATCH($B174,energiedragers_EP_eenheden_titel,0)),"-")</f>
        <v>m3 aeq</v>
      </c>
      <c r="U174" s="39"/>
      <c r="V174" s="15"/>
      <c r="W174" s="59">
        <f>IF(AND(V174&lt;&gt;"",$BA174=1),V174,BG174)</f>
        <v>1.788</v>
      </c>
      <c r="X174" s="47" t="str">
        <f>BH174</f>
        <v>kg/m3 aeq</v>
      </c>
      <c r="Y174" s="12"/>
      <c r="Z174" s="24">
        <f>S174*W174*ABS(AZ174)</f>
        <v>0</v>
      </c>
      <c r="AA174" s="47" t="s">
        <v>468</v>
      </c>
      <c r="AB174" s="67"/>
      <c r="AC174" s="995"/>
      <c r="AD174" s="1405"/>
      <c r="AE174" s="1405"/>
      <c r="AF174" s="1405"/>
      <c r="AG174" s="1405"/>
      <c r="AH174" s="1405"/>
      <c r="AI174" s="1405"/>
      <c r="AJ174" s="1405"/>
      <c r="AK174" s="1405"/>
      <c r="AL174" s="1405"/>
      <c r="AM174" s="1405"/>
      <c r="AN174" s="1405"/>
      <c r="AO174" s="1405"/>
      <c r="AP174" s="1405"/>
      <c r="AQ174" s="1405"/>
      <c r="AR174" s="1405"/>
      <c r="AS174" s="67"/>
      <c r="AT174" s="995"/>
      <c r="AU174" s="12"/>
      <c r="AV174" s="22" t="str">
        <f t="shared" si="88"/>
        <v>gas (tbv verwarming / tapwater)</v>
      </c>
      <c r="AW174" s="46" t="str">
        <f t="shared" si="90"/>
        <v>aardgas</v>
      </c>
      <c r="AX174" s="24"/>
      <c r="AY174" s="12"/>
      <c r="AZ174" s="115">
        <v>1</v>
      </c>
      <c r="BA174" s="24">
        <f>IFERROR(INDEX(tabellen_EMD!$C$185:$N$193,MATCH($J174,tabellen_EMD!$C$185:$C$193,0),MATCH(BA$63,tabellen_EMD!$C$185:$N$185,0)),0)</f>
        <v>0</v>
      </c>
      <c r="BB174" s="115">
        <f>VLOOKUP($J174,energiedragers_EP_PEF,MATCH(_xlfn.CONCAT($C174," | PEF"),energiedragers_EP_PEF_titel,0),FALSE)</f>
        <v>1</v>
      </c>
      <c r="BC174" s="899"/>
      <c r="BD174" s="115">
        <f>IFERROR(VLOOKUP($J174,energiedragers_EP_omrekenen,MATCH($B174,energiedragers_EP_omrekenen_titel,0),FALSE),1)</f>
        <v>9.7694444444444439</v>
      </c>
      <c r="BE174" s="47" t="str">
        <f>_xlfn.CONCAT(N174,"/",T174)</f>
        <v>kWh/m3 aeq</v>
      </c>
      <c r="BF174" s="899"/>
      <c r="BG174" s="218">
        <f>IFERROR(INDEX(tabellen_EMD!$C$240:$Z$248,MATCH($J174,tabellen_EMD!$C$240:$C$248,0),MATCH($B174,tabellen_EMD!$C$240:$Z$240,0))*(F174&lt;&gt;"zomercomfort"),0)</f>
        <v>1.788</v>
      </c>
      <c r="BH174" s="47" t="str">
        <f>"kg/"&amp;T174</f>
        <v>kg/m3 aeq</v>
      </c>
      <c r="BI174" s="899"/>
    </row>
    <row r="175" spans="1:61" hidden="1">
      <c r="A175" s="86"/>
      <c r="B175" s="47" t="str">
        <f t="shared" si="87"/>
        <v>Uniec 3 finaal</v>
      </c>
      <c r="C175" s="47" t="str">
        <f t="shared" si="87"/>
        <v>NTA 8800</v>
      </c>
      <c r="D175" s="943"/>
      <c r="E175" s="14"/>
      <c r="F175" s="22" t="s">
        <v>1449</v>
      </c>
      <c r="G175" s="22"/>
      <c r="H175" s="22"/>
      <c r="I175" s="905"/>
      <c r="J175" s="1691" t="s">
        <v>467</v>
      </c>
      <c r="K175" s="1698"/>
      <c r="L175" s="16"/>
      <c r="M175" s="24">
        <f>Q175*S175*BD175</f>
        <v>0</v>
      </c>
      <c r="N175" s="47" t="str">
        <f t="shared" si="89"/>
        <v>kWh</v>
      </c>
      <c r="O175" s="909"/>
      <c r="P175" s="154"/>
      <c r="Q175" s="59">
        <f>IFERROR(IF(AND(P175&lt;&gt;"",$BA175=1),P175,BB175),1)</f>
        <v>1</v>
      </c>
      <c r="R175" s="15"/>
      <c r="S175" s="25"/>
      <c r="T175" s="47" t="str">
        <f>IFERROR(INDEX(energiedragers_EP_eenheden,MATCH($J175,tabellen_EMD!$C$196:$C$204,0),MATCH($B175,energiedragers_EP_eenheden_titel,0)),"-")</f>
        <v>kWh</v>
      </c>
      <c r="U175" s="39"/>
      <c r="V175" s="15"/>
      <c r="W175" s="59">
        <f>IF(AND(V175&lt;&gt;"",$BA175=1),V175,BG175)</f>
        <v>0.372</v>
      </c>
      <c r="X175" s="47" t="str">
        <f>BH175</f>
        <v>kg/kWh</v>
      </c>
      <c r="Y175" s="12"/>
      <c r="Z175" s="24">
        <f>S175*W175*ABS(AZ175)</f>
        <v>0</v>
      </c>
      <c r="AA175" s="47" t="s">
        <v>468</v>
      </c>
      <c r="AB175" s="67"/>
      <c r="AC175" s="995"/>
      <c r="AD175" s="1405"/>
      <c r="AE175" s="1405"/>
      <c r="AF175" s="1405"/>
      <c r="AG175" s="1405"/>
      <c r="AH175" s="1405"/>
      <c r="AI175" s="1405"/>
      <c r="AJ175" s="1405"/>
      <c r="AK175" s="1405"/>
      <c r="AL175" s="1405"/>
      <c r="AM175" s="1405"/>
      <c r="AN175" s="1405"/>
      <c r="AO175" s="1405"/>
      <c r="AP175" s="1405"/>
      <c r="AQ175" s="1405"/>
      <c r="AR175" s="1405"/>
      <c r="AS175" s="67"/>
      <c r="AT175" s="995"/>
      <c r="AU175" s="12"/>
      <c r="AV175" s="22" t="str">
        <f t="shared" si="88"/>
        <v>biomassa (tbv verwarming / tapwater)</v>
      </c>
      <c r="AW175" s="46" t="str">
        <f t="shared" si="90"/>
        <v>hout / biomassa</v>
      </c>
      <c r="AX175" s="24"/>
      <c r="AY175" s="12"/>
      <c r="AZ175" s="115">
        <v>1</v>
      </c>
      <c r="BA175" s="24">
        <f>IFERROR(INDEX(tabellen_EMD!$C$185:$N$193,MATCH($J175,tabellen_EMD!$C$185:$C$193,0),MATCH(BA$63,tabellen_EMD!$C$185:$N$185,0)),0)</f>
        <v>1</v>
      </c>
      <c r="BB175" s="115">
        <f>VLOOKUP($J175,energiedragers_EP_PEF,MATCH(_xlfn.CONCAT($C175," | PEF"),energiedragers_EP_PEF_titel,0),FALSE)</f>
        <v>1</v>
      </c>
      <c r="BC175" s="899"/>
      <c r="BD175" s="115">
        <f>IFERROR(VLOOKUP($J175,energiedragers_EP_omrekenen,MATCH($B175,energiedragers_EP_omrekenen_titel,0),FALSE),1)</f>
        <v>1</v>
      </c>
      <c r="BE175" s="47" t="str">
        <f>_xlfn.CONCAT(N175,"/",T175)</f>
        <v>kWh/kWh</v>
      </c>
      <c r="BF175" s="899"/>
      <c r="BG175" s="218">
        <f>IFERROR(INDEX(tabellen_EMD!$C$240:$Z$248,MATCH($J175,tabellen_EMD!$C$240:$C$248,0),MATCH($B175,tabellen_EMD!$C$240:$Z$240,0))*(F175&lt;&gt;"zomercomfort"),0)</f>
        <v>0.372</v>
      </c>
      <c r="BH175" s="47" t="str">
        <f>"kg/"&amp;T175</f>
        <v>kg/kWh</v>
      </c>
      <c r="BI175" s="899"/>
    </row>
    <row r="176" spans="1:61" hidden="1">
      <c r="A176" s="86"/>
      <c r="B176" s="47" t="str">
        <f t="shared" si="87"/>
        <v>Uniec 3 finaal</v>
      </c>
      <c r="C176" s="47" t="str">
        <f t="shared" si="87"/>
        <v>NTA 8800</v>
      </c>
      <c r="D176" s="943"/>
      <c r="E176" s="14"/>
      <c r="F176" s="52" t="s">
        <v>500</v>
      </c>
      <c r="G176" s="52"/>
      <c r="H176" s="52"/>
      <c r="I176" s="905"/>
      <c r="J176" s="1691" t="s">
        <v>1539</v>
      </c>
      <c r="K176" s="1698"/>
      <c r="L176" s="16"/>
      <c r="M176" s="24">
        <f>Q176*S176*BD176</f>
        <v>0</v>
      </c>
      <c r="N176" s="47" t="str">
        <f t="shared" si="89"/>
        <v>kWh</v>
      </c>
      <c r="O176" s="909"/>
      <c r="P176" s="154"/>
      <c r="Q176" s="59">
        <f>IFERROR(IF(AND(P176&lt;&gt;"",$BA176=1),P176,BB176),1)</f>
        <v>0.90909090909090906</v>
      </c>
      <c r="R176" s="15"/>
      <c r="S176" s="789"/>
      <c r="T176" s="47" t="str">
        <f>IFERROR(INDEX(energiedragers_EP_eenheden,MATCH($J176,tabellen_EMD!$C$196:$C$204,0),MATCH($B176,energiedragers_EP_eenheden_titel,0)),"-")</f>
        <v>GJ</v>
      </c>
      <c r="U176" s="39"/>
      <c r="V176" s="154"/>
      <c r="W176" s="59">
        <f>IF(AND(V176&lt;&gt;"",$BA176=1),V176,BG176)</f>
        <v>47.222000000000001</v>
      </c>
      <c r="X176" s="47" t="str">
        <f t="shared" ref="X176:X177" si="91">BH176</f>
        <v>kg/GJ</v>
      </c>
      <c r="Y176" s="12"/>
      <c r="Z176" s="24">
        <f>S176*W176*ABS(AZ176)</f>
        <v>0</v>
      </c>
      <c r="AA176" s="47" t="s">
        <v>468</v>
      </c>
      <c r="AB176" s="67"/>
      <c r="AC176" s="995"/>
      <c r="AD176" s="1405"/>
      <c r="AE176" s="1405"/>
      <c r="AF176" s="1405"/>
      <c r="AG176" s="1405"/>
      <c r="AH176" s="1405"/>
      <c r="AI176" s="1405"/>
      <c r="AJ176" s="1405"/>
      <c r="AK176" s="1405"/>
      <c r="AL176" s="1405"/>
      <c r="AM176" s="1405"/>
      <c r="AN176" s="1405"/>
      <c r="AO176" s="1405"/>
      <c r="AP176" s="1405"/>
      <c r="AQ176" s="1405"/>
      <c r="AR176" s="1405"/>
      <c r="AS176" s="67"/>
      <c r="AT176" s="995"/>
      <c r="AU176" s="12"/>
      <c r="AV176" s="22" t="str">
        <f t="shared" si="88"/>
        <v>externe warmtelevering</v>
      </c>
      <c r="AW176" s="46" t="str">
        <f t="shared" si="90"/>
        <v>externe warmte</v>
      </c>
      <c r="AX176" s="12"/>
      <c r="AY176" s="12"/>
      <c r="AZ176" s="115">
        <v>1</v>
      </c>
      <c r="BA176" s="24">
        <f>IFERROR(INDEX(tabellen_EMD!$C$185:$N$193,MATCH($J176,tabellen_EMD!$C$185:$C$193,0),MATCH(BA$63,tabellen_EMD!$C$185:$N$185,0)),0)</f>
        <v>1</v>
      </c>
      <c r="BB176" s="115">
        <f>VLOOKUP($J176,energiedragers_EP_PEF,MATCH(_xlfn.CONCAT($C176," | PEF"),energiedragers_EP_PEF_titel,0),FALSE)</f>
        <v>0.90909090909090906</v>
      </c>
      <c r="BC176" s="899"/>
      <c r="BD176" s="115">
        <f>IFERROR(VLOOKUP($J176,energiedragers_EP_omrekenen,MATCH($B176,energiedragers_EP_omrekenen_titel,0),FALSE),1)</f>
        <v>277.77777777777777</v>
      </c>
      <c r="BE176" s="47" t="str">
        <f>_xlfn.CONCAT(N176,"/",T176)</f>
        <v>kWh/GJ</v>
      </c>
      <c r="BF176" s="899"/>
      <c r="BG176" s="24">
        <f>IFERROR(INDEX(tabellen_EMD!$C$240:$Z$248,MATCH($J176,tabellen_EMD!$C$240:$C$248,0),MATCH($B176,tabellen_EMD!$C$240:$Z$240,0))*(F176&lt;&gt;"zomercomfort"),0)</f>
        <v>47.222000000000001</v>
      </c>
      <c r="BH176" s="22" t="str">
        <f>"kg/"&amp;T176</f>
        <v>kg/GJ</v>
      </c>
      <c r="BI176" s="899"/>
    </row>
    <row r="177" spans="1:61" hidden="1">
      <c r="A177" s="86"/>
      <c r="B177" s="47" t="str">
        <f t="shared" si="87"/>
        <v>Uniec 3 finaal</v>
      </c>
      <c r="C177" s="47" t="str">
        <f t="shared" si="87"/>
        <v>NTA 8800</v>
      </c>
      <c r="D177" s="943"/>
      <c r="E177" s="14"/>
      <c r="F177" s="52" t="s">
        <v>1598</v>
      </c>
      <c r="G177" s="52"/>
      <c r="H177" s="52"/>
      <c r="I177" s="905"/>
      <c r="J177" s="1691" t="s">
        <v>1599</v>
      </c>
      <c r="K177" s="1698"/>
      <c r="L177" s="16"/>
      <c r="M177" s="24">
        <f>Q177*S177*BD177</f>
        <v>0</v>
      </c>
      <c r="N177" s="47" t="str">
        <f t="shared" si="89"/>
        <v>kWh</v>
      </c>
      <c r="O177" s="909"/>
      <c r="P177" s="154"/>
      <c r="Q177" s="59">
        <f>IFERROR(IF(AND(P177&lt;&gt;"",$BA177=1),P177,BB177),1)</f>
        <v>3.3333333333333333E-2</v>
      </c>
      <c r="R177" s="15"/>
      <c r="S177" s="789"/>
      <c r="T177" s="47" t="str">
        <f>IFERROR(INDEX(energiedragers_EP_eenheden,MATCH($J177,tabellen_EMD!$C$196:$C$204,0),MATCH($B177,energiedragers_EP_eenheden_titel,0)),"-")</f>
        <v>GJ</v>
      </c>
      <c r="U177" s="39"/>
      <c r="V177" s="154"/>
      <c r="W177" s="59">
        <f>IF(AND(V177&lt;&gt;"",$BA177=1),V177,BG177)</f>
        <v>31.481000000000002</v>
      </c>
      <c r="X177" s="47" t="str">
        <f t="shared" si="91"/>
        <v>kg/GJ</v>
      </c>
      <c r="Y177" s="12"/>
      <c r="Z177" s="24">
        <f>S177*W177*ABS(AZ177)</f>
        <v>0</v>
      </c>
      <c r="AA177" s="47" t="s">
        <v>468</v>
      </c>
      <c r="AB177" s="67"/>
      <c r="AC177" s="995"/>
      <c r="AD177" s="1405"/>
      <c r="AE177" s="1405"/>
      <c r="AF177" s="1405"/>
      <c r="AG177" s="1405"/>
      <c r="AH177" s="1405"/>
      <c r="AI177" s="1405"/>
      <c r="AJ177" s="1405"/>
      <c r="AK177" s="1405"/>
      <c r="AL177" s="1405"/>
      <c r="AM177" s="1405"/>
      <c r="AN177" s="1405"/>
      <c r="AO177" s="1405"/>
      <c r="AP177" s="1405"/>
      <c r="AQ177" s="1405"/>
      <c r="AR177" s="1405"/>
      <c r="AS177" s="67"/>
      <c r="AT177" s="995"/>
      <c r="AU177" s="12"/>
      <c r="AV177" s="22" t="str">
        <f t="shared" si="88"/>
        <v>externe koudelevering</v>
      </c>
      <c r="AW177" s="46" t="str">
        <f t="shared" si="90"/>
        <v>externe koude</v>
      </c>
      <c r="AX177" s="12"/>
      <c r="AY177" s="12"/>
      <c r="AZ177" s="115">
        <v>1</v>
      </c>
      <c r="BA177" s="24">
        <f>IFERROR(INDEX(tabellen_EMD!$C$185:$N$193,MATCH($J177,tabellen_EMD!$C$185:$C$193,0),MATCH(BA$63,tabellen_EMD!$C$185:$N$185,0)),0)</f>
        <v>1</v>
      </c>
      <c r="BB177" s="115">
        <f>VLOOKUP($J177,energiedragers_EP_PEF,MATCH(_xlfn.CONCAT($C177," | PEF"),energiedragers_EP_PEF_titel,0),FALSE)</f>
        <v>3.3333333333333333E-2</v>
      </c>
      <c r="BC177" s="899"/>
      <c r="BD177" s="115">
        <f>IFERROR(VLOOKUP($J177,energiedragers_EP_omrekenen,MATCH($B177,energiedragers_EP_omrekenen_titel,0),FALSE),1)</f>
        <v>277.77777777777777</v>
      </c>
      <c r="BE177" s="47" t="str">
        <f>_xlfn.CONCAT(N177,"/",T177)</f>
        <v>kWh/GJ</v>
      </c>
      <c r="BF177" s="899"/>
      <c r="BG177" s="24">
        <f>IFERROR(INDEX(tabellen_EMD!$C$240:$Z$248,MATCH($J177,tabellen_EMD!$C$240:$C$248,0),MATCH($B177,tabellen_EMD!$C$240:$Z$240,0))*(F177&lt;&gt;"zomercomfort"),0)</f>
        <v>31.481000000000002</v>
      </c>
      <c r="BH177" s="22" t="str">
        <f>"kg/"&amp;T177</f>
        <v>kg/GJ</v>
      </c>
      <c r="BI177" s="899"/>
    </row>
    <row r="178" spans="1:61" s="940" customFormat="1" hidden="1">
      <c r="A178" s="49"/>
      <c r="B178" s="47" t="str">
        <f>B176</f>
        <v>Uniec 3 finaal</v>
      </c>
      <c r="C178" s="47" t="str">
        <f>C176</f>
        <v>NTA 8800</v>
      </c>
      <c r="D178" s="943"/>
      <c r="E178" s="14"/>
      <c r="F178" s="15" t="s">
        <v>1391</v>
      </c>
      <c r="G178" s="15"/>
      <c r="H178" s="15"/>
      <c r="I178" s="905"/>
      <c r="J178" s="43" t="s">
        <v>1391</v>
      </c>
      <c r="K178" s="43"/>
      <c r="L178" s="16"/>
      <c r="M178" s="950">
        <f>SUM(M171,M174,M175,M176,M177-M173)</f>
        <v>0</v>
      </c>
      <c r="N178" s="15" t="str">
        <f t="shared" si="89"/>
        <v>kWh</v>
      </c>
      <c r="O178" s="15"/>
      <c r="P178" s="39"/>
      <c r="Q178" s="39"/>
      <c r="R178" s="15"/>
      <c r="S178" s="899"/>
      <c r="T178" s="899"/>
      <c r="U178" s="39"/>
      <c r="V178" s="39"/>
      <c r="W178" s="39"/>
      <c r="X178" s="39"/>
      <c r="Y178" s="12"/>
      <c r="Z178" s="950">
        <f>SUM(Z171,Z174,Z175,Z176,Z177-Z173)</f>
        <v>0</v>
      </c>
      <c r="AA178" s="15" t="s">
        <v>468</v>
      </c>
      <c r="AB178" s="67"/>
      <c r="AC178" s="995"/>
      <c r="AD178" s="1405"/>
      <c r="AE178" s="1405"/>
      <c r="AF178" s="1405"/>
      <c r="AG178" s="1405"/>
      <c r="AH178" s="1405"/>
      <c r="AI178" s="1405"/>
      <c r="AJ178" s="1405"/>
      <c r="AK178" s="1405"/>
      <c r="AL178" s="1405"/>
      <c r="AM178" s="1405"/>
      <c r="AN178" s="1405"/>
      <c r="AO178" s="1405"/>
      <c r="AP178" s="1405"/>
      <c r="AQ178" s="1405"/>
      <c r="AR178" s="1405"/>
      <c r="AS178" s="67"/>
      <c r="AT178" s="995"/>
      <c r="AU178" s="12"/>
      <c r="AV178" s="22" t="str">
        <f t="shared" si="88"/>
        <v>totaal</v>
      </c>
      <c r="AW178" s="46" t="str">
        <f t="shared" si="90"/>
        <v>totaal</v>
      </c>
      <c r="AX178" s="24"/>
      <c r="AY178" s="12"/>
      <c r="AZ178" s="24"/>
      <c r="BA178" s="12"/>
      <c r="BB178" s="24"/>
      <c r="BC178" s="899"/>
      <c r="BD178" s="12"/>
      <c r="BE178" s="12"/>
      <c r="BF178" s="899"/>
      <c r="BG178" s="12"/>
      <c r="BH178" s="12"/>
      <c r="BI178" s="899"/>
    </row>
    <row r="179" spans="1:61" s="49" customFormat="1" hidden="1">
      <c r="A179" s="212"/>
      <c r="B179" s="47" t="str">
        <f t="shared" si="87"/>
        <v>Uniec 3 finaal</v>
      </c>
      <c r="C179" s="47" t="str">
        <f t="shared" si="87"/>
        <v>NTA 8800</v>
      </c>
      <c r="D179" s="943"/>
      <c r="E179" s="50"/>
      <c r="F179" s="452" t="str">
        <f>IFERROR(IF($P$23=$B179,_xlfn.CONCAT("Bij 1.1 ingevuld: ",FIXED($J$35,2,FALSE)," ",$K$35),""),"invoer niet correct")</f>
        <v/>
      </c>
      <c r="G179" s="452"/>
      <c r="H179" s="452"/>
      <c r="I179" s="905"/>
      <c r="J179" s="909" t="str">
        <f>IFERROR(IF($P$23=$B179,IF(ABS((M179-$J$35)/$J$35)&gt;1%,"Afwijking &gt;1% met subthema 1.1",""),""),"invoer niet correct")</f>
        <v/>
      </c>
      <c r="K179" s="909"/>
      <c r="L179" s="910"/>
      <c r="M179" s="1339" t="str">
        <f>IFERROR(IF($P$23=$B179,M178/$J$59,""),"")</f>
        <v/>
      </c>
      <c r="N179" s="452" t="str">
        <f>IF($P$23=$B179,_xlfn.CONCAT(N178,"/m2"),"")</f>
        <v/>
      </c>
      <c r="O179" s="452"/>
      <c r="P179" s="39"/>
      <c r="Q179" s="39"/>
      <c r="R179" s="899"/>
      <c r="S179" s="899"/>
      <c r="T179" s="899"/>
      <c r="U179" s="39"/>
      <c r="V179" s="39"/>
      <c r="W179" s="910" t="str">
        <f>IFERROR(IF($P$23=$B179,_xlfn.CONCAT("Bij 1.1 ingevuld: ",FIXED($AG$40,1,FALSE)," ",$AH$40),""),"invoer niet correct")</f>
        <v/>
      </c>
      <c r="X179" s="909" t="str">
        <f>IFERROR(IF($P$23=$B179,IF(ABS((Z179-$AG$40)/$AG$40)&gt;1%,"afwijking &gt;1% met subthema 1.1",""),""),"invoer niet correct")</f>
        <v/>
      </c>
      <c r="Y179" s="12"/>
      <c r="Z179" s="951" t="str">
        <f>IFERROR(IF($P$23=$B179,Z178/$J$58,""),"")</f>
        <v/>
      </c>
      <c r="AA179" s="452" t="str">
        <f>IF($P$23=$B179,_xlfn.CONCAT(AA178,"/m2"),"")</f>
        <v/>
      </c>
      <c r="AB179" s="1393"/>
      <c r="AC179" s="1001"/>
      <c r="AD179" s="1405"/>
      <c r="AE179" s="1405"/>
      <c r="AF179" s="1405"/>
      <c r="AG179" s="1405"/>
      <c r="AH179" s="1405"/>
      <c r="AI179" s="1405"/>
      <c r="AJ179" s="1405"/>
      <c r="AK179" s="1405"/>
      <c r="AL179" s="1405"/>
      <c r="AM179" s="1405"/>
      <c r="AN179" s="1405"/>
      <c r="AO179" s="1405"/>
      <c r="AP179" s="1405"/>
      <c r="AQ179" s="1405"/>
      <c r="AR179" s="1405"/>
      <c r="AS179" s="1393"/>
      <c r="AT179" s="1001"/>
      <c r="AU179" s="12"/>
      <c r="AV179" s="452"/>
      <c r="AW179" s="452"/>
      <c r="AX179" s="452"/>
      <c r="AY179" s="452"/>
      <c r="AZ179" s="452"/>
      <c r="BA179" s="452"/>
      <c r="BB179" s="452"/>
      <c r="BC179" s="452"/>
      <c r="BD179" s="452"/>
      <c r="BE179" s="452"/>
      <c r="BF179" s="452"/>
      <c r="BG179" s="899"/>
      <c r="BH179" s="899"/>
      <c r="BI179" s="899"/>
    </row>
    <row r="180" spans="1:61" hidden="1">
      <c r="A180" s="86"/>
      <c r="B180" s="47" t="str">
        <f t="shared" si="87"/>
        <v>Uniec 3 finaal</v>
      </c>
      <c r="C180" s="47" t="str">
        <f t="shared" si="87"/>
        <v>NTA 8800</v>
      </c>
      <c r="D180" s="943"/>
      <c r="E180" s="14"/>
      <c r="F180" s="43"/>
      <c r="G180" s="43"/>
      <c r="H180" s="43"/>
      <c r="I180" s="905"/>
      <c r="J180" s="55"/>
      <c r="K180" s="55"/>
      <c r="L180" s="53"/>
      <c r="M180" s="54"/>
      <c r="N180" s="56"/>
      <c r="O180" s="148"/>
      <c r="P180" s="39"/>
      <c r="Q180" s="39"/>
      <c r="R180" s="53"/>
      <c r="S180" s="1"/>
      <c r="T180" s="53"/>
      <c r="U180" s="39"/>
      <c r="V180" s="39"/>
      <c r="W180" s="39"/>
      <c r="X180" s="39"/>
      <c r="Y180" s="12"/>
      <c r="Z180" s="13"/>
      <c r="AA180" s="13"/>
      <c r="AB180" s="67"/>
      <c r="AC180" s="995"/>
      <c r="AD180" s="1405"/>
      <c r="AE180" s="1405"/>
      <c r="AF180" s="1405"/>
      <c r="AG180" s="1405"/>
      <c r="AH180" s="1405"/>
      <c r="AI180" s="1405"/>
      <c r="AJ180" s="1405"/>
      <c r="AK180" s="1405"/>
      <c r="AL180" s="1405"/>
      <c r="AM180" s="1405"/>
      <c r="AN180" s="1405"/>
      <c r="AO180" s="1405"/>
      <c r="AP180" s="1405"/>
      <c r="AQ180" s="1405"/>
      <c r="AR180" s="1405"/>
      <c r="AS180" s="67"/>
      <c r="AT180" s="995"/>
      <c r="AU180" s="12"/>
      <c r="AV180" s="12"/>
      <c r="AW180" s="12"/>
      <c r="AX180" s="12"/>
      <c r="AY180" s="12"/>
      <c r="AZ180" s="12"/>
      <c r="BA180" s="12"/>
      <c r="BB180" s="12"/>
      <c r="BC180" s="12"/>
      <c r="BD180" s="12"/>
      <c r="BE180" s="12"/>
      <c r="BF180" s="12"/>
      <c r="BG180" s="12"/>
      <c r="BH180" s="12"/>
      <c r="BI180" s="12"/>
    </row>
    <row r="181" spans="1:61" s="49" customFormat="1" hidden="1">
      <c r="A181" s="212" t="s">
        <v>493</v>
      </c>
      <c r="B181" s="1005" t="str">
        <f>$P$23</f>
        <v>Energielabel utiliteit</v>
      </c>
      <c r="C181" s="1005" t="str">
        <f>VLOOKUP(B181,'ISSO75.3 naar GPR4'!$AV$40:$AY$48,COLUMNS($AV$40:$AX$40),FALSE)</f>
        <v>ISSO 75.3</v>
      </c>
      <c r="D181" s="947"/>
      <c r="E181" s="50"/>
      <c r="F181" s="43" t="s">
        <v>1486</v>
      </c>
      <c r="G181" s="43"/>
      <c r="H181" s="43"/>
      <c r="I181" s="905"/>
      <c r="J181" s="44"/>
      <c r="K181" s="44"/>
      <c r="L181" s="44"/>
      <c r="M181" s="909" t="s">
        <v>1485</v>
      </c>
      <c r="N181" s="44"/>
      <c r="O181" s="44"/>
      <c r="P181" s="899"/>
      <c r="Q181" s="899"/>
      <c r="R181" s="899"/>
      <c r="S181" s="453" t="s">
        <v>1605</v>
      </c>
      <c r="T181" s="44"/>
      <c r="U181" s="899"/>
      <c r="V181" s="453"/>
      <c r="W181" s="453" t="s">
        <v>1606</v>
      </c>
      <c r="X181" s="44"/>
      <c r="Y181" s="12"/>
      <c r="Z181" s="453" t="s">
        <v>1536</v>
      </c>
      <c r="AA181" s="12"/>
      <c r="AB181" s="1393"/>
      <c r="AC181" s="995"/>
      <c r="AD181" s="1405"/>
      <c r="AE181" s="1405"/>
      <c r="AF181" s="1405"/>
      <c r="AG181" s="1405"/>
      <c r="AH181" s="1405"/>
      <c r="AI181" s="1405"/>
      <c r="AJ181" s="1405"/>
      <c r="AK181" s="1405"/>
      <c r="AL181" s="1405"/>
      <c r="AM181" s="1405"/>
      <c r="AN181" s="1405"/>
      <c r="AO181" s="1405"/>
      <c r="AP181" s="1405"/>
      <c r="AQ181" s="1405"/>
      <c r="AR181" s="1405"/>
      <c r="AS181" s="1393"/>
      <c r="AT181" s="1001"/>
      <c r="AU181" s="12"/>
      <c r="AV181" s="12"/>
      <c r="AW181" s="12"/>
      <c r="AX181" s="12"/>
      <c r="AY181" s="12"/>
      <c r="AZ181" s="12"/>
      <c r="BA181" s="12"/>
      <c r="BB181" s="12"/>
      <c r="BC181" s="12"/>
      <c r="BD181" s="12"/>
      <c r="BE181" s="12"/>
      <c r="BF181" s="12"/>
      <c r="BG181" s="12"/>
      <c r="BH181" s="12"/>
      <c r="BI181" s="13"/>
    </row>
    <row r="182" spans="1:61" hidden="1">
      <c r="A182" s="212" t="s">
        <v>493</v>
      </c>
      <c r="B182" s="978" t="str">
        <f t="shared" ref="B182:C191" si="92">B181</f>
        <v>Energielabel utiliteit</v>
      </c>
      <c r="C182" s="978" t="str">
        <f t="shared" si="92"/>
        <v>ISSO 75.3</v>
      </c>
      <c r="D182" s="947"/>
      <c r="E182" s="14"/>
      <c r="F182" s="892" t="s">
        <v>1632</v>
      </c>
      <c r="G182" s="892"/>
      <c r="H182" s="892"/>
      <c r="I182" s="905"/>
      <c r="J182" s="892" t="s">
        <v>1633</v>
      </c>
      <c r="K182" s="965"/>
      <c r="L182" s="889"/>
      <c r="M182" s="910" t="s">
        <v>1534</v>
      </c>
      <c r="N182" s="452" t="s">
        <v>204</v>
      </c>
      <c r="O182" s="452"/>
      <c r="P182" s="452"/>
      <c r="Q182" s="452"/>
      <c r="R182" s="39"/>
      <c r="S182" s="888" t="s">
        <v>1534</v>
      </c>
      <c r="T182" s="889" t="s">
        <v>204</v>
      </c>
      <c r="U182" s="452"/>
      <c r="V182" s="888"/>
      <c r="W182" s="888" t="s">
        <v>1534</v>
      </c>
      <c r="X182" s="889" t="s">
        <v>204</v>
      </c>
      <c r="Y182" s="12"/>
      <c r="Z182" s="888" t="s">
        <v>1534</v>
      </c>
      <c r="AA182" s="889" t="s">
        <v>204</v>
      </c>
      <c r="AB182" s="67"/>
      <c r="AC182" s="995"/>
      <c r="AD182" s="1405"/>
      <c r="AE182" s="1405"/>
      <c r="AF182" s="1405"/>
      <c r="AG182" s="1405"/>
      <c r="AH182" s="1405"/>
      <c r="AI182" s="1405"/>
      <c r="AJ182" s="1405"/>
      <c r="AK182" s="1405"/>
      <c r="AL182" s="1405"/>
      <c r="AM182" s="1405"/>
      <c r="AN182" s="1405"/>
      <c r="AO182" s="1405"/>
      <c r="AP182" s="1405"/>
      <c r="AQ182" s="1405"/>
      <c r="AR182" s="1405"/>
      <c r="AS182" s="67"/>
      <c r="AT182" s="995"/>
      <c r="AU182" s="12"/>
      <c r="AV182" s="12"/>
      <c r="AW182" s="12"/>
      <c r="AX182" s="12"/>
      <c r="AY182" s="12"/>
      <c r="AZ182" s="12"/>
      <c r="BA182" s="12"/>
      <c r="BB182" s="12"/>
      <c r="BC182" s="12"/>
      <c r="BD182" s="12"/>
      <c r="BE182" s="12"/>
      <c r="BF182" s="12"/>
      <c r="BG182" s="12"/>
      <c r="BH182" s="12"/>
      <c r="BI182" s="13"/>
    </row>
    <row r="183" spans="1:61" s="49" customFormat="1" hidden="1">
      <c r="A183" s="212" t="s">
        <v>493</v>
      </c>
      <c r="B183" s="978" t="str">
        <f t="shared" si="92"/>
        <v>Energielabel utiliteit</v>
      </c>
      <c r="C183" s="978" t="str">
        <f t="shared" si="92"/>
        <v>ISSO 75.3</v>
      </c>
      <c r="D183" s="947"/>
      <c r="E183" s="50"/>
      <c r="F183" s="46" t="str">
        <f>tabellen_EMD!C197</f>
        <v>aardgas</v>
      </c>
      <c r="G183" s="46"/>
      <c r="H183" s="46"/>
      <c r="I183" s="905"/>
      <c r="J183" s="1691" t="s">
        <v>463</v>
      </c>
      <c r="K183" s="1698"/>
      <c r="L183" s="44"/>
      <c r="M183" s="24">
        <f t="shared" ref="M183:M189" si="93">SUMIFS(M$63:M$180,$AZ$63:$AZ$180,1,$B$63:$B$180,$B183,$J$63:$J$180,$F183)-SUMIFS(M$63:M$180,$AZ$63:$AZ$180,-1,$B$63:$B$180,$B183,$J$63:$J$180,$F183)</f>
        <v>0</v>
      </c>
      <c r="N183" s="22" t="str">
        <f t="shared" ref="N183:N190" si="94">INDEX(EP_methode_eenheid,1,MATCH($C183,EP_methode,0))</f>
        <v>MJ</v>
      </c>
      <c r="O183" s="44"/>
      <c r="P183" s="452"/>
      <c r="Q183" s="452"/>
      <c r="R183" s="899"/>
      <c r="S183" s="24">
        <f t="shared" ref="S183:S189" si="95">SUMIFS(S$63:S$180,$AZ$63:$AZ$180,1,$B$63:$B$180,$B183,$J$63:$J$180,$F183)-SUMIFS(S$63:S$180,$AZ$63:$AZ$180,-1,$B$63:$B$180,$B183,$J$63:$J$180,$F183)</f>
        <v>0</v>
      </c>
      <c r="T183" s="47" t="str">
        <f>IFERROR(INDEX(energiedragers_EP_eenheden,MATCH($J183,tabellen_EMD!$C$196:$C$204,0),MATCH($B183,energiedragers_EP_eenheden_titel,0)),"-")</f>
        <v>m3</v>
      </c>
      <c r="U183" s="452"/>
      <c r="V183" s="39"/>
      <c r="W183" s="24">
        <f>S183/INDEX(tabellen_EMD!$C$259:$Z$266,MATCH($F183,tabellen_EMD!$C$259:$C$266,0),MATCH(B183,tabellen_EMD!$C$259:$Z$259,0))</f>
        <v>0</v>
      </c>
      <c r="X183" s="47" t="str">
        <f>INDEX(tabellen_EMD!$C$251:$F$256,MATCH($J183,tabellen_EMD!$C$251:$C$256,0),MATCH($P$24,tabellen_EMD!$C$251:$F$251,0))</f>
        <v>m3</v>
      </c>
      <c r="Y183" s="12"/>
      <c r="Z183" s="24">
        <f t="shared" ref="Z183:Z189" si="96">SUMIFS(Z$63:Z$180,$AZ$63:$AZ$180,1,$B$63:$B$180,$B183,$J$63:$J$180,$J183)-SUMIFS(Z$63:Z$180,$AZ$63:$AZ$180,-1,$B$63:$B$180,$B183,$J$63:$J$180,$J183)</f>
        <v>0</v>
      </c>
      <c r="AA183" s="47" t="s">
        <v>468</v>
      </c>
      <c r="AB183" s="1393"/>
      <c r="AC183" s="995"/>
      <c r="AD183" s="1405"/>
      <c r="AE183" s="1405"/>
      <c r="AF183" s="1405"/>
      <c r="AG183" s="1405"/>
      <c r="AH183" s="1405"/>
      <c r="AI183" s="1405"/>
      <c r="AJ183" s="1405"/>
      <c r="AK183" s="1405"/>
      <c r="AL183" s="1405"/>
      <c r="AM183" s="1405"/>
      <c r="AN183" s="1405"/>
      <c r="AO183" s="1405"/>
      <c r="AP183" s="1405"/>
      <c r="AQ183" s="1405"/>
      <c r="AR183" s="1405"/>
      <c r="AS183" s="1393"/>
      <c r="AT183" s="1001"/>
      <c r="AU183" s="12"/>
      <c r="AV183" s="12"/>
      <c r="AW183" s="12"/>
      <c r="AX183" s="12"/>
      <c r="AY183" s="12"/>
      <c r="AZ183" s="12"/>
      <c r="BA183" s="12"/>
      <c r="BB183" s="12"/>
      <c r="BC183" s="12"/>
      <c r="BD183" s="12"/>
      <c r="BE183" s="12"/>
      <c r="BF183" s="12"/>
      <c r="BG183" s="12"/>
      <c r="BH183" s="12"/>
      <c r="BI183" s="13"/>
    </row>
    <row r="184" spans="1:61" s="49" customFormat="1" hidden="1">
      <c r="A184" s="212" t="s">
        <v>493</v>
      </c>
      <c r="B184" s="978" t="str">
        <f t="shared" si="92"/>
        <v>Energielabel utiliteit</v>
      </c>
      <c r="C184" s="978" t="str">
        <f t="shared" si="92"/>
        <v>ISSO 75.3</v>
      </c>
      <c r="D184" s="947"/>
      <c r="E184" s="50"/>
      <c r="F184" s="46" t="str">
        <f>tabellen_EMD!C198</f>
        <v>elektriciteit</v>
      </c>
      <c r="G184" s="46"/>
      <c r="H184" s="46"/>
      <c r="I184" s="905"/>
      <c r="J184" s="1691" t="s">
        <v>465</v>
      </c>
      <c r="K184" s="1698"/>
      <c r="L184" s="44"/>
      <c r="M184" s="24">
        <f t="shared" si="93"/>
        <v>0</v>
      </c>
      <c r="N184" s="22" t="str">
        <f t="shared" si="94"/>
        <v>MJ</v>
      </c>
      <c r="O184" s="44"/>
      <c r="P184" s="452"/>
      <c r="Q184" s="452"/>
      <c r="R184" s="899"/>
      <c r="S184" s="24">
        <f t="shared" si="95"/>
        <v>0</v>
      </c>
      <c r="T184" s="47" t="str">
        <f>IFERROR(INDEX(energiedragers_EP_eenheden,MATCH($J184,tabellen_EMD!$C$196:$C$204,0),MATCH($B184,energiedragers_EP_eenheden_titel,0)),"-")</f>
        <v>kWh</v>
      </c>
      <c r="U184" s="452"/>
      <c r="V184" s="39"/>
      <c r="W184" s="24">
        <f>S184/INDEX(tabellen_EMD!$C$259:$Z$266,MATCH($F184,tabellen_EMD!$C$259:$C$266,0),MATCH(B184,tabellen_EMD!$C$259:$Z$259,0))</f>
        <v>0</v>
      </c>
      <c r="X184" s="47" t="str">
        <f>INDEX(tabellen_EMD!$C$251:$F$256,MATCH($J184,tabellen_EMD!$C$251:$C$256,0),MATCH($P$24,tabellen_EMD!$C$251:$F$251,0))</f>
        <v>kWh</v>
      </c>
      <c r="Y184" s="12"/>
      <c r="Z184" s="24">
        <f t="shared" si="96"/>
        <v>0</v>
      </c>
      <c r="AA184" s="47" t="s">
        <v>468</v>
      </c>
      <c r="AB184" s="1393"/>
      <c r="AC184" s="995"/>
      <c r="AD184" s="1405"/>
      <c r="AE184" s="1405"/>
      <c r="AF184" s="1405"/>
      <c r="AG184" s="1405"/>
      <c r="AH184" s="1405"/>
      <c r="AI184" s="1405"/>
      <c r="AJ184" s="1405"/>
      <c r="AK184" s="1405"/>
      <c r="AL184" s="1405"/>
      <c r="AM184" s="1405"/>
      <c r="AN184" s="1405"/>
      <c r="AO184" s="1405"/>
      <c r="AP184" s="1405"/>
      <c r="AQ184" s="1405"/>
      <c r="AR184" s="1405"/>
      <c r="AS184" s="1393"/>
      <c r="AT184" s="1001"/>
      <c r="AU184" s="12"/>
      <c r="AV184" s="12"/>
      <c r="AW184" s="12"/>
      <c r="AX184" s="12"/>
      <c r="AY184" s="12"/>
      <c r="AZ184" s="12"/>
      <c r="BA184" s="12"/>
      <c r="BB184" s="12"/>
      <c r="BC184" s="12"/>
      <c r="BD184" s="12"/>
      <c r="BE184" s="12"/>
      <c r="BF184" s="12"/>
      <c r="BG184" s="12"/>
      <c r="BH184" s="12"/>
      <c r="BI184" s="13"/>
    </row>
    <row r="185" spans="1:61" s="49" customFormat="1" hidden="1">
      <c r="A185" s="212" t="s">
        <v>493</v>
      </c>
      <c r="B185" s="978" t="str">
        <f t="shared" si="92"/>
        <v>Energielabel utiliteit</v>
      </c>
      <c r="C185" s="978" t="str">
        <f t="shared" si="92"/>
        <v>ISSO 75.3</v>
      </c>
      <c r="D185" s="947"/>
      <c r="E185" s="50"/>
      <c r="F185" s="46" t="str">
        <f>tabellen_EMD!C199</f>
        <v>elektriciteit opgewekt</v>
      </c>
      <c r="G185" s="46"/>
      <c r="H185" s="46"/>
      <c r="I185" s="905"/>
      <c r="J185" s="1691" t="s">
        <v>466</v>
      </c>
      <c r="K185" s="1698"/>
      <c r="L185" s="44"/>
      <c r="M185" s="24">
        <f t="shared" si="93"/>
        <v>0</v>
      </c>
      <c r="N185" s="22" t="str">
        <f t="shared" si="94"/>
        <v>MJ</v>
      </c>
      <c r="O185" s="44"/>
      <c r="P185" s="452"/>
      <c r="Q185" s="452"/>
      <c r="R185" s="899"/>
      <c r="S185" s="24">
        <f t="shared" si="95"/>
        <v>0</v>
      </c>
      <c r="T185" s="47" t="str">
        <f>IFERROR(INDEX(energiedragers_EP_eenheden,MATCH($J185,tabellen_EMD!$C$196:$C$204,0),MATCH($B185,energiedragers_EP_eenheden_titel,0)),"-")</f>
        <v>kWh</v>
      </c>
      <c r="U185" s="452"/>
      <c r="V185" s="39"/>
      <c r="W185" s="24">
        <f>S185/INDEX(tabellen_EMD!$C$259:$Z$266,MATCH($F185,tabellen_EMD!$C$259:$C$266,0),MATCH(B185,tabellen_EMD!$C$259:$Z$259,0))</f>
        <v>0</v>
      </c>
      <c r="X185" s="47" t="str">
        <f>INDEX(tabellen_EMD!$C$251:$F$256,MATCH($J185,tabellen_EMD!$C$251:$C$256,0),MATCH($P$24,tabellen_EMD!$C$251:$F$251,0))</f>
        <v>kWh</v>
      </c>
      <c r="Y185" s="12"/>
      <c r="Z185" s="24">
        <f t="shared" si="96"/>
        <v>0</v>
      </c>
      <c r="AA185" s="47" t="s">
        <v>468</v>
      </c>
      <c r="AB185" s="1393"/>
      <c r="AC185" s="995"/>
      <c r="AD185" s="1405"/>
      <c r="AE185" s="1405"/>
      <c r="AF185" s="1405"/>
      <c r="AG185" s="1405"/>
      <c r="AH185" s="1405"/>
      <c r="AI185" s="1405"/>
      <c r="AJ185" s="1405"/>
      <c r="AK185" s="1405"/>
      <c r="AL185" s="1405"/>
      <c r="AM185" s="1405"/>
      <c r="AN185" s="1405"/>
      <c r="AO185" s="1405"/>
      <c r="AP185" s="1405"/>
      <c r="AQ185" s="1405"/>
      <c r="AR185" s="1405"/>
      <c r="AS185" s="1393"/>
      <c r="AT185" s="1001"/>
      <c r="AU185" s="12"/>
      <c r="AV185" s="12"/>
      <c r="AW185" s="12"/>
      <c r="AX185" s="12"/>
      <c r="AY185" s="12"/>
      <c r="AZ185" s="12"/>
      <c r="BA185" s="12"/>
      <c r="BB185" s="12"/>
      <c r="BC185" s="12"/>
      <c r="BD185" s="12"/>
      <c r="BE185" s="12"/>
      <c r="BF185" s="12"/>
      <c r="BG185" s="12"/>
      <c r="BH185" s="12"/>
      <c r="BI185" s="13"/>
    </row>
    <row r="186" spans="1:61" s="49" customFormat="1" hidden="1">
      <c r="A186" s="212" t="s">
        <v>493</v>
      </c>
      <c r="B186" s="978" t="str">
        <f t="shared" si="92"/>
        <v>Energielabel utiliteit</v>
      </c>
      <c r="C186" s="978" t="str">
        <f t="shared" si="92"/>
        <v>ISSO 75.3</v>
      </c>
      <c r="D186" s="947"/>
      <c r="E186" s="50"/>
      <c r="F186" s="46" t="str">
        <f>tabellen_EMD!C200</f>
        <v>elektriciteit geëxporteerd</v>
      </c>
      <c r="G186" s="46"/>
      <c r="H186" s="46"/>
      <c r="I186" s="905"/>
      <c r="J186" s="1691" t="s">
        <v>466</v>
      </c>
      <c r="K186" s="1698"/>
      <c r="L186" s="44"/>
      <c r="M186" s="24">
        <f t="shared" si="93"/>
        <v>0</v>
      </c>
      <c r="N186" s="22" t="str">
        <f t="shared" si="94"/>
        <v>MJ</v>
      </c>
      <c r="O186" s="44"/>
      <c r="P186" s="452"/>
      <c r="Q186" s="452"/>
      <c r="R186" s="899"/>
      <c r="S186" s="24">
        <f t="shared" si="95"/>
        <v>0</v>
      </c>
      <c r="T186" s="47" t="str">
        <f>IFERROR(INDEX(energiedragers_EP_eenheden,MATCH($J186,tabellen_EMD!$C$196:$C$204,0),MATCH($B186,energiedragers_EP_eenheden_titel,0)),"-")</f>
        <v>kWh</v>
      </c>
      <c r="U186" s="452"/>
      <c r="V186" s="39"/>
      <c r="W186" s="24">
        <f>S186/INDEX(tabellen_EMD!$C$259:$Z$266,MATCH($F186,tabellen_EMD!$C$259:$C$266,0),MATCH(B186,tabellen_EMD!$C$259:$Z$259,0))</f>
        <v>0</v>
      </c>
      <c r="X186" s="47" t="str">
        <f>INDEX(tabellen_EMD!$C$251:$F$256,MATCH($J186,tabellen_EMD!$C$251:$C$256,0),MATCH($P$24,tabellen_EMD!$C$251:$F$251,0))</f>
        <v>kWh</v>
      </c>
      <c r="Y186" s="12"/>
      <c r="Z186" s="24">
        <f t="shared" si="96"/>
        <v>0</v>
      </c>
      <c r="AA186" s="47" t="s">
        <v>468</v>
      </c>
      <c r="AB186" s="1393"/>
      <c r="AC186" s="995"/>
      <c r="AD186" s="1405"/>
      <c r="AE186" s="1405"/>
      <c r="AF186" s="1405"/>
      <c r="AG186" s="1405"/>
      <c r="AH186" s="1405"/>
      <c r="AI186" s="1405"/>
      <c r="AJ186" s="1405"/>
      <c r="AK186" s="1405"/>
      <c r="AL186" s="1405"/>
      <c r="AM186" s="1405"/>
      <c r="AN186" s="1405"/>
      <c r="AO186" s="1405"/>
      <c r="AP186" s="1405"/>
      <c r="AQ186" s="1405"/>
      <c r="AR186" s="1405"/>
      <c r="AS186" s="1393"/>
      <c r="AT186" s="1001"/>
      <c r="AU186" s="12"/>
      <c r="AV186" s="12"/>
      <c r="AW186" s="12"/>
      <c r="AX186" s="12"/>
      <c r="AY186" s="12"/>
      <c r="AZ186" s="12"/>
      <c r="BA186" s="12"/>
      <c r="BB186" s="12"/>
      <c r="BC186" s="12"/>
      <c r="BD186" s="12"/>
      <c r="BE186" s="12"/>
      <c r="BF186" s="12"/>
      <c r="BG186" s="12"/>
      <c r="BH186" s="12"/>
      <c r="BI186" s="13"/>
    </row>
    <row r="187" spans="1:61" s="49" customFormat="1" hidden="1">
      <c r="A187" s="212" t="s">
        <v>493</v>
      </c>
      <c r="B187" s="978" t="str">
        <f t="shared" si="92"/>
        <v>Energielabel utiliteit</v>
      </c>
      <c r="C187" s="978" t="str">
        <f t="shared" si="92"/>
        <v>ISSO 75.3</v>
      </c>
      <c r="D187" s="947"/>
      <c r="E187" s="50"/>
      <c r="F187" s="46" t="str">
        <f>tabellen_EMD!C201</f>
        <v>externe warmte</v>
      </c>
      <c r="G187" s="46"/>
      <c r="H187" s="46"/>
      <c r="I187" s="905"/>
      <c r="J187" s="1691" t="s">
        <v>1539</v>
      </c>
      <c r="K187" s="1698"/>
      <c r="L187" s="44"/>
      <c r="M187" s="24">
        <f t="shared" si="93"/>
        <v>0</v>
      </c>
      <c r="N187" s="22" t="str">
        <f t="shared" si="94"/>
        <v>MJ</v>
      </c>
      <c r="O187" s="44"/>
      <c r="P187" s="452"/>
      <c r="Q187" s="452"/>
      <c r="R187" s="899"/>
      <c r="S187" s="59">
        <f t="shared" si="95"/>
        <v>0</v>
      </c>
      <c r="T187" s="47" t="str">
        <f>IFERROR(INDEX(energiedragers_EP_eenheden,MATCH($J187,tabellen_EMD!$C$196:$C$204,0),MATCH($B187,energiedragers_EP_eenheden_titel,0)),"-")</f>
        <v>GJ</v>
      </c>
      <c r="U187" s="452"/>
      <c r="V187" s="39"/>
      <c r="W187" s="24">
        <f>S187/INDEX(tabellen_EMD!$C$259:$Z$266,MATCH($F187,tabellen_EMD!$C$259:$C$266,0),MATCH(B187,tabellen_EMD!$C$259:$Z$259,0))</f>
        <v>0</v>
      </c>
      <c r="X187" s="47" t="str">
        <f>INDEX(tabellen_EMD!$C$251:$F$256,MATCH($J187,tabellen_EMD!$C$251:$C$256,0),MATCH($P$24,tabellen_EMD!$C$251:$F$251,0))</f>
        <v>GJ</v>
      </c>
      <c r="Y187" s="12"/>
      <c r="Z187" s="24">
        <f t="shared" si="96"/>
        <v>0</v>
      </c>
      <c r="AA187" s="47" t="s">
        <v>468</v>
      </c>
      <c r="AB187" s="1393"/>
      <c r="AC187" s="995"/>
      <c r="AD187" s="1405"/>
      <c r="AE187" s="1405"/>
      <c r="AF187" s="1405"/>
      <c r="AG187" s="1405"/>
      <c r="AH187" s="1405"/>
      <c r="AI187" s="1405"/>
      <c r="AJ187" s="1405"/>
      <c r="AK187" s="1405"/>
      <c r="AL187" s="1405"/>
      <c r="AM187" s="1405"/>
      <c r="AN187" s="1405"/>
      <c r="AO187" s="1405"/>
      <c r="AP187" s="1405"/>
      <c r="AQ187" s="1405"/>
      <c r="AR187" s="1405"/>
      <c r="AS187" s="1393"/>
      <c r="AT187" s="1001"/>
      <c r="AU187" s="12"/>
      <c r="AV187" s="12"/>
      <c r="AW187" s="12"/>
      <c r="AX187" s="12"/>
      <c r="AY187" s="12"/>
      <c r="AZ187" s="12"/>
      <c r="BA187" s="12"/>
      <c r="BB187" s="12"/>
      <c r="BC187" s="12"/>
      <c r="BD187" s="12"/>
      <c r="BE187" s="12"/>
      <c r="BF187" s="12"/>
      <c r="BG187" s="12"/>
      <c r="BH187" s="12"/>
      <c r="BI187" s="13"/>
    </row>
    <row r="188" spans="1:61" s="49" customFormat="1" hidden="1">
      <c r="A188" s="212" t="s">
        <v>493</v>
      </c>
      <c r="B188" s="978" t="str">
        <f t="shared" si="92"/>
        <v>Energielabel utiliteit</v>
      </c>
      <c r="C188" s="978" t="str">
        <f t="shared" si="92"/>
        <v>ISSO 75.3</v>
      </c>
      <c r="D188" s="947"/>
      <c r="E188" s="50"/>
      <c r="F188" s="46" t="str">
        <f>tabellen_EMD!C202</f>
        <v>externe koude</v>
      </c>
      <c r="G188" s="46"/>
      <c r="H188" s="46"/>
      <c r="I188" s="905"/>
      <c r="J188" s="1691" t="s">
        <v>1539</v>
      </c>
      <c r="K188" s="1698"/>
      <c r="L188" s="44"/>
      <c r="M188" s="24">
        <f t="shared" si="93"/>
        <v>0</v>
      </c>
      <c r="N188" s="22" t="str">
        <f t="shared" si="94"/>
        <v>MJ</v>
      </c>
      <c r="O188" s="44"/>
      <c r="P188" s="452"/>
      <c r="Q188" s="452"/>
      <c r="R188" s="899"/>
      <c r="S188" s="59">
        <f t="shared" si="95"/>
        <v>0</v>
      </c>
      <c r="T188" s="47" t="str">
        <f>IFERROR(INDEX(energiedragers_EP_eenheden,MATCH($J188,tabellen_EMD!$C$196:$C$204,0),MATCH($B188,energiedragers_EP_eenheden_titel,0)),"-")</f>
        <v>GJ</v>
      </c>
      <c r="U188" s="452"/>
      <c r="V188" s="39"/>
      <c r="W188" s="24">
        <f>S188/INDEX(tabellen_EMD!$C$259:$Z$266,MATCH($F188,tabellen_EMD!$C$259:$C$266,0),MATCH(B188,tabellen_EMD!$C$259:$Z$259,0))</f>
        <v>0</v>
      </c>
      <c r="X188" s="47" t="str">
        <f>INDEX(tabellen_EMD!$C$251:$F$256,MATCH($J188,tabellen_EMD!$C$251:$C$256,0),MATCH($P$24,tabellen_EMD!$C$251:$F$251,0))</f>
        <v>GJ</v>
      </c>
      <c r="Y188" s="12"/>
      <c r="Z188" s="24">
        <f t="shared" si="96"/>
        <v>0</v>
      </c>
      <c r="AA188" s="47" t="s">
        <v>468</v>
      </c>
      <c r="AB188" s="1393"/>
      <c r="AC188" s="995"/>
      <c r="AD188" s="1405"/>
      <c r="AE188" s="1405"/>
      <c r="AF188" s="1405"/>
      <c r="AG188" s="1405"/>
      <c r="AH188" s="1405"/>
      <c r="AI188" s="1405"/>
      <c r="AJ188" s="1405"/>
      <c r="AK188" s="1405"/>
      <c r="AL188" s="1405"/>
      <c r="AM188" s="1405"/>
      <c r="AN188" s="1405"/>
      <c r="AO188" s="1405"/>
      <c r="AP188" s="1405"/>
      <c r="AQ188" s="1405"/>
      <c r="AR188" s="1405"/>
      <c r="AS188" s="1393"/>
      <c r="AT188" s="1001"/>
      <c r="AU188" s="12"/>
      <c r="AV188" s="12"/>
      <c r="AW188" s="12"/>
      <c r="AX188" s="12"/>
      <c r="AY188" s="12"/>
      <c r="AZ188" s="12"/>
      <c r="BA188" s="12"/>
      <c r="BB188" s="12"/>
      <c r="BC188" s="12"/>
      <c r="BD188" s="12"/>
      <c r="BE188" s="12"/>
      <c r="BF188" s="12"/>
      <c r="BG188" s="12"/>
      <c r="BH188" s="12"/>
      <c r="BI188" s="13"/>
    </row>
    <row r="189" spans="1:61" s="49" customFormat="1" hidden="1">
      <c r="A189" s="212" t="s">
        <v>493</v>
      </c>
      <c r="B189" s="978" t="str">
        <f>B187</f>
        <v>Energielabel utiliteit</v>
      </c>
      <c r="C189" s="978" t="str">
        <f>C187</f>
        <v>ISSO 75.3</v>
      </c>
      <c r="D189" s="947"/>
      <c r="E189" s="50"/>
      <c r="F189" s="46" t="str">
        <f>tabellen_EMD!C203</f>
        <v>hout / biomassa</v>
      </c>
      <c r="G189" s="46"/>
      <c r="H189" s="46"/>
      <c r="I189" s="905"/>
      <c r="J189" s="1691" t="s">
        <v>467</v>
      </c>
      <c r="K189" s="1698"/>
      <c r="L189" s="44"/>
      <c r="M189" s="24">
        <f t="shared" si="93"/>
        <v>0</v>
      </c>
      <c r="N189" s="22" t="str">
        <f t="shared" si="94"/>
        <v>MJ</v>
      </c>
      <c r="O189" s="44"/>
      <c r="P189" s="452"/>
      <c r="Q189" s="452"/>
      <c r="R189" s="899"/>
      <c r="S189" s="115">
        <f t="shared" si="95"/>
        <v>0</v>
      </c>
      <c r="T189" s="47" t="str">
        <f>IFERROR(INDEX(energiedragers_EP_eenheden,MATCH($J189,tabellen_EMD!$C$196:$C$204,0),MATCH($B189,energiedragers_EP_eenheden_titel,0)),"-")</f>
        <v>MJ</v>
      </c>
      <c r="U189" s="452"/>
      <c r="V189" s="39"/>
      <c r="W189" s="115">
        <f>S189/INDEX(tabellen_EMD!$C$259:$Z$266,MATCH($F189,tabellen_EMD!$C$259:$C$266,0),MATCH(B189,tabellen_EMD!$C$259:$Z$259,0))</f>
        <v>0</v>
      </c>
      <c r="X189" s="47" t="str">
        <f>INDEX(tabellen_EMD!$C$251:$F$256,MATCH($J189,tabellen_EMD!$C$251:$C$256,0),MATCH($P$24,tabellen_EMD!$C$251:$F$251,0))</f>
        <v>kg</v>
      </c>
      <c r="Y189" s="12"/>
      <c r="Z189" s="115">
        <f t="shared" si="96"/>
        <v>0</v>
      </c>
      <c r="AA189" s="47" t="s">
        <v>468</v>
      </c>
      <c r="AB189" s="1393"/>
      <c r="AC189" s="995"/>
      <c r="AD189" s="1405"/>
      <c r="AE189" s="1405"/>
      <c r="AF189" s="1405"/>
      <c r="AG189" s="1405"/>
      <c r="AH189" s="1405"/>
      <c r="AI189" s="1405"/>
      <c r="AJ189" s="1405"/>
      <c r="AK189" s="1405"/>
      <c r="AL189" s="1405"/>
      <c r="AM189" s="1405"/>
      <c r="AN189" s="1405"/>
      <c r="AO189" s="1405"/>
      <c r="AP189" s="1405"/>
      <c r="AQ189" s="1405"/>
      <c r="AR189" s="1405"/>
      <c r="AS189" s="1393"/>
      <c r="AT189" s="1001"/>
      <c r="AU189" s="12"/>
      <c r="AV189" s="12"/>
      <c r="AW189" s="12"/>
      <c r="AX189" s="12"/>
      <c r="AY189" s="12"/>
      <c r="AZ189" s="12"/>
      <c r="BA189" s="12"/>
      <c r="BB189" s="12"/>
      <c r="BC189" s="12"/>
      <c r="BD189" s="12"/>
      <c r="BE189" s="12"/>
      <c r="BF189" s="12"/>
      <c r="BG189" s="12"/>
      <c r="BH189" s="12"/>
      <c r="BI189" s="13"/>
    </row>
    <row r="190" spans="1:61" s="940" customFormat="1" hidden="1">
      <c r="A190" s="212" t="s">
        <v>493</v>
      </c>
      <c r="B190" s="978" t="str">
        <f t="shared" si="92"/>
        <v>Energielabel utiliteit</v>
      </c>
      <c r="C190" s="978" t="str">
        <f t="shared" si="92"/>
        <v>ISSO 75.3</v>
      </c>
      <c r="D190" s="947"/>
      <c r="E190" s="14"/>
      <c r="F190" s="43" t="str">
        <f>tabellen_EMD!C204</f>
        <v>totaal</v>
      </c>
      <c r="G190" s="43"/>
      <c r="H190" s="43"/>
      <c r="I190" s="43"/>
      <c r="J190" s="965" t="s">
        <v>1391</v>
      </c>
      <c r="K190" s="965"/>
      <c r="L190" s="43"/>
      <c r="M190" s="54">
        <f>SUM(M183:M184,M187:M189)-SUM(M185:M186)</f>
        <v>0</v>
      </c>
      <c r="N190" s="43" t="str">
        <f t="shared" si="94"/>
        <v>MJ</v>
      </c>
      <c r="O190" s="43"/>
      <c r="P190" s="452"/>
      <c r="Q190" s="452"/>
      <c r="R190" s="15"/>
      <c r="S190" s="43"/>
      <c r="T190" s="452"/>
      <c r="U190" s="452"/>
      <c r="V190" s="39"/>
      <c r="W190" s="39"/>
      <c r="X190" s="39"/>
      <c r="Y190" s="12"/>
      <c r="Z190" s="950">
        <f>SUM(Z183,Z184,-Z185,Z186,Z187,Z189)</f>
        <v>0</v>
      </c>
      <c r="AA190" s="15" t="s">
        <v>468</v>
      </c>
      <c r="AB190" s="67"/>
      <c r="AC190" s="995"/>
      <c r="AD190" s="1405"/>
      <c r="AE190" s="1405"/>
      <c r="AF190" s="1405"/>
      <c r="AG190" s="1405"/>
      <c r="AH190" s="1405"/>
      <c r="AI190" s="1405"/>
      <c r="AJ190" s="1405"/>
      <c r="AK190" s="1405"/>
      <c r="AL190" s="1405"/>
      <c r="AM190" s="1405"/>
      <c r="AN190" s="1405"/>
      <c r="AO190" s="1405"/>
      <c r="AP190" s="1405"/>
      <c r="AQ190" s="1405"/>
      <c r="AR190" s="1405"/>
      <c r="AS190" s="67"/>
      <c r="AT190" s="995"/>
      <c r="AU190" s="12"/>
      <c r="AV190" s="12"/>
      <c r="AW190" s="12"/>
      <c r="AX190" s="12"/>
      <c r="AY190" s="12"/>
      <c r="AZ190" s="12"/>
      <c r="BA190" s="12"/>
      <c r="BB190" s="12"/>
      <c r="BC190" s="12"/>
      <c r="BD190" s="12"/>
      <c r="BE190" s="12"/>
      <c r="BF190" s="12"/>
      <c r="BG190" s="12"/>
      <c r="BH190" s="12"/>
      <c r="BI190" s="13"/>
    </row>
    <row r="191" spans="1:61" s="49" customFormat="1" hidden="1">
      <c r="A191" s="212" t="s">
        <v>493</v>
      </c>
      <c r="B191" s="978" t="str">
        <f t="shared" si="92"/>
        <v>Energielabel utiliteit</v>
      </c>
      <c r="C191" s="978" t="str">
        <f t="shared" si="92"/>
        <v>ISSO 75.3</v>
      </c>
      <c r="D191" s="947"/>
      <c r="E191" s="50"/>
      <c r="F191" s="452" t="str">
        <f>IFERROR(IF($P$23=$B191,_xlfn.CONCAT("Bij 1.1 ingevuld: ",FIXED($J$35,2,FALSE)," ",$K$35),""),"invoer niet correct")</f>
        <v>Bij 1.1 ingevuld: 0.00 MJ/m2 Ag</v>
      </c>
      <c r="G191" s="452"/>
      <c r="H191" s="452"/>
      <c r="I191" s="905"/>
      <c r="J191" s="909" t="str">
        <f>IFERROR(IF($P$23=$B191,IF(ABS((M191-$J$35)/$J$35)&gt;1%,"Afwijking &gt;1% met subthema 1.1",""),""),"invoer niet correct")</f>
        <v>invoer niet correct</v>
      </c>
      <c r="K191" s="909"/>
      <c r="L191" s="910"/>
      <c r="M191" s="1339">
        <f>IFERROR(IF($P$23=$B191,M190/$J$59,""),"")</f>
        <v>0</v>
      </c>
      <c r="N191" s="452" t="str">
        <f>IF($P$23=$B191,_xlfn.CONCAT(N190,"/m2"),"")</f>
        <v>MJ/m2</v>
      </c>
      <c r="O191" s="452"/>
      <c r="P191" s="39"/>
      <c r="Q191" s="39"/>
      <c r="R191" s="899"/>
      <c r="S191" s="899"/>
      <c r="T191" s="899"/>
      <c r="U191" s="39"/>
      <c r="V191" s="39"/>
      <c r="W191" s="910" t="str">
        <f>IFERROR(IF($P$23=$B191,_xlfn.CONCAT("Bij 1.1 ingevuld: ",FIXED($AG$40,1,FALSE)," ",$AH$40),""),"invoer niet correct")</f>
        <v>Bij 1.1 ingevuld: 0,0 kg/m2 Ag</v>
      </c>
      <c r="X191" s="909" t="str">
        <f>IFERROR(IF($P$23=$B191,IF(ABS((Z191-$AG$40)/$AG$40)&gt;1%,"afwijking &gt;1% met subthema 1.1",""),""),"invoer niet correct")</f>
        <v>invoer niet correct</v>
      </c>
      <c r="Y191" s="12"/>
      <c r="Z191" s="951">
        <f>IFERROR(IF($P$23=$B191,Z190/$J$58,""),"")</f>
        <v>0</v>
      </c>
      <c r="AA191" s="452" t="str">
        <f>IF($P$23=$B191,_xlfn.CONCAT(AA190,"/m2"),"")</f>
        <v>kg/m2</v>
      </c>
      <c r="AB191" s="1393"/>
      <c r="AC191" s="995"/>
      <c r="AD191" s="1405"/>
      <c r="AE191" s="1405"/>
      <c r="AF191" s="1405"/>
      <c r="AG191" s="1405"/>
      <c r="AH191" s="1405"/>
      <c r="AI191" s="1405"/>
      <c r="AJ191" s="1405"/>
      <c r="AK191" s="1405"/>
      <c r="AL191" s="1405"/>
      <c r="AM191" s="1405"/>
      <c r="AN191" s="1405"/>
      <c r="AO191" s="1405"/>
      <c r="AP191" s="1405"/>
      <c r="AQ191" s="1405"/>
      <c r="AR191" s="1405"/>
      <c r="AS191" s="1393"/>
      <c r="AT191" s="1001"/>
      <c r="AU191" s="905"/>
      <c r="AV191" s="12"/>
      <c r="AW191" s="12"/>
      <c r="AX191" s="12"/>
      <c r="AY191" s="12"/>
      <c r="AZ191" s="12"/>
      <c r="BA191" s="12"/>
      <c r="BB191" s="12"/>
      <c r="BC191" s="12"/>
      <c r="BD191" s="12"/>
      <c r="BE191" s="12"/>
      <c r="BF191" s="12"/>
      <c r="BG191" s="12"/>
      <c r="BH191" s="12"/>
      <c r="BI191" s="13"/>
    </row>
    <row r="192" spans="1:61" s="49" customFormat="1" hidden="1">
      <c r="A192" s="212" t="s">
        <v>493</v>
      </c>
      <c r="B192" s="943"/>
      <c r="C192" s="943"/>
      <c r="D192" s="943"/>
      <c r="E192" s="50"/>
      <c r="F192" s="43"/>
      <c r="G192" s="44"/>
      <c r="H192" s="44"/>
      <c r="I192" s="44"/>
      <c r="J192" s="917"/>
      <c r="K192" s="44"/>
      <c r="L192" s="44"/>
      <c r="M192" s="44"/>
      <c r="N192" s="44"/>
      <c r="O192" s="44"/>
      <c r="P192" s="899"/>
      <c r="Q192" s="899"/>
      <c r="R192" s="899"/>
      <c r="S192" s="899"/>
      <c r="T192" s="899"/>
      <c r="U192" s="899"/>
      <c r="V192" s="899"/>
      <c r="W192" s="39"/>
      <c r="X192" s="39"/>
      <c r="Y192" s="12"/>
      <c r="Z192" s="899"/>
      <c r="AA192" s="905"/>
      <c r="AB192" s="1393"/>
      <c r="AC192" s="995"/>
      <c r="AD192" s="1405"/>
      <c r="AE192" s="1405"/>
      <c r="AF192" s="1405"/>
      <c r="AG192" s="1405"/>
      <c r="AH192" s="1405"/>
      <c r="AI192" s="1405"/>
      <c r="AJ192" s="1405"/>
      <c r="AK192" s="1405"/>
      <c r="AL192" s="1405"/>
      <c r="AM192" s="1405"/>
      <c r="AN192" s="1405"/>
      <c r="AO192" s="1405"/>
      <c r="AP192" s="1405"/>
      <c r="AQ192" s="1405"/>
      <c r="AR192" s="1405"/>
      <c r="AS192" s="1393"/>
      <c r="AT192" s="1001"/>
      <c r="AU192" s="900"/>
      <c r="AV192" s="51"/>
      <c r="AW192" s="12"/>
      <c r="AX192" s="12"/>
      <c r="AY192" s="921"/>
      <c r="AZ192" s="921"/>
      <c r="BA192" s="12"/>
      <c r="BB192" s="12"/>
      <c r="BC192" s="12"/>
      <c r="BD192" s="40"/>
      <c r="BE192" s="40"/>
      <c r="BF192" s="13"/>
      <c r="BG192" s="13"/>
      <c r="BH192" s="13"/>
      <c r="BI192" s="14"/>
    </row>
    <row r="193" spans="1:61" s="49" customFormat="1" hidden="1">
      <c r="A193" s="212" t="s">
        <v>493</v>
      </c>
      <c r="B193" s="1005" t="str">
        <f>$P$23</f>
        <v>Energielabel utiliteit</v>
      </c>
      <c r="C193" s="1005" t="str">
        <f>VLOOKUP(B193,'ISSO75.3 naar GPR4'!$AV$40:$AY$48,COLUMNS($AV$40:$AX$40),FALSE)</f>
        <v>ISSO 75.3</v>
      </c>
      <c r="D193" s="947"/>
      <c r="E193" s="50"/>
      <c r="F193" s="43" t="s">
        <v>1486</v>
      </c>
      <c r="G193" s="43"/>
      <c r="H193" s="43"/>
      <c r="I193" s="905"/>
      <c r="J193" s="44"/>
      <c r="K193" s="44"/>
      <c r="L193" s="44"/>
      <c r="M193" s="909" t="s">
        <v>1485</v>
      </c>
      <c r="N193" s="44"/>
      <c r="O193" s="44"/>
      <c r="P193" s="453" t="s">
        <v>1606</v>
      </c>
      <c r="Q193" s="44"/>
      <c r="R193" s="12"/>
      <c r="S193" s="453"/>
      <c r="T193" s="44"/>
      <c r="U193" s="12"/>
      <c r="V193" s="899"/>
      <c r="W193" s="453" t="s">
        <v>1606</v>
      </c>
      <c r="X193" s="44"/>
      <c r="Y193" s="12"/>
      <c r="Z193" s="453"/>
      <c r="AA193" s="453"/>
      <c r="AB193" s="909"/>
      <c r="AC193" s="995"/>
      <c r="AD193" s="1405"/>
      <c r="AE193" s="1405"/>
      <c r="AF193" s="1405"/>
      <c r="AG193" s="1405"/>
      <c r="AH193" s="1405"/>
      <c r="AI193" s="1405"/>
      <c r="AJ193" s="1405"/>
      <c r="AK193" s="1405"/>
      <c r="AL193" s="1405"/>
      <c r="AM193" s="1405"/>
      <c r="AN193" s="1405"/>
      <c r="AO193" s="1405"/>
      <c r="AP193" s="1405"/>
      <c r="AQ193" s="1405"/>
      <c r="AR193" s="1405"/>
      <c r="AS193" s="909"/>
      <c r="AT193" s="1001"/>
      <c r="AU193" s="12"/>
      <c r="AV193" s="12"/>
      <c r="AW193" s="12"/>
      <c r="AX193" s="12"/>
      <c r="AY193" s="12"/>
      <c r="AZ193" s="12"/>
      <c r="BA193" s="12"/>
      <c r="BB193" s="12"/>
      <c r="BC193" s="12"/>
      <c r="BD193" s="12"/>
      <c r="BE193" s="12"/>
      <c r="BF193" s="12"/>
      <c r="BG193" s="12"/>
      <c r="BH193" s="12"/>
      <c r="BI193" s="13"/>
    </row>
    <row r="194" spans="1:61" hidden="1">
      <c r="A194" s="212" t="s">
        <v>493</v>
      </c>
      <c r="B194" s="978" t="str">
        <f t="shared" ref="B194:C201" si="97">B193</f>
        <v>Energielabel utiliteit</v>
      </c>
      <c r="C194" s="978" t="str">
        <f t="shared" si="97"/>
        <v>ISSO 75.3</v>
      </c>
      <c r="D194" s="947"/>
      <c r="E194" s="14"/>
      <c r="F194" s="892" t="s">
        <v>1500</v>
      </c>
      <c r="G194" s="892"/>
      <c r="H194" s="892"/>
      <c r="I194" s="905"/>
      <c r="J194" s="965" t="s">
        <v>458</v>
      </c>
      <c r="K194" s="965"/>
      <c r="L194" s="889"/>
      <c r="M194" s="910" t="s">
        <v>1534</v>
      </c>
      <c r="N194" s="452" t="s">
        <v>204</v>
      </c>
      <c r="O194" s="452"/>
      <c r="P194" s="888" t="s">
        <v>1534</v>
      </c>
      <c r="Q194" s="889" t="s">
        <v>204</v>
      </c>
      <c r="R194" s="12"/>
      <c r="S194" s="888" t="s">
        <v>1554</v>
      </c>
      <c r="T194" s="889" t="s">
        <v>1555</v>
      </c>
      <c r="U194" s="12"/>
      <c r="V194" s="899"/>
      <c r="W194" s="888" t="s">
        <v>1534</v>
      </c>
      <c r="X194" s="889" t="s">
        <v>204</v>
      </c>
      <c r="Y194" s="12"/>
      <c r="Z194" s="453"/>
      <c r="AA194" s="453"/>
      <c r="AB194" s="909"/>
      <c r="AC194" s="995"/>
      <c r="AD194" s="1405"/>
      <c r="AE194" s="1405"/>
      <c r="AF194" s="1405"/>
      <c r="AG194" s="1405"/>
      <c r="AH194" s="1405"/>
      <c r="AI194" s="1405"/>
      <c r="AJ194" s="1405"/>
      <c r="AK194" s="1405"/>
      <c r="AL194" s="1405"/>
      <c r="AM194" s="1405"/>
      <c r="AN194" s="1405"/>
      <c r="AO194" s="1405"/>
      <c r="AP194" s="1405"/>
      <c r="AQ194" s="1405"/>
      <c r="AR194" s="1405"/>
      <c r="AS194" s="909"/>
      <c r="AT194" s="995"/>
      <c r="AU194" s="12"/>
      <c r="AV194" s="12"/>
      <c r="AW194" s="12"/>
      <c r="AX194" s="12"/>
      <c r="AY194" s="12"/>
      <c r="AZ194" s="12"/>
      <c r="BA194" s="12"/>
      <c r="BB194" s="12"/>
      <c r="BC194" s="12"/>
      <c r="BD194" s="12"/>
      <c r="BE194" s="12"/>
      <c r="BF194" s="12"/>
      <c r="BG194" s="12"/>
      <c r="BH194" s="12"/>
      <c r="BI194" s="13"/>
    </row>
    <row r="195" spans="1:61" s="49" customFormat="1" hidden="1">
      <c r="A195" s="212" t="s">
        <v>493</v>
      </c>
      <c r="B195" s="978" t="str">
        <f t="shared" si="97"/>
        <v>Energielabel utiliteit</v>
      </c>
      <c r="C195" s="978" t="str">
        <f t="shared" si="97"/>
        <v>ISSO 75.3</v>
      </c>
      <c r="D195" s="947"/>
      <c r="E195" s="50"/>
      <c r="F195" s="46" t="str">
        <f>INDEX(tabellen_EMD!$C$269:$X$274,MATCH($J195,tabellen_EMD!$C$269:$C$274,0),MATCH(EP_versie_scope_functie_methode,tabellen_EMD!$C$269:$X$269,0))</f>
        <v>aardgas</v>
      </c>
      <c r="G195" s="46"/>
      <c r="H195" s="46"/>
      <c r="I195" s="905"/>
      <c r="J195" s="1691" t="s">
        <v>463</v>
      </c>
      <c r="K195" s="1691"/>
      <c r="L195" s="44"/>
      <c r="M195" s="24">
        <f>M183</f>
        <v>0</v>
      </c>
      <c r="N195" s="22" t="str">
        <f t="shared" ref="N195:N200" si="98">INDEX(EP_methode_eenheid,1,MATCH($C195,EP_methode,0))</f>
        <v>MJ</v>
      </c>
      <c r="O195" s="44"/>
      <c r="P195" s="24">
        <f>W183</f>
        <v>0</v>
      </c>
      <c r="Q195" s="47" t="str">
        <f>INDEX(tabellen_EMD!$C$277:$X$282,MATCH($J195,tabellen_EMD!$C$277:$C$282,0),MATCH(EP_versie_scope_functie_methode,tabellen_EMD!$C$277:$X$277,0))</f>
        <v>m3</v>
      </c>
      <c r="R195" s="12"/>
      <c r="S195" s="24">
        <f>INDEX(tabellen_EMD!$C$285:$Z$290,MATCH($J195,tabellen_EMD!$C$285:$C$290,0),MATCH(EP_versie_scope_functie_methode,tabellen_EMD!$C$285:$Z$285,0))</f>
        <v>1</v>
      </c>
      <c r="T195" s="24">
        <f>INDEX(tabellen_EMD!$C$293:$Z$298,MATCH(J$195,tabellen_EMD!$C$293:$C$298,0),MATCH(EP_versie_scope_functie_methode,tabellen_EMD!$C$293:$Z$293,0))</f>
        <v>0</v>
      </c>
      <c r="U195" s="12"/>
      <c r="V195" s="899"/>
      <c r="W195" s="24">
        <f>ROUND(P195/S195,T195)</f>
        <v>0</v>
      </c>
      <c r="X195" s="47" t="str">
        <f>INDEX(tabellen_EMD!$C$277:$X$282,MATCH($J195,tabellen_EMD!$C$277:$C$282,0),MATCH(EP_versie_scope_functie_methode,tabellen_EMD!$C$277:$X$277,0))</f>
        <v>m3</v>
      </c>
      <c r="Y195" s="12"/>
      <c r="Z195" s="453"/>
      <c r="AA195" s="453"/>
      <c r="AB195" s="909"/>
      <c r="AC195" s="995"/>
      <c r="AD195" s="1405"/>
      <c r="AE195" s="1405"/>
      <c r="AF195" s="1405"/>
      <c r="AG195" s="1405"/>
      <c r="AH195" s="1405"/>
      <c r="AI195" s="1405"/>
      <c r="AJ195" s="1405"/>
      <c r="AK195" s="1405"/>
      <c r="AL195" s="1405"/>
      <c r="AM195" s="1405"/>
      <c r="AN195" s="1405"/>
      <c r="AO195" s="1405"/>
      <c r="AP195" s="1405"/>
      <c r="AQ195" s="1405"/>
      <c r="AR195" s="1405"/>
      <c r="AS195" s="909"/>
      <c r="AT195" s="1001"/>
      <c r="AU195" s="12"/>
      <c r="AV195" s="12"/>
      <c r="AW195" s="12"/>
      <c r="AX195" s="12"/>
      <c r="AY195" s="12"/>
      <c r="AZ195" s="12"/>
      <c r="BA195" s="12"/>
      <c r="BB195" s="12"/>
      <c r="BC195" s="12"/>
      <c r="BD195" s="12"/>
      <c r="BE195" s="12"/>
      <c r="BF195" s="12"/>
      <c r="BG195" s="12"/>
      <c r="BH195" s="12"/>
      <c r="BI195" s="13"/>
    </row>
    <row r="196" spans="1:61" s="49" customFormat="1" hidden="1">
      <c r="A196" s="212" t="s">
        <v>493</v>
      </c>
      <c r="B196" s="978" t="str">
        <f t="shared" si="97"/>
        <v>Energielabel utiliteit</v>
      </c>
      <c r="C196" s="978" t="str">
        <f t="shared" si="97"/>
        <v>ISSO 75.3</v>
      </c>
      <c r="D196" s="947"/>
      <c r="E196" s="50"/>
      <c r="F196" s="46" t="str">
        <f>INDEX(tabellen_EMD!$C$269:$X$274,MATCH($J196,tabellen_EMD!$C$269:$C$274,0),MATCH(EP_versie_scope_functie_methode,tabellen_EMD!$C$269:$X$269,0))</f>
        <v>elektriciteit: gebruik gebouwgebonden installaties</v>
      </c>
      <c r="G196" s="46"/>
      <c r="H196" s="46"/>
      <c r="I196" s="905"/>
      <c r="J196" s="1691" t="s">
        <v>465</v>
      </c>
      <c r="K196" s="1691"/>
      <c r="L196" s="44"/>
      <c r="M196" s="24">
        <f>M184</f>
        <v>0</v>
      </c>
      <c r="N196" s="22" t="str">
        <f t="shared" si="98"/>
        <v>MJ</v>
      </c>
      <c r="O196" s="44"/>
      <c r="P196" s="24">
        <f t="shared" ref="P196" si="99">W184</f>
        <v>0</v>
      </c>
      <c r="Q196" s="47" t="str">
        <f>INDEX(tabellen_EMD!$C$277:$X$282,MATCH($J196,tabellen_EMD!$C$277:$C$282,0),MATCH(EP_versie_scope_functie_methode,tabellen_EMD!$C$277:$X$277,0))</f>
        <v>kWh</v>
      </c>
      <c r="R196" s="12"/>
      <c r="S196" s="24">
        <f>INDEX(tabellen_EMD!$C$285:$Z$290,MATCH($J196,tabellen_EMD!$C$285:$C$290,0),MATCH(EP_versie_scope_functie_methode,tabellen_EMD!$C$285:$Z$285,0))</f>
        <v>1</v>
      </c>
      <c r="T196" s="24">
        <f>INDEX(tabellen_EMD!$C$293:$Z$298,MATCH(J$195,tabellen_EMD!$C$293:$C$298,0),MATCH(EP_versie_scope_functie_methode,tabellen_EMD!$C$293:$Z$293,0))</f>
        <v>0</v>
      </c>
      <c r="U196" s="12"/>
      <c r="V196" s="899"/>
      <c r="W196" s="24">
        <f t="shared" ref="W196:W199" si="100">ROUND(P196/S196,T196)</f>
        <v>0</v>
      </c>
      <c r="X196" s="47" t="str">
        <f>INDEX(tabellen_EMD!$C$277:$X$282,MATCH($J196,tabellen_EMD!$C$277:$C$282,0),MATCH(EP_versie_scope_functie_methode,tabellen_EMD!$C$277:$X$277,0))</f>
        <v>kWh</v>
      </c>
      <c r="Y196" s="12"/>
      <c r="Z196" s="453"/>
      <c r="AA196" s="453"/>
      <c r="AB196" s="909"/>
      <c r="AC196" s="995"/>
      <c r="AD196" s="1405"/>
      <c r="AE196" s="1405"/>
      <c r="AF196" s="1405"/>
      <c r="AG196" s="1405"/>
      <c r="AH196" s="1405"/>
      <c r="AI196" s="1405"/>
      <c r="AJ196" s="1405"/>
      <c r="AK196" s="1405"/>
      <c r="AL196" s="1405"/>
      <c r="AM196" s="1405"/>
      <c r="AN196" s="1405"/>
      <c r="AO196" s="1405"/>
      <c r="AP196" s="1405"/>
      <c r="AQ196" s="1405"/>
      <c r="AR196" s="1405"/>
      <c r="AS196" s="909"/>
      <c r="AT196" s="1001"/>
      <c r="AU196" s="12"/>
      <c r="AV196" s="12"/>
      <c r="AW196" s="12"/>
      <c r="AX196" s="12"/>
      <c r="AY196" s="12"/>
      <c r="AZ196" s="12"/>
      <c r="BA196" s="12"/>
      <c r="BB196" s="12"/>
      <c r="BC196" s="12"/>
      <c r="BD196" s="12"/>
      <c r="BE196" s="12"/>
      <c r="BF196" s="12"/>
      <c r="BG196" s="12"/>
      <c r="BH196" s="12"/>
      <c r="BI196" s="13"/>
    </row>
    <row r="197" spans="1:61" s="49" customFormat="1" hidden="1">
      <c r="A197" s="212" t="s">
        <v>493</v>
      </c>
      <c r="B197" s="978" t="str">
        <f t="shared" si="97"/>
        <v>Energielabel utiliteit</v>
      </c>
      <c r="C197" s="978" t="str">
        <f t="shared" si="97"/>
        <v>ISSO 75.3</v>
      </c>
      <c r="D197" s="947"/>
      <c r="E197" s="50"/>
      <c r="F197" s="46" t="str">
        <f>INDEX(tabellen_EMD!$C$269:$X$274,MATCH($J197,tabellen_EMD!$C$269:$C$274,0),MATCH(EP_versie_scope_functie_methode,tabellen_EMD!$C$269:$X$269,0))</f>
        <v>elektriciteit: opgewekt</v>
      </c>
      <c r="G197" s="46"/>
      <c r="H197" s="46"/>
      <c r="I197" s="905"/>
      <c r="J197" s="1691" t="s">
        <v>466</v>
      </c>
      <c r="K197" s="1691"/>
      <c r="L197" s="44"/>
      <c r="M197" s="24">
        <f>SUM(M185:M186)</f>
        <v>0</v>
      </c>
      <c r="N197" s="22" t="str">
        <f t="shared" si="98"/>
        <v>MJ</v>
      </c>
      <c r="O197" s="44"/>
      <c r="P197" s="24">
        <f>SUM(W185:W186)</f>
        <v>0</v>
      </c>
      <c r="Q197" s="47" t="str">
        <f>INDEX(tabellen_EMD!$C$277:$X$282,MATCH($J197,tabellen_EMD!$C$277:$C$282,0),MATCH(EP_versie_scope_functie_methode,tabellen_EMD!$C$277:$X$277,0))</f>
        <v>kWh</v>
      </c>
      <c r="R197" s="12"/>
      <c r="S197" s="24">
        <f>INDEX(tabellen_EMD!$C$285:$Z$290,MATCH($J197,tabellen_EMD!$C$285:$C$290,0),MATCH(EP_versie_scope_functie_methode,tabellen_EMD!$C$285:$Z$285,0))</f>
        <v>1</v>
      </c>
      <c r="T197" s="24">
        <f>INDEX(tabellen_EMD!$C$293:$Z$298,MATCH(J$195,tabellen_EMD!$C$293:$C$298,0),MATCH(EP_versie_scope_functie_methode,tabellen_EMD!$C$293:$Z$293,0))</f>
        <v>0</v>
      </c>
      <c r="U197" s="12"/>
      <c r="V197" s="899"/>
      <c r="W197" s="24">
        <f t="shared" si="100"/>
        <v>0</v>
      </c>
      <c r="X197" s="47" t="str">
        <f>INDEX(tabellen_EMD!$C$277:$X$282,MATCH($J197,tabellen_EMD!$C$277:$C$282,0),MATCH(EP_versie_scope_functie_methode,tabellen_EMD!$C$277:$X$277,0))</f>
        <v>kWh</v>
      </c>
      <c r="Y197" s="12"/>
      <c r="Z197" s="453"/>
      <c r="AA197" s="453"/>
      <c r="AB197" s="909"/>
      <c r="AC197" s="995"/>
      <c r="AD197" s="1405"/>
      <c r="AE197" s="1405"/>
      <c r="AF197" s="1405"/>
      <c r="AG197" s="1405"/>
      <c r="AH197" s="1405"/>
      <c r="AI197" s="1405"/>
      <c r="AJ197" s="1405"/>
      <c r="AK197" s="1405"/>
      <c r="AL197" s="1405"/>
      <c r="AM197" s="1405"/>
      <c r="AN197" s="1405"/>
      <c r="AO197" s="1405"/>
      <c r="AP197" s="1405"/>
      <c r="AQ197" s="1405"/>
      <c r="AR197" s="1405"/>
      <c r="AS197" s="909"/>
      <c r="AT197" s="1001"/>
      <c r="AU197" s="12"/>
      <c r="AV197" s="12"/>
      <c r="AW197" s="12"/>
      <c r="AX197" s="12"/>
      <c r="AY197" s="12"/>
      <c r="AZ197" s="12"/>
      <c r="BA197" s="12"/>
      <c r="BB197" s="12"/>
      <c r="BC197" s="12"/>
      <c r="BD197" s="12"/>
      <c r="BE197" s="12"/>
      <c r="BF197" s="12"/>
      <c r="BG197" s="12"/>
      <c r="BH197" s="12"/>
      <c r="BI197" s="13"/>
    </row>
    <row r="198" spans="1:61" s="49" customFormat="1" hidden="1">
      <c r="A198" s="212" t="s">
        <v>493</v>
      </c>
      <c r="B198" s="978" t="str">
        <f t="shared" si="97"/>
        <v>Energielabel utiliteit</v>
      </c>
      <c r="C198" s="978" t="str">
        <f t="shared" si="97"/>
        <v>ISSO 75.3</v>
      </c>
      <c r="D198" s="947"/>
      <c r="E198" s="50"/>
      <c r="F198" s="46" t="str">
        <f>INDEX(tabellen_EMD!$C$269:$X$274,MATCH($J198,tabellen_EMD!$C$269:$C$274,0),MATCH(EP_versie_scope_functie_methode,tabellen_EMD!$C$269:$X$269,0))</f>
        <v>externe warmte</v>
      </c>
      <c r="G198" s="46"/>
      <c r="H198" s="46"/>
      <c r="I198" s="905"/>
      <c r="J198" s="1691" t="s">
        <v>1539</v>
      </c>
      <c r="K198" s="1691"/>
      <c r="L198" s="44"/>
      <c r="M198" s="24">
        <f>SUM(M187:M188)</f>
        <v>0</v>
      </c>
      <c r="N198" s="22" t="str">
        <f t="shared" si="98"/>
        <v>MJ</v>
      </c>
      <c r="O198" s="44"/>
      <c r="P198" s="24">
        <f>SUM(W187:W188)</f>
        <v>0</v>
      </c>
      <c r="Q198" s="47" t="str">
        <f>INDEX(tabellen_EMD!$C$277:$X$282,MATCH($J198,tabellen_EMD!$C$277:$C$282,0),MATCH(EP_versie_scope_functie_methode,tabellen_EMD!$C$277:$X$277,0))</f>
        <v>GJ</v>
      </c>
      <c r="R198" s="12"/>
      <c r="S198" s="24">
        <f>INDEX(tabellen_EMD!$C$285:$Z$290,MATCH($J198,tabellen_EMD!$C$285:$C$290,0),MATCH(EP_versie_scope_functie_methode,tabellen_EMD!$C$285:$Z$285,0))</f>
        <v>1</v>
      </c>
      <c r="T198" s="24">
        <f>INDEX(tabellen_EMD!$C$293:$Z$298,MATCH(J$195,tabellen_EMD!$C$293:$C$298,0),MATCH(EP_versie_scope_functie_methode,tabellen_EMD!$C$293:$Z$293,0))</f>
        <v>0</v>
      </c>
      <c r="U198" s="12"/>
      <c r="V198" s="899"/>
      <c r="W198" s="24">
        <f t="shared" si="100"/>
        <v>0</v>
      </c>
      <c r="X198" s="47" t="str">
        <f>INDEX(tabellen_EMD!$C$277:$X$282,MATCH($J198,tabellen_EMD!$C$277:$C$282,0),MATCH(EP_versie_scope_functie_methode,tabellen_EMD!$C$277:$X$277,0))</f>
        <v>GJ</v>
      </c>
      <c r="Y198" s="12"/>
      <c r="Z198" s="453"/>
      <c r="AA198" s="453"/>
      <c r="AB198" s="909"/>
      <c r="AC198" s="995"/>
      <c r="AD198" s="1405"/>
      <c r="AE198" s="1405"/>
      <c r="AF198" s="1405"/>
      <c r="AG198" s="1405"/>
      <c r="AH198" s="1405"/>
      <c r="AI198" s="1405"/>
      <c r="AJ198" s="1405"/>
      <c r="AK198" s="1405"/>
      <c r="AL198" s="1405"/>
      <c r="AM198" s="1405"/>
      <c r="AN198" s="1405"/>
      <c r="AO198" s="1405"/>
      <c r="AP198" s="1405"/>
      <c r="AQ198" s="1405"/>
      <c r="AR198" s="1405"/>
      <c r="AS198" s="909"/>
      <c r="AT198" s="1001"/>
      <c r="AU198" s="12"/>
      <c r="AV198" s="12"/>
      <c r="AW198" s="12"/>
      <c r="AX198" s="12"/>
      <c r="AY198" s="12"/>
      <c r="AZ198" s="12"/>
      <c r="BA198" s="12"/>
      <c r="BB198" s="12"/>
      <c r="BC198" s="12"/>
      <c r="BD198" s="12"/>
      <c r="BE198" s="12"/>
      <c r="BF198" s="12"/>
      <c r="BG198" s="12"/>
      <c r="BH198" s="12"/>
      <c r="BI198" s="13"/>
    </row>
    <row r="199" spans="1:61" s="49" customFormat="1" hidden="1">
      <c r="A199" s="212" t="s">
        <v>493</v>
      </c>
      <c r="B199" s="978" t="str">
        <f t="shared" si="97"/>
        <v>Energielabel utiliteit</v>
      </c>
      <c r="C199" s="978" t="str">
        <f t="shared" si="97"/>
        <v>ISSO 75.3</v>
      </c>
      <c r="D199" s="947"/>
      <c r="E199" s="50"/>
      <c r="F199" s="46" t="str">
        <f>INDEX(tabellen_EMD!$C$269:$X$274,MATCH($J199,tabellen_EMD!$C$269:$C$274,0),MATCH(EP_versie_scope_functie_methode,tabellen_EMD!$C$269:$X$269,0))</f>
        <v>hout/biomassa</v>
      </c>
      <c r="G199" s="46"/>
      <c r="H199" s="46"/>
      <c r="I199" s="905"/>
      <c r="J199" s="1691" t="s">
        <v>467</v>
      </c>
      <c r="K199" s="1691"/>
      <c r="L199" s="44"/>
      <c r="M199" s="24">
        <f>M189</f>
        <v>0</v>
      </c>
      <c r="N199" s="22" t="str">
        <f t="shared" si="98"/>
        <v>MJ</v>
      </c>
      <c r="O199" s="44"/>
      <c r="P199" s="24">
        <f>W189</f>
        <v>0</v>
      </c>
      <c r="Q199" s="47" t="str">
        <f>INDEX(tabellen_EMD!$C$277:$X$282,MATCH($J199,tabellen_EMD!$C$277:$C$282,0),MATCH(EP_versie_scope_functie_methode,tabellen_EMD!$C$277:$X$277,0))</f>
        <v>MJ</v>
      </c>
      <c r="R199" s="12"/>
      <c r="S199" s="24">
        <f>INDEX(tabellen_EMD!$C$285:$Z$290,MATCH($J199,tabellen_EMD!$C$285:$C$290,0),MATCH(EP_versie_scope_functie_methode,tabellen_EMD!$C$285:$Z$285,0))</f>
        <v>15</v>
      </c>
      <c r="T199" s="24">
        <f>INDEX(tabellen_EMD!$C$293:$Z$298,MATCH(J$195,tabellen_EMD!$C$293:$C$298,0),MATCH(EP_versie_scope_functie_methode,tabellen_EMD!$C$293:$Z$293,0))</f>
        <v>0</v>
      </c>
      <c r="U199" s="12"/>
      <c r="V199" s="899"/>
      <c r="W199" s="24">
        <f t="shared" si="100"/>
        <v>0</v>
      </c>
      <c r="X199" s="47" t="str">
        <f>INDEX(tabellen_EMD!$C$277:$X$282,MATCH($J199,tabellen_EMD!$C$277:$C$282,0),MATCH(EP_versie_scope_functie_methode,tabellen_EMD!$C$277:$X$277,0))</f>
        <v>MJ</v>
      </c>
      <c r="Y199" s="12"/>
      <c r="Z199" s="453"/>
      <c r="AA199" s="453"/>
      <c r="AB199" s="909"/>
      <c r="AC199" s="995"/>
      <c r="AD199" s="1405"/>
      <c r="AE199" s="1405"/>
      <c r="AF199" s="1405"/>
      <c r="AG199" s="1405"/>
      <c r="AH199" s="1405"/>
      <c r="AI199" s="1405"/>
      <c r="AJ199" s="1405"/>
      <c r="AK199" s="1405"/>
      <c r="AL199" s="1405"/>
      <c r="AM199" s="1405"/>
      <c r="AN199" s="1405"/>
      <c r="AO199" s="1405"/>
      <c r="AP199" s="1405"/>
      <c r="AQ199" s="1405"/>
      <c r="AR199" s="1405"/>
      <c r="AS199" s="909"/>
      <c r="AT199" s="1001"/>
      <c r="AU199" s="12"/>
      <c r="AV199" s="12"/>
      <c r="AW199" s="12"/>
      <c r="AX199" s="12"/>
      <c r="AY199" s="12"/>
      <c r="AZ199" s="12"/>
      <c r="BA199" s="12"/>
      <c r="BB199" s="12"/>
      <c r="BC199" s="12"/>
      <c r="BD199" s="12"/>
      <c r="BE199" s="12"/>
      <c r="BF199" s="12"/>
      <c r="BG199" s="12"/>
      <c r="BH199" s="12"/>
      <c r="BI199" s="13"/>
    </row>
    <row r="200" spans="1:61" s="940" customFormat="1" hidden="1">
      <c r="A200" s="212" t="s">
        <v>493</v>
      </c>
      <c r="B200" s="978" t="str">
        <f t="shared" si="97"/>
        <v>Energielabel utiliteit</v>
      </c>
      <c r="C200" s="978" t="str">
        <f t="shared" si="97"/>
        <v>ISSO 75.3</v>
      </c>
      <c r="D200" s="947"/>
      <c r="E200" s="14"/>
      <c r="F200" s="43" t="str">
        <f>tabellen_EMD!C215</f>
        <v>totaal</v>
      </c>
      <c r="G200" s="43"/>
      <c r="H200" s="43"/>
      <c r="I200" s="43"/>
      <c r="J200" s="965" t="s">
        <v>1391</v>
      </c>
      <c r="K200" s="965"/>
      <c r="L200" s="43"/>
      <c r="M200" s="54">
        <f>SUM(M195:M196,M198:M199)-M197</f>
        <v>0</v>
      </c>
      <c r="N200" s="43" t="str">
        <f t="shared" si="98"/>
        <v>MJ</v>
      </c>
      <c r="O200" s="43"/>
      <c r="P200" s="452"/>
      <c r="Q200" s="452"/>
      <c r="R200" s="899"/>
      <c r="S200" s="899"/>
      <c r="T200" s="899"/>
      <c r="U200" s="899"/>
      <c r="V200" s="899"/>
      <c r="W200" s="54"/>
      <c r="X200" s="39"/>
      <c r="Y200" s="12"/>
      <c r="Z200" s="453"/>
      <c r="AA200" s="453"/>
      <c r="AB200" s="909"/>
      <c r="AC200" s="995"/>
      <c r="AD200" s="1405"/>
      <c r="AE200" s="1405"/>
      <c r="AF200" s="1405"/>
      <c r="AG200" s="1405"/>
      <c r="AH200" s="1405"/>
      <c r="AI200" s="1405"/>
      <c r="AJ200" s="1405"/>
      <c r="AK200" s="1405"/>
      <c r="AL200" s="1405"/>
      <c r="AM200" s="1405"/>
      <c r="AN200" s="1405"/>
      <c r="AO200" s="1405"/>
      <c r="AP200" s="1405"/>
      <c r="AQ200" s="1405"/>
      <c r="AR200" s="1405"/>
      <c r="AS200" s="909"/>
      <c r="AT200" s="995"/>
      <c r="AU200" s="12"/>
      <c r="AV200" s="12"/>
      <c r="AW200" s="12"/>
      <c r="AX200" s="12"/>
      <c r="AY200" s="12"/>
      <c r="AZ200" s="12"/>
      <c r="BA200" s="12"/>
      <c r="BB200" s="12"/>
      <c r="BC200" s="12"/>
      <c r="BD200" s="12"/>
      <c r="BE200" s="12"/>
      <c r="BF200" s="12"/>
      <c r="BG200" s="12"/>
      <c r="BH200" s="12"/>
      <c r="BI200" s="13"/>
    </row>
    <row r="201" spans="1:61" s="49" customFormat="1" hidden="1">
      <c r="A201" s="212" t="s">
        <v>493</v>
      </c>
      <c r="B201" s="978" t="str">
        <f t="shared" si="97"/>
        <v>Energielabel utiliteit</v>
      </c>
      <c r="C201" s="978" t="str">
        <f t="shared" si="97"/>
        <v>ISSO 75.3</v>
      </c>
      <c r="D201" s="947"/>
      <c r="E201" s="50"/>
      <c r="F201" s="452" t="str">
        <f>IFERROR(IF($P$23=$B201,_xlfn.CONCAT("Bij 1.1 ingevuld: ",FIXED($J$35,2,FALSE)," ",$K$35),""),"invoer niet correct")</f>
        <v>Bij 1.1 ingevuld: 0.00 MJ/m2 Ag</v>
      </c>
      <c r="G201" s="452"/>
      <c r="H201" s="452"/>
      <c r="I201" s="905"/>
      <c r="J201" s="909" t="str">
        <f>IFERROR(IF($P$23=$B201,IF(ABS((M201-$J$35)/$J$35)&gt;1%,"Afwijking &gt;1% met subthema 1.1",""),""),"invoer niet correct")</f>
        <v>invoer niet correct</v>
      </c>
      <c r="K201" s="909"/>
      <c r="L201" s="910"/>
      <c r="M201" s="1479">
        <f>IFERROR(IF($P$23=$B201,M200/$J$59,""),"")</f>
        <v>0</v>
      </c>
      <c r="N201" s="452" t="str">
        <f>IF($P$23=$B201,_xlfn.CONCAT(N200,"/m2"),"")</f>
        <v>MJ/m2</v>
      </c>
      <c r="O201" s="452"/>
      <c r="P201" s="39"/>
      <c r="Q201" s="39"/>
      <c r="R201" s="899"/>
      <c r="S201" s="899"/>
      <c r="T201" s="899"/>
      <c r="U201" s="39"/>
      <c r="V201" s="39"/>
      <c r="W201" s="910" t="str">
        <f>IFERROR(IF($P$23=$B201,_xlfn.CONCAT("Bij 1.1 ingevuld: ",FIXED($AG$40,1,FALSE)," ",$AH$40),""),"invoer niet correct")</f>
        <v>Bij 1.1 ingevuld: 0,0 kg/m2 Ag</v>
      </c>
      <c r="X201" s="909" t="str">
        <f>IFERROR(IF($P$23=$B201,IF(ABS((Z201-$AG$40)/$AG$40)&gt;1%,"afwijking &gt;1% met subthema 1.1",""),""),"invoer niet correct")</f>
        <v>invoer niet correct</v>
      </c>
      <c r="Y201" s="12"/>
      <c r="Z201" s="951"/>
      <c r="AA201" s="452"/>
      <c r="AB201" s="909"/>
      <c r="AC201" s="995"/>
      <c r="AD201" s="1405"/>
      <c r="AE201" s="1405"/>
      <c r="AF201" s="1405"/>
      <c r="AG201" s="1405"/>
      <c r="AH201" s="1405"/>
      <c r="AI201" s="1405"/>
      <c r="AJ201" s="1405"/>
      <c r="AK201" s="1405"/>
      <c r="AL201" s="1405"/>
      <c r="AM201" s="1405"/>
      <c r="AN201" s="1405"/>
      <c r="AO201" s="1405"/>
      <c r="AP201" s="1405"/>
      <c r="AQ201" s="1405"/>
      <c r="AR201" s="1405"/>
      <c r="AS201" s="909"/>
      <c r="AT201" s="1001"/>
      <c r="AU201" s="12"/>
      <c r="AV201" s="12"/>
      <c r="AW201" s="12"/>
      <c r="AX201" s="12"/>
      <c r="AY201" s="12"/>
      <c r="AZ201" s="12"/>
      <c r="BA201" s="12"/>
      <c r="BB201" s="12"/>
      <c r="BC201" s="12"/>
      <c r="BD201" s="12"/>
      <c r="BE201" s="12"/>
      <c r="BF201" s="12"/>
      <c r="BG201" s="12"/>
      <c r="BH201" s="12"/>
      <c r="BI201" s="13"/>
    </row>
    <row r="202" spans="1:61" s="49" customFormat="1" hidden="1">
      <c r="A202" s="212" t="s">
        <v>493</v>
      </c>
      <c r="B202" s="943"/>
      <c r="C202" s="943"/>
      <c r="D202" s="943"/>
      <c r="E202" s="50"/>
      <c r="F202" s="43"/>
      <c r="G202" s="44"/>
      <c r="H202" s="44"/>
      <c r="I202" s="44"/>
      <c r="J202" s="917"/>
      <c r="K202" s="44"/>
      <c r="L202" s="44"/>
      <c r="M202" s="44"/>
      <c r="N202" s="44"/>
      <c r="O202" s="44"/>
      <c r="P202" s="899"/>
      <c r="Q202" s="899"/>
      <c r="R202" s="899"/>
      <c r="S202" s="899"/>
      <c r="T202" s="899"/>
      <c r="U202" s="899"/>
      <c r="V202" s="39"/>
      <c r="W202" s="39"/>
      <c r="X202" s="39"/>
      <c r="Y202" s="12"/>
      <c r="Z202" s="453"/>
      <c r="AA202" s="453"/>
      <c r="AB202" s="909"/>
      <c r="AC202" s="995"/>
      <c r="AD202" s="1405"/>
      <c r="AE202" s="1405"/>
      <c r="AF202" s="1405"/>
      <c r="AG202" s="1405"/>
      <c r="AH202" s="1405"/>
      <c r="AI202" s="1405"/>
      <c r="AJ202" s="1405"/>
      <c r="AK202" s="1405"/>
      <c r="AL202" s="1405"/>
      <c r="AM202" s="1405"/>
      <c r="AN202" s="1405"/>
      <c r="AO202" s="1405"/>
      <c r="AP202" s="1405"/>
      <c r="AQ202" s="1405"/>
      <c r="AR202" s="1405"/>
      <c r="AS202" s="909"/>
      <c r="AT202" s="1001"/>
      <c r="AU202" s="12"/>
      <c r="AV202" s="12"/>
      <c r="AW202" s="12"/>
      <c r="AX202" s="12"/>
      <c r="AY202" s="12"/>
      <c r="AZ202" s="12"/>
      <c r="BA202" s="12"/>
      <c r="BB202" s="12"/>
      <c r="BC202" s="12"/>
      <c r="BD202" s="12"/>
      <c r="BE202" s="12"/>
      <c r="BF202" s="12"/>
      <c r="BG202" s="12"/>
      <c r="BH202" s="12"/>
      <c r="BI202" s="13"/>
    </row>
    <row r="203" spans="1:61" ht="18" hidden="1" thickTop="1">
      <c r="A203" s="212" t="s">
        <v>493</v>
      </c>
      <c r="B203" s="943"/>
      <c r="C203" s="943"/>
      <c r="D203" s="943"/>
      <c r="E203" s="14"/>
      <c r="F203" s="43" t="s">
        <v>517</v>
      </c>
      <c r="G203" s="17"/>
      <c r="H203" s="17"/>
      <c r="I203" s="1"/>
      <c r="J203" s="12"/>
      <c r="K203" s="36"/>
      <c r="L203" s="148"/>
      <c r="M203" s="54"/>
      <c r="N203" s="16"/>
      <c r="O203" s="44"/>
      <c r="P203" s="1480" t="s">
        <v>1731</v>
      </c>
      <c r="Q203" s="1481"/>
      <c r="R203" s="1481"/>
      <c r="S203" s="1482"/>
      <c r="T203" s="1483"/>
      <c r="U203" s="1484"/>
      <c r="V203" s="1485"/>
      <c r="W203" s="1486"/>
      <c r="X203" s="16"/>
      <c r="Y203" s="12"/>
      <c r="Z203" s="453"/>
      <c r="AA203" s="453"/>
      <c r="AB203" s="67"/>
      <c r="AC203" s="995"/>
      <c r="AD203" s="1432"/>
      <c r="AE203" s="1409" t="str">
        <f>_xlfn.CONCAT("Informatief: score in ",$P$24," ",$P$25)</f>
        <v>Informatief: score in GPR 4.4 bestaande bouw</v>
      </c>
      <c r="AF203" s="1408"/>
      <c r="AG203" s="1408"/>
      <c r="AH203" s="1388"/>
      <c r="AI203" s="1388"/>
      <c r="AJ203" s="1388"/>
      <c r="AK203" s="1408"/>
      <c r="AL203" s="1415"/>
      <c r="AM203" s="1415"/>
      <c r="AN203" s="39"/>
      <c r="AO203" s="13"/>
      <c r="AP203" s="13"/>
      <c r="AQ203" s="13"/>
      <c r="AR203" s="1405"/>
      <c r="AS203" s="67"/>
      <c r="AT203" s="995"/>
      <c r="AU203" s="12"/>
      <c r="AV203" s="12"/>
      <c r="AW203" s="12"/>
      <c r="AX203" s="12"/>
      <c r="AY203" s="12"/>
      <c r="AZ203" s="12"/>
      <c r="BA203" s="12"/>
      <c r="BB203" s="12"/>
      <c r="BC203" s="12"/>
      <c r="BD203" s="12"/>
      <c r="BE203" s="12"/>
      <c r="BF203" s="12"/>
      <c r="BG203" s="12"/>
      <c r="BH203" s="12"/>
      <c r="BI203" s="13"/>
    </row>
    <row r="204" spans="1:61" ht="32" hidden="1">
      <c r="A204" s="212" t="s">
        <v>493</v>
      </c>
      <c r="D204" s="943"/>
      <c r="E204" s="14"/>
      <c r="F204" s="911" t="s">
        <v>458</v>
      </c>
      <c r="G204" s="918" t="str">
        <f>tabellen_EMD!$C$302</f>
        <v>aardgas</v>
      </c>
      <c r="H204" s="918" t="str">
        <f>tabellen_EMD!$C$303</f>
        <v>elektriciteit</v>
      </c>
      <c r="I204" s="911"/>
      <c r="J204" s="918" t="str">
        <f>tabellen_EMD!$C$304</f>
        <v>elektriciteit opgewekt</v>
      </c>
      <c r="K204" s="918" t="str">
        <f>tabellen_EMD!$C$305</f>
        <v>externe warmte</v>
      </c>
      <c r="L204" s="911"/>
      <c r="M204" s="918" t="str">
        <f>tabellen_EMD!$C$306</f>
        <v>hout / biomassa</v>
      </c>
      <c r="N204" s="918" t="s">
        <v>1594</v>
      </c>
      <c r="O204" s="44"/>
      <c r="P204" s="1487" t="str">
        <f>tabellen_EMD!$C$302</f>
        <v>aardgas</v>
      </c>
      <c r="Q204" s="918" t="str">
        <f>tabellen_EMD!$C$303</f>
        <v>elektriciteit</v>
      </c>
      <c r="R204" s="230"/>
      <c r="S204" s="918" t="str">
        <f>tabellen_EMD!$C$304</f>
        <v>elektriciteit opgewekt</v>
      </c>
      <c r="T204" s="918" t="str">
        <f>tabellen_EMD!$C$305</f>
        <v>externe warmte</v>
      </c>
      <c r="U204" s="230"/>
      <c r="V204" s="918" t="str">
        <f>tabellen_EMD!$C$306</f>
        <v>hout / biomassa</v>
      </c>
      <c r="W204" s="1488" t="s">
        <v>1594</v>
      </c>
      <c r="Y204" s="12"/>
      <c r="Z204" s="453"/>
      <c r="AA204" s="453"/>
      <c r="AB204" s="67"/>
      <c r="AC204" s="995"/>
      <c r="AD204" s="1432"/>
      <c r="AE204" s="1408"/>
      <c r="AF204" s="1408"/>
      <c r="AG204" s="1408"/>
      <c r="AH204" s="1408"/>
      <c r="AI204" s="1408"/>
      <c r="AJ204" s="1408"/>
      <c r="AK204" s="1408"/>
      <c r="AL204" s="1416"/>
      <c r="AM204" s="1416"/>
      <c r="AN204" s="16"/>
      <c r="AO204" s="13"/>
      <c r="AP204" s="13"/>
      <c r="AQ204" s="13"/>
      <c r="AR204" s="1405"/>
      <c r="AS204" s="67"/>
      <c r="AT204" s="995"/>
      <c r="AU204" s="12"/>
      <c r="AV204" s="12"/>
      <c r="AW204" s="12"/>
      <c r="AX204" s="12"/>
      <c r="AY204" s="12"/>
      <c r="AZ204" s="12"/>
      <c r="BA204" s="12"/>
      <c r="BB204" s="12"/>
      <c r="BC204" s="12"/>
      <c r="BD204" s="12"/>
      <c r="BE204" s="12"/>
      <c r="BF204" s="12"/>
      <c r="BG204" s="12"/>
      <c r="BH204" s="12"/>
      <c r="BI204" s="13"/>
    </row>
    <row r="205" spans="1:61" hidden="1">
      <c r="A205" s="212" t="s">
        <v>493</v>
      </c>
      <c r="B205" s="943"/>
      <c r="C205" s="943"/>
      <c r="D205" s="943"/>
      <c r="E205" s="14"/>
      <c r="F205" s="911" t="s">
        <v>1554</v>
      </c>
      <c r="G205" s="1047">
        <f>INDEX(tabellen_EMD!$C$285:$Z$290,MATCH(G$204,tabellen_EMD!$C$285:$C$290,0),MATCH(EP_versie_scope_functie_methode,tabellen_EMD!$C$285:$Z$285,0))</f>
        <v>1</v>
      </c>
      <c r="H205" s="1047">
        <f>INDEX(tabellen_EMD!$C$285:$Z$290,MATCH(H$204,tabellen_EMD!$C$285:$C$290,0),MATCH(EP_versie_scope_functie_methode,tabellen_EMD!$C$285:$Z$285,0))</f>
        <v>1</v>
      </c>
      <c r="I205" s="1047"/>
      <c r="J205" s="1047">
        <f>INDEX(tabellen_EMD!$C$285:$Z$290,MATCH(J$204,tabellen_EMD!$C$285:$C$290,0),MATCH(EP_versie_scope_functie_methode,tabellen_EMD!$C$285:$Z$285,0))</f>
        <v>1</v>
      </c>
      <c r="K205" s="1047">
        <f>INDEX(tabellen_EMD!$C$285:$Z$290,MATCH(K$204,tabellen_EMD!$C$285:$C$290,0),MATCH(EP_versie_scope_functie_methode,tabellen_EMD!$C$285:$Z$285,0))</f>
        <v>1</v>
      </c>
      <c r="L205" s="1047"/>
      <c r="M205" s="1047">
        <f>INDEX(tabellen_EMD!$C$285:$Z$290,MATCH(M$204,tabellen_EMD!$C$285:$C$290,0),MATCH(EP_versie_scope_functie_methode,tabellen_EMD!$C$285:$Z$285,0))</f>
        <v>15</v>
      </c>
      <c r="N205" s="1047"/>
      <c r="O205" s="44"/>
      <c r="P205" s="1489">
        <f>INDEX(tabellen_EMD!$C$285:$Z$290,MATCH(P$204,tabellen_EMD!$C$285:$C$290,0),MATCH(EP_versie_scope_functie_methode,tabellen_EMD!$C$285:$Z$285,0))</f>
        <v>1</v>
      </c>
      <c r="Q205" s="1047">
        <f>INDEX(tabellen_EMD!$C$285:$Z$290,MATCH(Q$204,tabellen_EMD!$C$285:$C$290,0),MATCH(EP_versie_scope_functie_methode,tabellen_EMD!$C$285:$Z$285,0))</f>
        <v>1</v>
      </c>
      <c r="R205" s="230"/>
      <c r="S205" s="1047">
        <f>INDEX(tabellen_EMD!$C$285:$Z$290,MATCH(S$204,tabellen_EMD!$C$285:$C$290,0),MATCH(EP_versie_scope_functie_methode,tabellen_EMD!$C$285:$Z$285,0))</f>
        <v>1</v>
      </c>
      <c r="T205" s="1047">
        <f>INDEX(tabellen_EMD!$C$285:$Z$290,MATCH(T$204,tabellen_EMD!$C$285:$C$290,0),MATCH(EP_versie_scope_functie_methode,tabellen_EMD!$C$285:$Z$285,0))</f>
        <v>1</v>
      </c>
      <c r="U205" s="230"/>
      <c r="V205" s="1047">
        <f>INDEX(tabellen_EMD!$C$285:$Z$290,MATCH(V$204,tabellen_EMD!$C$285:$C$290,0),MATCH(EP_versie_scope_functie_methode,tabellen_EMD!$C$285:$Z$285,0))</f>
        <v>15</v>
      </c>
      <c r="W205" s="1490"/>
      <c r="Y205" s="12"/>
      <c r="Z205" s="453"/>
      <c r="AA205" s="453"/>
      <c r="AB205" s="67"/>
      <c r="AC205" s="995"/>
      <c r="AD205" s="1432"/>
      <c r="AE205" s="1408"/>
      <c r="AF205" s="1408"/>
      <c r="AG205" s="1408"/>
      <c r="AH205" s="1408"/>
      <c r="AI205" s="1408"/>
      <c r="AJ205" s="1408"/>
      <c r="AK205" s="1408"/>
      <c r="AL205" s="1416"/>
      <c r="AM205" s="1416"/>
      <c r="AN205" s="16"/>
      <c r="AO205" s="13"/>
      <c r="AP205" s="13"/>
      <c r="AQ205" s="13"/>
      <c r="AR205" s="1405"/>
      <c r="AS205" s="67"/>
      <c r="AT205" s="995"/>
      <c r="AU205" s="12"/>
      <c r="AV205" s="12"/>
      <c r="AW205" s="12"/>
      <c r="AX205" s="12"/>
      <c r="AY205" s="12"/>
      <c r="AZ205" s="12"/>
      <c r="BA205" s="12"/>
      <c r="BB205" s="12"/>
      <c r="BC205" s="12"/>
      <c r="BD205" s="12"/>
      <c r="BE205" s="12"/>
      <c r="BF205" s="12"/>
      <c r="BG205" s="12"/>
      <c r="BH205" s="12"/>
      <c r="BI205" s="13"/>
    </row>
    <row r="206" spans="1:61" hidden="1">
      <c r="A206" s="212" t="s">
        <v>493</v>
      </c>
      <c r="B206" s="943"/>
      <c r="C206" s="943"/>
      <c r="D206" s="943"/>
      <c r="E206" s="14"/>
      <c r="F206" s="911" t="s">
        <v>1555</v>
      </c>
      <c r="G206" s="1047">
        <f>INDEX(tabellen_EMD!$C$293:$Z$298,MATCH(G$204,tabellen_EMD!$C$293:$C$298,0),MATCH(EP_versie_scope_functie_methode,tabellen_EMD!$C$293:$Z$293,0))</f>
        <v>0</v>
      </c>
      <c r="H206" s="1047">
        <f>INDEX(tabellen_EMD!$C$293:$Z$298,MATCH(H$204,tabellen_EMD!$C$293:$C$298,0),MATCH(EP_versie_scope_functie_methode,tabellen_EMD!$C$293:$Z$293,0))</f>
        <v>0</v>
      </c>
      <c r="I206" s="1047"/>
      <c r="J206" s="1047">
        <f>INDEX(tabellen_EMD!$C$293:$Z$298,MATCH(J$204,tabellen_EMD!$C$293:$C$298,0),MATCH(EP_versie_scope_functie_methode,tabellen_EMD!$C$293:$Z$293,0))</f>
        <v>0</v>
      </c>
      <c r="K206" s="1047">
        <f>INDEX(tabellen_EMD!$C$293:$Z$298,MATCH(K$204,tabellen_EMD!$C$293:$C$298,0),MATCH(EP_versie_scope_functie_methode,tabellen_EMD!$C$293:$Z$293,0))</f>
        <v>1</v>
      </c>
      <c r="L206" s="1047"/>
      <c r="M206" s="1047">
        <f>INDEX(tabellen_EMD!$C$293:$Z$298,MATCH(M$204,tabellen_EMD!$C$293:$C$298,0),MATCH(EP_versie_scope_functie_methode,tabellen_EMD!$C$293:$Z$293,0))</f>
        <v>0</v>
      </c>
      <c r="N206" s="1047"/>
      <c r="O206" s="44"/>
      <c r="P206" s="1489">
        <f>INDEX(tabellen_EMD!$C$293:$Z$298,MATCH(P$204,tabellen_EMD!$C$293:$C$298,0),MATCH(EP_versie_scope_functie_methode,tabellen_EMD!$C$293:$Z$293,0))</f>
        <v>0</v>
      </c>
      <c r="Q206" s="1047">
        <f>INDEX(tabellen_EMD!$C$293:$Z$298,MATCH(Q$204,tabellen_EMD!$C$293:$C$298,0),MATCH(EP_versie_scope_functie_methode,tabellen_EMD!$C$293:$Z$293,0))</f>
        <v>0</v>
      </c>
      <c r="R206" s="230"/>
      <c r="S206" s="1047">
        <f>INDEX(tabellen_EMD!$C$293:$Z$298,MATCH(S$204,tabellen_EMD!$C$293:$C$298,0),MATCH(EP_versie_scope_functie_methode,tabellen_EMD!$C$293:$Z$293,0))</f>
        <v>0</v>
      </c>
      <c r="T206" s="1047">
        <f>INDEX(tabellen_EMD!$C$293:$Z$298,MATCH(T$204,tabellen_EMD!$C$293:$C$298,0),MATCH(EP_versie_scope_functie_methode,tabellen_EMD!$C$293:$Z$293,0))</f>
        <v>1</v>
      </c>
      <c r="U206" s="230"/>
      <c r="V206" s="1047">
        <f>INDEX(tabellen_EMD!$C$293:$Z$298,MATCH(V$204,tabellen_EMD!$C$293:$C$298,0),MATCH(EP_versie_scope_functie_methode,tabellen_EMD!$C$293:$Z$293,0))</f>
        <v>0</v>
      </c>
      <c r="W206" s="1490"/>
      <c r="Y206" s="12"/>
      <c r="Z206" s="453"/>
      <c r="AA206" s="453"/>
      <c r="AB206" s="67"/>
      <c r="AC206" s="995"/>
      <c r="AD206" s="1432"/>
      <c r="AE206" s="1408"/>
      <c r="AF206" s="1408"/>
      <c r="AG206" s="1408"/>
      <c r="AH206" s="1408"/>
      <c r="AI206" s="1408"/>
      <c r="AJ206" s="1408"/>
      <c r="AK206" s="1408"/>
      <c r="AL206" s="1416"/>
      <c r="AM206" s="1416"/>
      <c r="AN206" s="16"/>
      <c r="AO206" s="13"/>
      <c r="AP206" s="13"/>
      <c r="AQ206" s="13"/>
      <c r="AR206" s="1405"/>
      <c r="AS206" s="67"/>
      <c r="AT206" s="995"/>
      <c r="AU206" s="12"/>
      <c r="AV206" s="12"/>
      <c r="AW206" s="12"/>
      <c r="AX206" s="12"/>
      <c r="AY206" s="12"/>
      <c r="AZ206" s="12"/>
      <c r="BA206" s="12"/>
      <c r="BB206" s="12"/>
      <c r="BC206" s="12"/>
      <c r="BD206" s="12"/>
      <c r="BE206" s="12"/>
      <c r="BF206" s="12"/>
      <c r="BG206" s="12"/>
      <c r="BH206" s="12"/>
      <c r="BI206" s="13"/>
    </row>
    <row r="207" spans="1:61" ht="32" hidden="1">
      <c r="A207" s="212" t="s">
        <v>493</v>
      </c>
      <c r="B207" s="943"/>
      <c r="C207" s="943"/>
      <c r="D207" s="943"/>
      <c r="E207" s="14"/>
      <c r="F207" s="911"/>
      <c r="G207" s="911" t="s">
        <v>463</v>
      </c>
      <c r="H207" s="911" t="s">
        <v>519</v>
      </c>
      <c r="I207" s="911"/>
      <c r="J207" s="911" t="s">
        <v>520</v>
      </c>
      <c r="K207" s="911" t="s">
        <v>521</v>
      </c>
      <c r="L207" s="911"/>
      <c r="M207" s="911" t="s">
        <v>522</v>
      </c>
      <c r="N207" s="911"/>
      <c r="O207" s="44"/>
      <c r="P207" s="1491" t="s">
        <v>463</v>
      </c>
      <c r="Q207" s="911" t="s">
        <v>519</v>
      </c>
      <c r="R207" s="230"/>
      <c r="S207" s="911" t="s">
        <v>520</v>
      </c>
      <c r="T207" s="911" t="s">
        <v>521</v>
      </c>
      <c r="U207" s="230"/>
      <c r="V207" s="911" t="s">
        <v>522</v>
      </c>
      <c r="W207" s="1492"/>
      <c r="Y207" s="12"/>
      <c r="Z207" s="453"/>
      <c r="AA207" s="453"/>
      <c r="AB207" s="67"/>
      <c r="AC207" s="995"/>
      <c r="AD207" s="891" t="s">
        <v>396</v>
      </c>
      <c r="AE207" s="1410" t="s">
        <v>511</v>
      </c>
      <c r="AF207" s="1408"/>
      <c r="AG207" s="1388"/>
      <c r="AH207" s="1388"/>
      <c r="AI207" s="1388"/>
      <c r="AJ207" s="1388"/>
      <c r="AK207" s="1408"/>
      <c r="AL207" s="1416"/>
      <c r="AM207" s="1416"/>
      <c r="AN207" s="16"/>
      <c r="AO207" s="13"/>
      <c r="AP207" s="13"/>
      <c r="AQ207" s="13"/>
      <c r="AR207" s="1405"/>
      <c r="AS207" s="67"/>
      <c r="AT207" s="995"/>
      <c r="AU207" s="12"/>
      <c r="AV207" s="12"/>
      <c r="AW207" s="12"/>
      <c r="AX207" s="12"/>
      <c r="AY207" s="12"/>
      <c r="AZ207" s="12"/>
      <c r="BA207" s="12"/>
      <c r="BB207" s="12"/>
      <c r="BC207" s="12"/>
      <c r="BD207" s="12"/>
      <c r="BE207" s="12"/>
      <c r="BF207" s="12"/>
      <c r="BG207" s="12"/>
      <c r="BH207" s="12"/>
      <c r="BI207" s="13"/>
    </row>
    <row r="208" spans="1:61" hidden="1">
      <c r="A208" s="212" t="s">
        <v>493</v>
      </c>
      <c r="B208" s="943"/>
      <c r="C208" s="943"/>
      <c r="D208" s="943"/>
      <c r="E208" s="14"/>
      <c r="F208" s="911"/>
      <c r="G208" s="911" t="str">
        <f>INDEX(tabellen_EMD!$C$277:$Z$282,MATCH(G$204,tabellen_EMD!$C$285:$C$290,0),MATCH(EP_versie_scope_functie_methode,tabellen_EMD!$C$285:$Z$285,0))</f>
        <v>m3</v>
      </c>
      <c r="H208" s="911" t="str">
        <f>INDEX(tabellen_EMD!$C$277:$Z$282,MATCH(H$204,tabellen_EMD!$C$285:$C$290,0),MATCH(EP_versie_scope_functie_methode,tabellen_EMD!$C$285:$Z$285,0))</f>
        <v>kWh</v>
      </c>
      <c r="I208" s="911"/>
      <c r="J208" s="911" t="str">
        <f>INDEX(tabellen_EMD!$C$277:$Z$282,MATCH(J$204,tabellen_EMD!$C$285:$C$290,0),MATCH(EP_versie_scope_functie_methode,tabellen_EMD!$C$285:$Z$285,0))</f>
        <v>kWh</v>
      </c>
      <c r="K208" s="911" t="str">
        <f>INDEX(tabellen_EMD!$C$277:$Z$282,MATCH(K$204,tabellen_EMD!$C$285:$C$290,0),MATCH(EP_versie_scope_functie_methode,tabellen_EMD!$C$285:$Z$285,0))</f>
        <v>GJ</v>
      </c>
      <c r="L208" s="911"/>
      <c r="M208" s="911" t="str">
        <f>INDEX(tabellen_EMD!$C$277:$Z$282,MATCH(M$204,tabellen_EMD!$C$285:$C$290,0),MATCH(EP_versie_scope_functie_methode,tabellen_EMD!$C$285:$Z$285,0))</f>
        <v>MJ</v>
      </c>
      <c r="N208" s="911" t="s">
        <v>562</v>
      </c>
      <c r="O208" s="44"/>
      <c r="P208" s="1491" t="s">
        <v>464</v>
      </c>
      <c r="Q208" s="911" t="s">
        <v>406</v>
      </c>
      <c r="R208" s="230"/>
      <c r="S208" s="911" t="s">
        <v>406</v>
      </c>
      <c r="T208" s="911" t="s">
        <v>405</v>
      </c>
      <c r="U208" s="230"/>
      <c r="V208" s="911" t="str">
        <f>INDEX(tabellen_EMD!$C$277:$Z$282,MATCH(V$204,tabellen_EMD!$C$285:$C$290,0),MATCH(EP_versie_scope_functie_methode,tabellen_EMD!$C$285:$Z$285,0))</f>
        <v>MJ</v>
      </c>
      <c r="W208" s="1492" t="s">
        <v>562</v>
      </c>
      <c r="Y208" s="12"/>
      <c r="Z208" s="453"/>
      <c r="AA208" s="453"/>
      <c r="AB208" s="67"/>
      <c r="AC208" s="995"/>
      <c r="AD208" s="891" t="s">
        <v>396</v>
      </c>
      <c r="AE208" s="1412" t="str">
        <f>_xlfn.CONCAT("Broeikasgas-emissie tgv energiegebruik (",$P$27,")")</f>
        <v>Broeikasgas-emissie tgv energiegebruik (ISSO 75.3)</v>
      </c>
      <c r="AF208" s="1444"/>
      <c r="AG208" s="1445">
        <f>IFERROR(SUMPRODUCT($G$229:$M$229,$G$249:$M$249)/J275,"")</f>
        <v>0</v>
      </c>
      <c r="AH208" s="1412" t="s">
        <v>1409</v>
      </c>
      <c r="AI208" s="1412"/>
      <c r="AJ208" s="1412"/>
      <c r="AK208" s="1408"/>
      <c r="AL208" s="1416"/>
      <c r="AM208" s="1416"/>
      <c r="AN208" s="16"/>
      <c r="AO208" s="13"/>
      <c r="AP208" s="13"/>
      <c r="AQ208" s="13"/>
      <c r="AR208" s="1405"/>
      <c r="AS208" s="67"/>
      <c r="AT208" s="995"/>
      <c r="AU208" s="12"/>
      <c r="AV208" s="12"/>
      <c r="AW208" s="12"/>
      <c r="AX208" s="12"/>
      <c r="AY208" s="12"/>
      <c r="AZ208" s="12"/>
      <c r="BA208" s="12"/>
      <c r="BB208" s="12"/>
      <c r="BC208" s="12"/>
      <c r="BD208" s="12"/>
      <c r="BE208" s="12"/>
      <c r="BF208" s="12"/>
      <c r="BG208" s="12"/>
      <c r="BH208" s="12"/>
      <c r="BI208" s="13"/>
    </row>
    <row r="209" spans="1:61" hidden="1">
      <c r="A209" s="212" t="s">
        <v>493</v>
      </c>
      <c r="B209" s="943"/>
      <c r="C209" s="943"/>
      <c r="D209" s="943"/>
      <c r="E209" s="14"/>
      <c r="F209" s="22" t="s">
        <v>297</v>
      </c>
      <c r="G209" s="214" t="str">
        <f>G256</f>
        <v/>
      </c>
      <c r="H209" s="214" t="str">
        <f t="shared" ref="H209:N209" si="101">H256</f>
        <v/>
      </c>
      <c r="I209" s="214"/>
      <c r="J209" s="214" t="str">
        <f t="shared" si="101"/>
        <v/>
      </c>
      <c r="K209" s="214" t="str">
        <f t="shared" si="101"/>
        <v/>
      </c>
      <c r="L209" s="214"/>
      <c r="M209" s="214" t="str">
        <f t="shared" si="101"/>
        <v/>
      </c>
      <c r="N209" s="142" t="str">
        <f t="shared" si="101"/>
        <v/>
      </c>
      <c r="O209" s="44"/>
      <c r="P209" s="1493">
        <f t="shared" ref="P209:Q220" si="102">Q256</f>
        <v>0</v>
      </c>
      <c r="Q209" s="214">
        <f t="shared" si="102"/>
        <v>0</v>
      </c>
      <c r="R209" s="230"/>
      <c r="S209" s="214">
        <f t="shared" ref="S209:T220" si="103">T256</f>
        <v>0</v>
      </c>
      <c r="T209" s="214">
        <f t="shared" si="103"/>
        <v>0</v>
      </c>
      <c r="U209" s="230"/>
      <c r="V209" s="214"/>
      <c r="W209" s="1494">
        <f>IFERROR(M44/$M$58*$J$275,"")</f>
        <v>0</v>
      </c>
      <c r="Y209" s="12"/>
      <c r="Z209" s="453"/>
      <c r="AA209" s="453"/>
      <c r="AB209" s="67"/>
      <c r="AC209" s="995"/>
      <c r="AD209" s="891" t="s">
        <v>396</v>
      </c>
      <c r="AE209" s="1412" t="s">
        <v>1408</v>
      </c>
      <c r="AF209" s="1443"/>
      <c r="AG209" s="1445">
        <f>IFERROR(M273,"")</f>
        <v>0</v>
      </c>
      <c r="AH209" s="1412" t="s">
        <v>1409</v>
      </c>
      <c r="AI209" s="1412"/>
      <c r="AJ209" s="1412"/>
      <c r="AK209" s="1408"/>
      <c r="AL209" s="1416"/>
      <c r="AM209" s="1416"/>
      <c r="AN209" s="16"/>
      <c r="AO209" s="13"/>
      <c r="AP209" s="13"/>
      <c r="AQ209" s="13"/>
      <c r="AR209" s="1405"/>
      <c r="AS209" s="67"/>
      <c r="AT209" s="995"/>
      <c r="AU209" s="12"/>
      <c r="AV209" s="12"/>
      <c r="AW209" s="12"/>
      <c r="AX209" s="12"/>
      <c r="AY209" s="12"/>
      <c r="AZ209" s="12"/>
      <c r="BA209" s="12"/>
      <c r="BB209" s="12"/>
      <c r="BC209" s="12"/>
      <c r="BD209" s="12"/>
      <c r="BE209" s="12"/>
      <c r="BF209" s="12"/>
      <c r="BG209" s="12"/>
      <c r="BH209" s="12"/>
      <c r="BI209" s="13"/>
    </row>
    <row r="210" spans="1:61" hidden="1">
      <c r="A210" s="212" t="s">
        <v>493</v>
      </c>
      <c r="B210" s="943"/>
      <c r="C210" s="943"/>
      <c r="D210" s="943"/>
      <c r="E210" s="14"/>
      <c r="F210" s="22" t="s">
        <v>298</v>
      </c>
      <c r="G210" s="214" t="str">
        <f t="shared" ref="G210:N220" si="104">G257</f>
        <v/>
      </c>
      <c r="H210" s="214" t="str">
        <f t="shared" si="104"/>
        <v/>
      </c>
      <c r="I210" s="214"/>
      <c r="J210" s="214" t="str">
        <f t="shared" si="104"/>
        <v/>
      </c>
      <c r="K210" s="214" t="str">
        <f t="shared" si="104"/>
        <v/>
      </c>
      <c r="L210" s="214"/>
      <c r="M210" s="214" t="str">
        <f t="shared" si="104"/>
        <v/>
      </c>
      <c r="N210" s="142" t="str">
        <f t="shared" si="104"/>
        <v/>
      </c>
      <c r="O210" s="44"/>
      <c r="P210" s="1493">
        <f t="shared" si="102"/>
        <v>0</v>
      </c>
      <c r="Q210" s="214">
        <f t="shared" si="102"/>
        <v>0</v>
      </c>
      <c r="R210" s="230"/>
      <c r="S210" s="214">
        <f t="shared" si="103"/>
        <v>0</v>
      </c>
      <c r="T210" s="214">
        <f t="shared" si="103"/>
        <v>0</v>
      </c>
      <c r="U210" s="230"/>
      <c r="V210" s="214"/>
      <c r="W210" s="1494">
        <f t="shared" ref="W210:W220" si="105">IFERROR(M45/$M$58*$J$275,"")</f>
        <v>0</v>
      </c>
      <c r="Y210" s="12"/>
      <c r="Z210" s="453"/>
      <c r="AA210" s="453"/>
      <c r="AB210" s="67"/>
      <c r="AC210" s="995"/>
      <c r="AD210" s="1434"/>
      <c r="AE210" s="1412" t="s">
        <v>1391</v>
      </c>
      <c r="AF210" s="1443"/>
      <c r="AG210" s="1448">
        <f>SUM(AG208,M273)</f>
        <v>0</v>
      </c>
      <c r="AH210" s="1412" t="s">
        <v>1409</v>
      </c>
      <c r="AI210" s="1412"/>
      <c r="AJ210" s="1412"/>
      <c r="AK210" s="1408"/>
      <c r="AL210" s="1416"/>
      <c r="AM210" s="1416"/>
      <c r="AN210" s="16"/>
      <c r="AO210" s="13"/>
      <c r="AP210" s="13"/>
      <c r="AQ210" s="13"/>
      <c r="AR210" s="1405"/>
      <c r="AS210" s="67"/>
      <c r="AT210" s="995"/>
      <c r="AU210" s="12"/>
      <c r="AV210" s="12"/>
      <c r="AW210" s="12"/>
      <c r="AX210" s="12"/>
      <c r="AY210" s="12"/>
      <c r="AZ210" s="12"/>
      <c r="BA210" s="12"/>
      <c r="BB210" s="12"/>
      <c r="BC210" s="12"/>
      <c r="BD210" s="12"/>
      <c r="BE210" s="12"/>
      <c r="BF210" s="12"/>
      <c r="BG210" s="12"/>
      <c r="BH210" s="12"/>
      <c r="BI210" s="13"/>
    </row>
    <row r="211" spans="1:61" hidden="1">
      <c r="A211" s="212" t="s">
        <v>493</v>
      </c>
      <c r="B211" s="943"/>
      <c r="C211" s="943"/>
      <c r="D211" s="943"/>
      <c r="E211" s="14"/>
      <c r="F211" s="22" t="s">
        <v>303</v>
      </c>
      <c r="G211" s="214" t="str">
        <f t="shared" si="104"/>
        <v>0</v>
      </c>
      <c r="H211" s="214" t="str">
        <f t="shared" si="104"/>
        <v>0</v>
      </c>
      <c r="I211" s="214"/>
      <c r="J211" s="214" t="str">
        <f t="shared" si="104"/>
        <v>0</v>
      </c>
      <c r="K211" s="214" t="str">
        <f t="shared" si="104"/>
        <v>0.0</v>
      </c>
      <c r="L211" s="214"/>
      <c r="M211" s="214" t="str">
        <f t="shared" si="104"/>
        <v>0</v>
      </c>
      <c r="N211" s="142">
        <f t="shared" si="104"/>
        <v>0.33333333333333331</v>
      </c>
      <c r="O211" s="44"/>
      <c r="P211" s="1493">
        <f t="shared" si="102"/>
        <v>0</v>
      </c>
      <c r="Q211" s="214">
        <f t="shared" si="102"/>
        <v>0</v>
      </c>
      <c r="R211" s="230"/>
      <c r="S211" s="214">
        <f t="shared" si="103"/>
        <v>0</v>
      </c>
      <c r="T211" s="214">
        <f t="shared" si="103"/>
        <v>0</v>
      </c>
      <c r="U211" s="230"/>
      <c r="V211" s="214"/>
      <c r="W211" s="1494">
        <f t="shared" si="105"/>
        <v>0.33333333333333331</v>
      </c>
      <c r="Y211" s="12"/>
      <c r="Z211" s="453"/>
      <c r="AA211" s="453"/>
      <c r="AB211" s="67"/>
      <c r="AC211" s="995"/>
      <c r="AD211" s="1429"/>
      <c r="AE211" s="1418"/>
      <c r="AF211" s="1418"/>
      <c r="AG211" s="1418"/>
      <c r="AH211" s="1418"/>
      <c r="AI211" s="1418"/>
      <c r="AJ211" s="1388"/>
      <c r="AK211" s="1408"/>
      <c r="AL211" s="1416"/>
      <c r="AM211" s="1416"/>
      <c r="AN211" s="16"/>
      <c r="AO211" s="13"/>
      <c r="AP211" s="13"/>
      <c r="AQ211" s="13"/>
      <c r="AR211" s="1405"/>
      <c r="AS211" s="67"/>
      <c r="AT211" s="995"/>
      <c r="AU211" s="12"/>
      <c r="AV211" s="12"/>
      <c r="AW211" s="12"/>
      <c r="AX211" s="12"/>
      <c r="AY211" s="12"/>
      <c r="AZ211" s="12"/>
      <c r="BA211" s="12"/>
      <c r="BB211" s="12"/>
      <c r="BC211" s="12"/>
      <c r="BD211" s="12"/>
      <c r="BE211" s="12"/>
      <c r="BF211" s="12"/>
      <c r="BG211" s="12"/>
      <c r="BH211" s="12"/>
      <c r="BI211" s="13"/>
    </row>
    <row r="212" spans="1:61" hidden="1">
      <c r="A212" s="212" t="s">
        <v>493</v>
      </c>
      <c r="B212" s="943"/>
      <c r="C212" s="943"/>
      <c r="D212" s="943"/>
      <c r="E212" s="14"/>
      <c r="F212" s="22" t="s">
        <v>299</v>
      </c>
      <c r="G212" s="214" t="str">
        <f t="shared" si="104"/>
        <v>0</v>
      </c>
      <c r="H212" s="214" t="str">
        <f t="shared" si="104"/>
        <v>0</v>
      </c>
      <c r="I212" s="214"/>
      <c r="J212" s="214" t="str">
        <f t="shared" si="104"/>
        <v>0</v>
      </c>
      <c r="K212" s="214" t="str">
        <f t="shared" si="104"/>
        <v>0.0</v>
      </c>
      <c r="L212" s="214"/>
      <c r="M212" s="214" t="str">
        <f t="shared" si="104"/>
        <v>0</v>
      </c>
      <c r="N212" s="142">
        <f t="shared" si="104"/>
        <v>0.33333333333333331</v>
      </c>
      <c r="O212" s="44"/>
      <c r="P212" s="1493">
        <f t="shared" si="102"/>
        <v>0</v>
      </c>
      <c r="Q212" s="214">
        <f t="shared" si="102"/>
        <v>0</v>
      </c>
      <c r="R212" s="230"/>
      <c r="S212" s="214">
        <f t="shared" si="103"/>
        <v>0</v>
      </c>
      <c r="T212" s="214">
        <f t="shared" si="103"/>
        <v>0</v>
      </c>
      <c r="U212" s="230"/>
      <c r="V212" s="214"/>
      <c r="W212" s="1494">
        <f t="shared" si="105"/>
        <v>0.33333333333333331</v>
      </c>
      <c r="Y212" s="12"/>
      <c r="Z212" s="453"/>
      <c r="AA212" s="453"/>
      <c r="AB212" s="67"/>
      <c r="AC212" s="995"/>
      <c r="AD212" s="891" t="s">
        <v>396</v>
      </c>
      <c r="AE212" s="1477" t="s">
        <v>1406</v>
      </c>
      <c r="AF212" s="1478"/>
      <c r="AG212" s="905"/>
      <c r="AH212" s="905"/>
      <c r="AI212" s="1418"/>
      <c r="AJ212" s="1388"/>
      <c r="AK212" s="1408"/>
      <c r="AL212" s="1416"/>
      <c r="AM212" s="1416"/>
      <c r="AN212" s="16"/>
      <c r="AO212" s="13"/>
      <c r="AP212" s="13"/>
      <c r="AQ212" s="13"/>
      <c r="AR212" s="1405"/>
      <c r="AS212" s="67"/>
      <c r="AT212" s="995"/>
      <c r="AU212" s="12"/>
      <c r="AV212" s="12"/>
      <c r="AW212" s="12"/>
      <c r="AX212" s="12"/>
      <c r="AY212" s="12"/>
      <c r="AZ212" s="12"/>
      <c r="BA212" s="12"/>
      <c r="BB212" s="12"/>
      <c r="BC212" s="12"/>
      <c r="BD212" s="12"/>
      <c r="BE212" s="12"/>
      <c r="BF212" s="12"/>
      <c r="BG212" s="12"/>
      <c r="BH212" s="12"/>
      <c r="BI212" s="13"/>
    </row>
    <row r="213" spans="1:61" hidden="1">
      <c r="A213" s="212" t="s">
        <v>493</v>
      </c>
      <c r="B213" s="943"/>
      <c r="C213" s="943"/>
      <c r="D213" s="943"/>
      <c r="E213" s="14"/>
      <c r="F213" s="22" t="s">
        <v>422</v>
      </c>
      <c r="G213" s="214" t="str">
        <f t="shared" si="104"/>
        <v>0</v>
      </c>
      <c r="H213" s="214" t="str">
        <f t="shared" si="104"/>
        <v>0</v>
      </c>
      <c r="I213" s="214"/>
      <c r="J213" s="214" t="str">
        <f t="shared" si="104"/>
        <v>0</v>
      </c>
      <c r="K213" s="214" t="str">
        <f t="shared" si="104"/>
        <v>0.0</v>
      </c>
      <c r="L213" s="214"/>
      <c r="M213" s="214" t="str">
        <f t="shared" si="104"/>
        <v>0</v>
      </c>
      <c r="N213" s="142">
        <f t="shared" si="104"/>
        <v>0.33333333333333331</v>
      </c>
      <c r="O213" s="44"/>
      <c r="P213" s="1493">
        <f t="shared" si="102"/>
        <v>0</v>
      </c>
      <c r="Q213" s="214">
        <f t="shared" si="102"/>
        <v>0</v>
      </c>
      <c r="R213" s="230"/>
      <c r="S213" s="214">
        <f t="shared" si="103"/>
        <v>0</v>
      </c>
      <c r="T213" s="214">
        <f t="shared" si="103"/>
        <v>0</v>
      </c>
      <c r="U213" s="230"/>
      <c r="V213" s="214"/>
      <c r="W213" s="1494">
        <f t="shared" si="105"/>
        <v>0.33333333333333331</v>
      </c>
      <c r="Y213" s="12"/>
      <c r="Z213" s="453"/>
      <c r="AA213" s="453"/>
      <c r="AB213" s="67"/>
      <c r="AC213" s="995"/>
      <c r="AD213" s="891" t="s">
        <v>396</v>
      </c>
      <c r="AE213" s="903" t="s">
        <v>1441</v>
      </c>
      <c r="AF213" s="1474"/>
      <c r="AG213" s="1475">
        <f>F385</f>
        <v>5.605177903416422</v>
      </c>
      <c r="AH213" s="1476" t="s">
        <v>440</v>
      </c>
      <c r="AI213" s="1412"/>
      <c r="AJ213" s="1388"/>
      <c r="AK213" s="1408"/>
      <c r="AL213" s="1416"/>
      <c r="AM213" s="1416"/>
      <c r="AN213" s="16"/>
      <c r="AO213" s="13"/>
      <c r="AP213" s="13"/>
      <c r="AQ213" s="13"/>
      <c r="AR213" s="1405"/>
      <c r="AS213" s="67"/>
      <c r="AT213" s="995"/>
      <c r="AU213" s="12"/>
      <c r="AV213" s="12"/>
      <c r="AW213" s="12"/>
      <c r="AX213" s="12"/>
      <c r="AY213" s="12"/>
      <c r="AZ213" s="12"/>
      <c r="BA213" s="12"/>
      <c r="BB213" s="12"/>
      <c r="BC213" s="12"/>
      <c r="BD213" s="12"/>
      <c r="BE213" s="12"/>
      <c r="BF213" s="12"/>
      <c r="BG213" s="12"/>
      <c r="BH213" s="12"/>
      <c r="BI213" s="13"/>
    </row>
    <row r="214" spans="1:61" hidden="1">
      <c r="A214" s="212" t="s">
        <v>493</v>
      </c>
      <c r="B214" s="943"/>
      <c r="C214" s="943"/>
      <c r="D214" s="943"/>
      <c r="E214" s="14"/>
      <c r="F214" s="22" t="s">
        <v>305</v>
      </c>
      <c r="G214" s="214" t="str">
        <f t="shared" si="104"/>
        <v/>
      </c>
      <c r="H214" s="214" t="str">
        <f t="shared" si="104"/>
        <v/>
      </c>
      <c r="I214" s="214"/>
      <c r="J214" s="214" t="str">
        <f t="shared" si="104"/>
        <v/>
      </c>
      <c r="K214" s="214" t="str">
        <f t="shared" si="104"/>
        <v/>
      </c>
      <c r="L214" s="214"/>
      <c r="M214" s="214" t="str">
        <f t="shared" si="104"/>
        <v/>
      </c>
      <c r="N214" s="142" t="str">
        <f t="shared" si="104"/>
        <v/>
      </c>
      <c r="O214" s="44"/>
      <c r="P214" s="1493">
        <f t="shared" si="102"/>
        <v>0</v>
      </c>
      <c r="Q214" s="214">
        <f t="shared" si="102"/>
        <v>0</v>
      </c>
      <c r="R214" s="230"/>
      <c r="S214" s="214">
        <f t="shared" si="103"/>
        <v>0</v>
      </c>
      <c r="T214" s="214">
        <f t="shared" si="103"/>
        <v>0</v>
      </c>
      <c r="U214" s="230"/>
      <c r="V214" s="214"/>
      <c r="W214" s="1494">
        <f t="shared" si="105"/>
        <v>0</v>
      </c>
      <c r="Y214" s="12"/>
      <c r="Z214" s="453"/>
      <c r="AA214" s="453"/>
      <c r="AB214" s="67"/>
      <c r="AC214" s="995"/>
      <c r="AD214" s="891" t="s">
        <v>396</v>
      </c>
      <c r="AE214" s="903" t="s">
        <v>1442</v>
      </c>
      <c r="AF214" s="1474"/>
      <c r="AG214" s="1475">
        <f>G385</f>
        <v>-3.9773319655195288E-2</v>
      </c>
      <c r="AH214" s="1476" t="s">
        <v>440</v>
      </c>
      <c r="AI214" s="1412"/>
      <c r="AJ214" s="1388"/>
      <c r="AK214" s="1408"/>
      <c r="AL214" s="1416"/>
      <c r="AM214" s="1416"/>
      <c r="AN214" s="16"/>
      <c r="AO214" s="13"/>
      <c r="AP214" s="13"/>
      <c r="AQ214" s="13"/>
      <c r="AR214" s="1405"/>
      <c r="AS214" s="67"/>
      <c r="AT214" s="995"/>
      <c r="AU214" s="12"/>
      <c r="AV214" s="12"/>
      <c r="AW214" s="12"/>
      <c r="AX214" s="12"/>
      <c r="AY214" s="12"/>
      <c r="AZ214" s="12"/>
      <c r="BA214" s="12"/>
      <c r="BB214" s="12"/>
      <c r="BC214" s="12"/>
      <c r="BD214" s="12"/>
      <c r="BE214" s="12"/>
      <c r="BF214" s="12"/>
      <c r="BG214" s="12"/>
      <c r="BH214" s="12"/>
      <c r="BI214" s="13"/>
    </row>
    <row r="215" spans="1:61" hidden="1">
      <c r="A215" s="212" t="s">
        <v>493</v>
      </c>
      <c r="B215" s="943"/>
      <c r="C215" s="943"/>
      <c r="D215" s="943"/>
      <c r="E215" s="14"/>
      <c r="F215" s="22" t="s">
        <v>302</v>
      </c>
      <c r="G215" s="214" t="str">
        <f t="shared" si="104"/>
        <v/>
      </c>
      <c r="H215" s="214" t="str">
        <f t="shared" si="104"/>
        <v/>
      </c>
      <c r="I215" s="214"/>
      <c r="J215" s="214" t="str">
        <f t="shared" si="104"/>
        <v/>
      </c>
      <c r="K215" s="214" t="str">
        <f t="shared" si="104"/>
        <v/>
      </c>
      <c r="L215" s="214"/>
      <c r="M215" s="214" t="str">
        <f t="shared" si="104"/>
        <v/>
      </c>
      <c r="N215" s="142" t="str">
        <f t="shared" si="104"/>
        <v/>
      </c>
      <c r="O215" s="44"/>
      <c r="P215" s="1493">
        <f t="shared" si="102"/>
        <v>0</v>
      </c>
      <c r="Q215" s="214">
        <f t="shared" si="102"/>
        <v>0</v>
      </c>
      <c r="R215" s="230"/>
      <c r="S215" s="214">
        <f t="shared" si="103"/>
        <v>0</v>
      </c>
      <c r="T215" s="214">
        <f t="shared" si="103"/>
        <v>0</v>
      </c>
      <c r="U215" s="230"/>
      <c r="V215" s="214"/>
      <c r="W215" s="1494">
        <f t="shared" si="105"/>
        <v>0</v>
      </c>
      <c r="Y215" s="12"/>
      <c r="Z215" s="453"/>
      <c r="AA215" s="453"/>
      <c r="AB215" s="67"/>
      <c r="AC215" s="995"/>
      <c r="AD215" s="1429"/>
      <c r="AE215" s="1418"/>
      <c r="AF215" s="1418"/>
      <c r="AG215" s="1418"/>
      <c r="AH215" s="1418"/>
      <c r="AI215" s="1418"/>
      <c r="AJ215" s="1388"/>
      <c r="AK215" s="1408"/>
      <c r="AL215" s="1416"/>
      <c r="AM215" s="1416"/>
      <c r="AN215" s="16"/>
      <c r="AO215" s="13"/>
      <c r="AP215" s="13"/>
      <c r="AQ215" s="13"/>
      <c r="AR215" s="1405"/>
      <c r="AS215" s="67"/>
      <c r="AT215" s="995"/>
      <c r="AU215" s="12"/>
      <c r="AV215" s="12"/>
      <c r="AW215" s="12"/>
      <c r="AX215" s="12"/>
      <c r="AY215" s="12"/>
      <c r="AZ215" s="12"/>
      <c r="BA215" s="12"/>
      <c r="BB215" s="12"/>
      <c r="BC215" s="12"/>
      <c r="BD215" s="12"/>
      <c r="BE215" s="12"/>
      <c r="BF215" s="12"/>
      <c r="BG215" s="12"/>
      <c r="BH215" s="12"/>
      <c r="BI215" s="13"/>
    </row>
    <row r="216" spans="1:61" hidden="1">
      <c r="A216" s="212" t="s">
        <v>493</v>
      </c>
      <c r="B216" s="943"/>
      <c r="C216" s="943"/>
      <c r="D216" s="943"/>
      <c r="E216" s="14"/>
      <c r="F216" s="22" t="s">
        <v>423</v>
      </c>
      <c r="G216" s="214" t="str">
        <f t="shared" si="104"/>
        <v/>
      </c>
      <c r="H216" s="214" t="str">
        <f t="shared" si="104"/>
        <v/>
      </c>
      <c r="I216" s="214"/>
      <c r="J216" s="214" t="str">
        <f t="shared" si="104"/>
        <v/>
      </c>
      <c r="K216" s="214" t="str">
        <f t="shared" si="104"/>
        <v/>
      </c>
      <c r="L216" s="214"/>
      <c r="M216" s="214" t="str">
        <f t="shared" si="104"/>
        <v/>
      </c>
      <c r="N216" s="142" t="str">
        <f t="shared" si="104"/>
        <v/>
      </c>
      <c r="O216" s="44"/>
      <c r="P216" s="1493">
        <f t="shared" si="102"/>
        <v>0</v>
      </c>
      <c r="Q216" s="214">
        <f t="shared" si="102"/>
        <v>0</v>
      </c>
      <c r="R216" s="230"/>
      <c r="S216" s="214">
        <f t="shared" si="103"/>
        <v>0</v>
      </c>
      <c r="T216" s="214">
        <f t="shared" si="103"/>
        <v>0</v>
      </c>
      <c r="U216" s="230"/>
      <c r="V216" s="214"/>
      <c r="W216" s="1494">
        <f t="shared" si="105"/>
        <v>0</v>
      </c>
      <c r="Y216" s="12"/>
      <c r="Z216" s="453"/>
      <c r="AA216" s="453"/>
      <c r="AB216" s="67"/>
      <c r="AC216" s="995"/>
      <c r="AD216" s="891"/>
      <c r="AE216" s="1383" t="s">
        <v>538</v>
      </c>
      <c r="AF216" s="1444"/>
      <c r="AG216" s="1445">
        <f>N404</f>
        <v>-9.1593399531575415E-16</v>
      </c>
      <c r="AH216" s="1412" t="s">
        <v>440</v>
      </c>
      <c r="AI216" s="1412"/>
      <c r="AJ216" s="1388"/>
      <c r="AK216" s="1408"/>
      <c r="AL216" s="1416"/>
      <c r="AM216" s="1416"/>
      <c r="AN216" s="16"/>
      <c r="AO216" s="13"/>
      <c r="AP216" s="13"/>
      <c r="AQ216" s="13"/>
      <c r="AR216" s="1405"/>
      <c r="AS216" s="67"/>
      <c r="AT216" s="995"/>
      <c r="AU216" s="12"/>
      <c r="AV216" s="12"/>
      <c r="AW216" s="12"/>
      <c r="AX216" s="12"/>
      <c r="AY216" s="12"/>
      <c r="AZ216" s="12"/>
      <c r="BA216" s="12"/>
      <c r="BB216" s="12"/>
      <c r="BC216" s="12"/>
      <c r="BD216" s="12"/>
      <c r="BE216" s="12"/>
      <c r="BF216" s="12"/>
      <c r="BG216" s="12"/>
      <c r="BH216" s="12"/>
      <c r="BI216" s="13"/>
    </row>
    <row r="217" spans="1:61" hidden="1">
      <c r="A217" s="212" t="s">
        <v>493</v>
      </c>
      <c r="B217" s="943"/>
      <c r="C217" s="943"/>
      <c r="D217" s="943"/>
      <c r="E217" s="14"/>
      <c r="F217" s="22" t="s">
        <v>307</v>
      </c>
      <c r="G217" s="214" t="str">
        <f t="shared" si="104"/>
        <v/>
      </c>
      <c r="H217" s="214" t="str">
        <f t="shared" si="104"/>
        <v/>
      </c>
      <c r="I217" s="214"/>
      <c r="J217" s="214" t="str">
        <f t="shared" si="104"/>
        <v/>
      </c>
      <c r="K217" s="214" t="str">
        <f t="shared" si="104"/>
        <v/>
      </c>
      <c r="L217" s="214"/>
      <c r="M217" s="214" t="str">
        <f t="shared" si="104"/>
        <v/>
      </c>
      <c r="N217" s="142" t="str">
        <f t="shared" si="104"/>
        <v/>
      </c>
      <c r="O217" s="44"/>
      <c r="P217" s="1493">
        <f t="shared" si="102"/>
        <v>0</v>
      </c>
      <c r="Q217" s="214">
        <f t="shared" si="102"/>
        <v>0</v>
      </c>
      <c r="R217" s="230"/>
      <c r="S217" s="214">
        <f t="shared" si="103"/>
        <v>0</v>
      </c>
      <c r="T217" s="214">
        <f t="shared" si="103"/>
        <v>0</v>
      </c>
      <c r="U217" s="230"/>
      <c r="V217" s="214"/>
      <c r="W217" s="1494">
        <f t="shared" si="105"/>
        <v>0</v>
      </c>
      <c r="Y217" s="12"/>
      <c r="Z217" s="453"/>
      <c r="AA217" s="453"/>
      <c r="AB217" s="67"/>
      <c r="AC217" s="995"/>
      <c r="AD217" s="891"/>
      <c r="AE217" s="1383" t="s">
        <v>431</v>
      </c>
      <c r="AF217" s="1444"/>
      <c r="AG217" s="1445">
        <f>J272</f>
        <v>0</v>
      </c>
      <c r="AH217" s="1412" t="s">
        <v>440</v>
      </c>
      <c r="AI217" s="1412"/>
      <c r="AJ217" s="1388"/>
      <c r="AK217" s="1408"/>
      <c r="AL217" s="1416"/>
      <c r="AM217" s="1416"/>
      <c r="AN217" s="16"/>
      <c r="AO217" s="13"/>
      <c r="AP217" s="13"/>
      <c r="AQ217" s="13"/>
      <c r="AR217" s="1405"/>
      <c r="AS217" s="67"/>
      <c r="AT217" s="995"/>
      <c r="AU217" s="12"/>
      <c r="AV217" s="12"/>
      <c r="AW217" s="12"/>
      <c r="AX217" s="12"/>
      <c r="AY217" s="12"/>
      <c r="AZ217" s="12"/>
      <c r="BA217" s="12"/>
      <c r="BB217" s="12"/>
      <c r="BC217" s="12"/>
      <c r="BD217" s="12"/>
      <c r="BE217" s="12"/>
      <c r="BF217" s="12"/>
      <c r="BG217" s="12"/>
      <c r="BH217" s="12"/>
      <c r="BI217" s="13"/>
    </row>
    <row r="218" spans="1:61" hidden="1">
      <c r="A218" s="212" t="s">
        <v>493</v>
      </c>
      <c r="B218" s="943"/>
      <c r="C218" s="943"/>
      <c r="D218" s="943"/>
      <c r="E218" s="14"/>
      <c r="F218" s="22" t="s">
        <v>306</v>
      </c>
      <c r="G218" s="214" t="str">
        <f t="shared" si="104"/>
        <v/>
      </c>
      <c r="H218" s="214" t="str">
        <f t="shared" si="104"/>
        <v/>
      </c>
      <c r="I218" s="214"/>
      <c r="J218" s="214" t="str">
        <f t="shared" si="104"/>
        <v/>
      </c>
      <c r="K218" s="214" t="str">
        <f t="shared" si="104"/>
        <v/>
      </c>
      <c r="L218" s="214"/>
      <c r="M218" s="214" t="str">
        <f t="shared" si="104"/>
        <v/>
      </c>
      <c r="N218" s="142" t="str">
        <f t="shared" si="104"/>
        <v/>
      </c>
      <c r="O218" s="44"/>
      <c r="P218" s="1493">
        <f t="shared" si="102"/>
        <v>0</v>
      </c>
      <c r="Q218" s="214">
        <f t="shared" si="102"/>
        <v>0</v>
      </c>
      <c r="R218" s="230"/>
      <c r="S218" s="214">
        <f t="shared" si="103"/>
        <v>0</v>
      </c>
      <c r="T218" s="214">
        <f t="shared" si="103"/>
        <v>0</v>
      </c>
      <c r="U218" s="230"/>
      <c r="V218" s="214"/>
      <c r="W218" s="1494">
        <f t="shared" si="105"/>
        <v>0</v>
      </c>
      <c r="Y218" s="12"/>
      <c r="Z218" s="453"/>
      <c r="AA218" s="453"/>
      <c r="AB218" s="67"/>
      <c r="AC218" s="995"/>
      <c r="AD218" s="891" t="s">
        <v>396</v>
      </c>
      <c r="AE218" s="1383" t="s">
        <v>456</v>
      </c>
      <c r="AF218" s="1444"/>
      <c r="AG218" s="1445">
        <f>IFERROR(K404,"")</f>
        <v>-9.1593399531575415E-16</v>
      </c>
      <c r="AH218" s="1412" t="s">
        <v>440</v>
      </c>
      <c r="AI218" s="1412"/>
      <c r="AJ218" s="1388"/>
      <c r="AK218" s="1408"/>
      <c r="AL218" s="1416"/>
      <c r="AM218" s="1416"/>
      <c r="AN218" s="16"/>
      <c r="AO218" s="13"/>
      <c r="AP218" s="13"/>
      <c r="AQ218" s="13"/>
      <c r="AR218" s="1405"/>
      <c r="AS218" s="67"/>
      <c r="AT218" s="995"/>
      <c r="AU218" s="12"/>
      <c r="AV218" s="12"/>
      <c r="AW218" s="12"/>
      <c r="AX218" s="12"/>
      <c r="AY218" s="12"/>
      <c r="AZ218" s="12"/>
      <c r="BA218" s="12"/>
      <c r="BB218" s="12"/>
      <c r="BC218" s="12"/>
      <c r="BD218" s="12"/>
      <c r="BE218" s="12"/>
      <c r="BF218" s="12"/>
      <c r="BG218" s="12"/>
      <c r="BH218" s="12"/>
      <c r="BI218" s="13"/>
    </row>
    <row r="219" spans="1:61" hidden="1">
      <c r="A219" s="212" t="s">
        <v>493</v>
      </c>
      <c r="B219" s="943"/>
      <c r="C219" s="943"/>
      <c r="D219" s="943"/>
      <c r="E219" s="14"/>
      <c r="F219" s="22" t="s">
        <v>424</v>
      </c>
      <c r="G219" s="214" t="str">
        <f t="shared" si="104"/>
        <v/>
      </c>
      <c r="H219" s="214" t="str">
        <f t="shared" si="104"/>
        <v/>
      </c>
      <c r="I219" s="214"/>
      <c r="J219" s="214" t="str">
        <f t="shared" si="104"/>
        <v/>
      </c>
      <c r="K219" s="214" t="str">
        <f t="shared" si="104"/>
        <v/>
      </c>
      <c r="L219" s="214"/>
      <c r="M219" s="214" t="str">
        <f t="shared" si="104"/>
        <v/>
      </c>
      <c r="N219" s="142" t="str">
        <f t="shared" si="104"/>
        <v/>
      </c>
      <c r="O219" s="44"/>
      <c r="P219" s="1493">
        <f t="shared" si="102"/>
        <v>0</v>
      </c>
      <c r="Q219" s="214">
        <f t="shared" si="102"/>
        <v>0</v>
      </c>
      <c r="R219" s="230"/>
      <c r="S219" s="214">
        <f t="shared" si="103"/>
        <v>0</v>
      </c>
      <c r="T219" s="214">
        <f t="shared" si="103"/>
        <v>0</v>
      </c>
      <c r="U219" s="230"/>
      <c r="V219" s="214"/>
      <c r="W219" s="1494">
        <f t="shared" si="105"/>
        <v>0</v>
      </c>
      <c r="Y219" s="12"/>
      <c r="Z219" s="453"/>
      <c r="AA219" s="453"/>
      <c r="AB219" s="67"/>
      <c r="AC219" s="995"/>
      <c r="AD219" s="1429"/>
      <c r="AE219" s="1418"/>
      <c r="AF219" s="1418"/>
      <c r="AG219" s="1418"/>
      <c r="AH219" s="1418"/>
      <c r="AI219" s="1418"/>
      <c r="AJ219" s="1388"/>
      <c r="AK219" s="1408"/>
      <c r="AL219" s="1416"/>
      <c r="AM219" s="1416"/>
      <c r="AN219" s="16"/>
      <c r="AO219" s="13"/>
      <c r="AP219" s="13"/>
      <c r="AQ219" s="13"/>
      <c r="AR219" s="1405"/>
      <c r="AS219" s="67"/>
      <c r="AT219" s="995"/>
      <c r="AU219" s="12"/>
      <c r="AV219" s="12"/>
      <c r="AW219" s="12"/>
      <c r="AX219" s="12"/>
      <c r="AY219" s="12"/>
      <c r="AZ219" s="12"/>
      <c r="BA219" s="12"/>
      <c r="BB219" s="12"/>
      <c r="BC219" s="12"/>
      <c r="BD219" s="12"/>
      <c r="BE219" s="12"/>
      <c r="BF219" s="12"/>
      <c r="BG219" s="12"/>
      <c r="BH219" s="12"/>
      <c r="BI219" s="13"/>
    </row>
    <row r="220" spans="1:61" ht="18" hidden="1" thickBot="1">
      <c r="A220" s="212" t="s">
        <v>493</v>
      </c>
      <c r="B220" s="943"/>
      <c r="C220" s="943"/>
      <c r="D220" s="943"/>
      <c r="E220" s="14"/>
      <c r="F220" s="22" t="s">
        <v>425</v>
      </c>
      <c r="G220" s="214" t="str">
        <f t="shared" si="104"/>
        <v/>
      </c>
      <c r="H220" s="214" t="str">
        <f t="shared" si="104"/>
        <v/>
      </c>
      <c r="I220" s="214"/>
      <c r="J220" s="214" t="str">
        <f t="shared" si="104"/>
        <v/>
      </c>
      <c r="K220" s="214" t="str">
        <f t="shared" si="104"/>
        <v/>
      </c>
      <c r="L220" s="214"/>
      <c r="M220" s="214" t="str">
        <f t="shared" si="104"/>
        <v/>
      </c>
      <c r="N220" s="142" t="str">
        <f t="shared" si="104"/>
        <v/>
      </c>
      <c r="O220" s="44"/>
      <c r="P220" s="1495">
        <f t="shared" si="102"/>
        <v>0</v>
      </c>
      <c r="Q220" s="1496">
        <f t="shared" si="102"/>
        <v>0</v>
      </c>
      <c r="R220" s="1497"/>
      <c r="S220" s="1496">
        <f t="shared" si="103"/>
        <v>0</v>
      </c>
      <c r="T220" s="1496">
        <f t="shared" si="103"/>
        <v>0</v>
      </c>
      <c r="U220" s="1497"/>
      <c r="V220" s="1496"/>
      <c r="W220" s="1498">
        <f t="shared" si="105"/>
        <v>0</v>
      </c>
      <c r="Y220" s="12"/>
      <c r="Z220" s="453"/>
      <c r="AA220" s="453"/>
      <c r="AB220" s="67"/>
      <c r="AC220" s="995"/>
      <c r="AD220" s="891" t="s">
        <v>396</v>
      </c>
      <c r="AE220" s="1383" t="s">
        <v>1451</v>
      </c>
      <c r="AF220" s="1444"/>
      <c r="AG220" s="1446">
        <f>F404</f>
        <v>9.9640728305742385</v>
      </c>
      <c r="AH220" s="1387" t="s">
        <v>132</v>
      </c>
      <c r="AI220" s="1412"/>
      <c r="AJ220" s="1388"/>
      <c r="AK220" s="1408"/>
      <c r="AL220" s="1416"/>
      <c r="AM220" s="1416"/>
      <c r="AN220" s="16"/>
      <c r="AO220" s="13"/>
      <c r="AP220" s="13"/>
      <c r="AQ220" s="13"/>
      <c r="AR220" s="1405"/>
      <c r="AS220" s="67"/>
      <c r="AT220" s="995"/>
      <c r="AU220" s="12"/>
      <c r="AV220" s="12"/>
      <c r="AW220" s="12"/>
      <c r="AX220" s="12"/>
      <c r="AY220" s="12"/>
      <c r="AZ220" s="12"/>
      <c r="BA220" s="12"/>
      <c r="BB220" s="12"/>
      <c r="BC220" s="12"/>
      <c r="BD220" s="12"/>
      <c r="BE220" s="12"/>
      <c r="BF220" s="12"/>
      <c r="BG220" s="12"/>
      <c r="BH220" s="12"/>
      <c r="BI220" s="13"/>
    </row>
    <row r="221" spans="1:61" ht="18.5" hidden="1" thickTop="1" thickBot="1">
      <c r="A221" s="212" t="s">
        <v>493</v>
      </c>
      <c r="B221" s="943"/>
      <c r="C221" s="943"/>
      <c r="D221" s="943"/>
      <c r="E221" s="14"/>
      <c r="F221" s="43"/>
      <c r="G221" s="55"/>
      <c r="H221" s="55"/>
      <c r="I221" s="53"/>
      <c r="J221" s="55"/>
      <c r="K221" s="56"/>
      <c r="L221" s="148"/>
      <c r="M221" s="54"/>
      <c r="N221" s="16"/>
      <c r="O221" s="44"/>
      <c r="P221" s="1499"/>
      <c r="Q221" s="1500"/>
      <c r="R221" s="1500"/>
      <c r="S221" s="1500"/>
      <c r="T221" s="1500"/>
      <c r="U221" s="1500"/>
      <c r="V221" s="1501"/>
      <c r="W221" s="1502"/>
      <c r="X221" s="39"/>
      <c r="Y221" s="12"/>
      <c r="Z221" s="453"/>
      <c r="AA221" s="453"/>
      <c r="AB221" s="67"/>
      <c r="AC221" s="995"/>
      <c r="AD221" s="1435"/>
      <c r="AE221" s="1416"/>
      <c r="AF221" s="1419"/>
      <c r="AG221" s="1419"/>
      <c r="AH221" s="1419"/>
      <c r="AI221" s="1418"/>
      <c r="AJ221" s="1418"/>
      <c r="AK221" s="1417"/>
      <c r="AL221" s="1416"/>
      <c r="AM221" s="1416"/>
      <c r="AN221" s="16"/>
      <c r="AO221" s="13"/>
      <c r="AP221" s="13"/>
      <c r="AQ221" s="13"/>
      <c r="AR221" s="1405"/>
      <c r="AS221" s="67"/>
      <c r="AT221" s="995"/>
      <c r="AU221" s="12"/>
      <c r="AV221" s="12"/>
      <c r="AW221" s="12"/>
      <c r="AX221" s="12"/>
      <c r="AY221" s="12"/>
      <c r="AZ221" s="12"/>
      <c r="BA221" s="12"/>
      <c r="BB221" s="12"/>
      <c r="BC221" s="12"/>
      <c r="BD221" s="12"/>
      <c r="BE221" s="12"/>
      <c r="BF221" s="12"/>
      <c r="BG221" s="12"/>
      <c r="BH221" s="12"/>
      <c r="BI221" s="13"/>
    </row>
    <row r="222" spans="1:61">
      <c r="A222" s="212"/>
      <c r="B222" s="943"/>
      <c r="C222" s="943"/>
      <c r="D222" s="943"/>
      <c r="E222" s="14"/>
      <c r="F222" s="43" t="s">
        <v>517</v>
      </c>
      <c r="G222" s="17"/>
      <c r="H222" s="17"/>
      <c r="I222" s="1"/>
      <c r="J222" s="12"/>
      <c r="K222" s="36"/>
      <c r="L222" s="148"/>
      <c r="M222" s="54"/>
      <c r="N222" s="16"/>
      <c r="O222" s="44"/>
      <c r="P222" s="899"/>
      <c r="Q222" s="899"/>
      <c r="R222" s="899"/>
      <c r="S222" s="899"/>
      <c r="T222" s="899"/>
      <c r="U222" s="899"/>
      <c r="V222" s="39"/>
      <c r="W222" s="39"/>
      <c r="X222" s="39"/>
      <c r="Y222" s="12"/>
      <c r="Z222" s="453"/>
      <c r="AA222" s="453"/>
      <c r="AB222" s="67"/>
      <c r="AC222" s="995"/>
      <c r="AD222" s="1432"/>
      <c r="AE222" s="1692" t="str">
        <f>_xlfn.CONCAT("Informatief: Klimaatmonitor en DPG in ",$P$24," ",$P$25)</f>
        <v>Informatief: Klimaatmonitor en DPG in GPR 4.4 bestaande bouw</v>
      </c>
      <c r="AF222" s="1452"/>
      <c r="AG222" s="1694" t="str">
        <f>_xlfn.CONCAT("Grenswaarde GPR bij doelmethode ",P27)</f>
        <v>Grenswaarde GPR bij doelmethode ISSO 75.3</v>
      </c>
      <c r="AH222" s="1695"/>
      <c r="AI222" s="1453"/>
      <c r="AJ222" s="1694" t="str">
        <f>_xlfn.CONCAT("Broeikasgas-emissie tgv")</f>
        <v>Broeikasgas-emissie tgv</v>
      </c>
      <c r="AK222" s="1695"/>
      <c r="AL222" s="1695"/>
      <c r="AM222" s="1453"/>
      <c r="AN222" s="1694" t="s">
        <v>1711</v>
      </c>
      <c r="AO222" s="1695"/>
      <c r="AP222" s="1695"/>
      <c r="AQ222" s="13"/>
      <c r="AR222" s="1405"/>
      <c r="AS222" s="67"/>
      <c r="AT222" s="995"/>
      <c r="AU222" s="12"/>
      <c r="AV222" s="12"/>
      <c r="AW222" s="12"/>
      <c r="AX222" s="12"/>
      <c r="AY222" s="12"/>
      <c r="AZ222" s="12"/>
      <c r="BA222" s="12"/>
      <c r="BB222" s="12"/>
      <c r="BC222" s="12"/>
      <c r="BD222" s="12"/>
      <c r="BE222" s="12"/>
      <c r="BF222" s="12"/>
      <c r="BG222" s="12"/>
      <c r="BH222" s="12"/>
      <c r="BI222" s="13"/>
    </row>
    <row r="223" spans="1:61" s="211" customFormat="1">
      <c r="A223" s="212"/>
      <c r="B223" s="1092"/>
      <c r="C223" s="1092"/>
      <c r="D223" s="1092"/>
      <c r="E223" s="210"/>
      <c r="F223" s="911"/>
      <c r="G223" s="911"/>
      <c r="H223" s="911"/>
      <c r="I223" s="911"/>
      <c r="J223" s="911"/>
      <c r="K223" s="911"/>
      <c r="L223" s="911"/>
      <c r="M223" s="911"/>
      <c r="N223" s="918"/>
      <c r="O223" s="44"/>
      <c r="P223" s="899"/>
      <c r="Q223" s="899"/>
      <c r="R223" s="899"/>
      <c r="S223" s="899"/>
      <c r="T223" s="899"/>
      <c r="U223" s="899"/>
      <c r="V223" s="39"/>
      <c r="W223" s="39"/>
      <c r="X223" s="39"/>
      <c r="Y223" s="12"/>
      <c r="Z223" s="453"/>
      <c r="AA223" s="453"/>
      <c r="AB223" s="1394"/>
      <c r="AC223" s="1002"/>
      <c r="AD223" s="1436"/>
      <c r="AE223" s="1693"/>
      <c r="AF223" s="1453"/>
      <c r="AG223" s="1695"/>
      <c r="AH223" s="1695"/>
      <c r="AI223" s="1454"/>
      <c r="AJ223" s="1695"/>
      <c r="AK223" s="1695"/>
      <c r="AL223" s="1695"/>
      <c r="AM223" s="1454"/>
      <c r="AN223" s="1695"/>
      <c r="AO223" s="1695"/>
      <c r="AP223" s="1695"/>
      <c r="AQ223" s="1409"/>
      <c r="AR223" s="1409"/>
      <c r="AS223" s="1394"/>
      <c r="AT223" s="1002"/>
      <c r="AU223" s="12"/>
      <c r="AV223" s="12"/>
      <c r="AW223" s="12"/>
      <c r="AX223" s="12"/>
      <c r="AY223" s="12"/>
      <c r="AZ223" s="12"/>
      <c r="BA223" s="12"/>
      <c r="BB223" s="12"/>
      <c r="BC223" s="12"/>
      <c r="BD223" s="12"/>
      <c r="BE223" s="12"/>
      <c r="BF223" s="12"/>
      <c r="BG223" s="12"/>
      <c r="BH223" s="12"/>
      <c r="BI223" s="13"/>
    </row>
    <row r="224" spans="1:61" ht="30.75" customHeight="1">
      <c r="B224" s="943"/>
      <c r="C224" s="943"/>
      <c r="D224" s="943"/>
      <c r="E224" s="14"/>
      <c r="F224" s="911"/>
      <c r="G224" s="911" t="str">
        <f>INDEX(tabellen_EMD!$C$269:$X$274,MATCH(G$226,tabellen_EMD!$C$269:$C$274,0),MATCH(EP_versie_scope_functie_methode,tabellen_EMD!$C$269:$X$269,0))</f>
        <v>aardgas</v>
      </c>
      <c r="H224" s="911" t="str">
        <f>INDEX(tabellen_EMD!$C$269:$X$274,MATCH(H$226,tabellen_EMD!$C$269:$C$274,0),MATCH(EP_versie_scope_functie_methode,tabellen_EMD!$C$269:$X$269,0))</f>
        <v>elektriciteit: gebruik gebouwgebonden installaties</v>
      </c>
      <c r="I224" s="911"/>
      <c r="J224" s="911" t="str">
        <f>INDEX(tabellen_EMD!$C$269:$X$274,MATCH(J$226,tabellen_EMD!$C$269:$C$274,0),MATCH(EP_versie_scope_functie_methode,tabellen_EMD!$C$269:$X$269,0))</f>
        <v>elektriciteit: opgewekt</v>
      </c>
      <c r="K224" s="911" t="str">
        <f>INDEX(tabellen_EMD!$C$269:$X$274,MATCH(K$226,tabellen_EMD!$C$269:$C$274,0),MATCH(EP_versie_scope_functie_methode,tabellen_EMD!$C$269:$X$269,0))</f>
        <v>externe warmte</v>
      </c>
      <c r="L224" s="911"/>
      <c r="M224" s="911" t="str">
        <f>INDEX(tabellen_EMD!$C$269:$X$274,MATCH(M$226,tabellen_EMD!$C$269:$C$274,0),MATCH(EP_versie_scope_functie_methode,tabellen_EMD!$C$269:$X$269,0))</f>
        <v>hout/biomassa</v>
      </c>
      <c r="N224" s="918" t="s">
        <v>1594</v>
      </c>
      <c r="O224" s="44"/>
      <c r="P224" s="899"/>
      <c r="Q224" s="899"/>
      <c r="R224" s="899"/>
      <c r="S224" s="899"/>
      <c r="T224" s="899"/>
      <c r="U224" s="899"/>
      <c r="V224" s="39"/>
      <c r="W224" s="39"/>
      <c r="X224" s="39"/>
      <c r="Y224" s="12"/>
      <c r="Z224" s="453"/>
      <c r="AA224" s="453"/>
      <c r="AB224" s="67"/>
      <c r="AC224" s="995"/>
      <c r="AD224" s="891"/>
      <c r="AE224" s="891"/>
      <c r="AF224" s="891"/>
      <c r="AG224" s="1420" t="s">
        <v>1635</v>
      </c>
      <c r="AH224" s="1420" t="s">
        <v>1636</v>
      </c>
      <c r="AI224" s="1415"/>
      <c r="AJ224" s="1420" t="str">
        <f>_xlfn.CONCAT("energie
(",$P$27,")")</f>
        <v>energie
(ISSO 75.3)</v>
      </c>
      <c r="AK224" s="1420" t="s">
        <v>1637</v>
      </c>
      <c r="AL224" s="1420" t="s">
        <v>1391</v>
      </c>
      <c r="AM224" s="1420"/>
      <c r="AN224" s="1420" t="s">
        <v>538</v>
      </c>
      <c r="AO224" s="1420" t="s">
        <v>431</v>
      </c>
      <c r="AP224" s="1420" t="s">
        <v>456</v>
      </c>
      <c r="AQ224" s="1420"/>
      <c r="AR224" s="1420" t="s">
        <v>484</v>
      </c>
      <c r="AS224" s="67"/>
      <c r="AT224" s="995"/>
      <c r="AU224" s="12"/>
      <c r="AV224" s="12"/>
      <c r="AW224" s="12"/>
      <c r="AX224" s="12"/>
      <c r="AY224" s="12"/>
      <c r="AZ224" s="12"/>
      <c r="BA224" s="12"/>
      <c r="BB224" s="12"/>
      <c r="BC224" s="12"/>
      <c r="BD224" s="12"/>
      <c r="BE224" s="12"/>
      <c r="BF224" s="12"/>
      <c r="BG224" s="12"/>
      <c r="BH224" s="12"/>
      <c r="BI224" s="13"/>
    </row>
    <row r="225" spans="1:61" s="211" customFormat="1" ht="32">
      <c r="A225" s="1091"/>
      <c r="B225" s="1092"/>
      <c r="C225" s="1092"/>
      <c r="D225" s="1092"/>
      <c r="E225" s="210"/>
      <c r="F225" s="911" t="s">
        <v>204</v>
      </c>
      <c r="G225" s="911" t="str">
        <f>INDEX(tabellen_EMD!$C$277:$Z$282,MATCH(G$204,tabellen_EMD!$C$285:$C$290,0),MATCH(EP_versie_scope_functie_methode,tabellen_EMD!$C$285:$Z$285,0))</f>
        <v>m3</v>
      </c>
      <c r="H225" s="911" t="str">
        <f>INDEX(tabellen_EMD!$C$277:$Z$282,MATCH(H$204,tabellen_EMD!$C$285:$C$290,0),MATCH(EP_versie_scope_functie_methode,tabellen_EMD!$C$285:$Z$285,0))</f>
        <v>kWh</v>
      </c>
      <c r="I225" s="911"/>
      <c r="J225" s="911" t="str">
        <f>INDEX(tabellen_EMD!$C$277:$Z$282,MATCH(J$204,tabellen_EMD!$C$285:$C$290,0),MATCH(EP_versie_scope_functie_methode,tabellen_EMD!$C$285:$Z$285,0))</f>
        <v>kWh</v>
      </c>
      <c r="K225" s="911" t="str">
        <f>INDEX(tabellen_EMD!$C$277:$Z$282,MATCH(K$204,tabellen_EMD!$C$285:$C$290,0),MATCH(EP_versie_scope_functie_methode,tabellen_EMD!$C$285:$Z$285,0))</f>
        <v>GJ</v>
      </c>
      <c r="L225" s="911"/>
      <c r="M225" s="911" t="str">
        <f>INDEX(tabellen_EMD!$C$277:$Z$282,MATCH(M$204,tabellen_EMD!$C$285:$C$290,0),MATCH(EP_versie_scope_functie_methode,tabellen_EMD!$C$285:$Z$285,0))</f>
        <v>MJ</v>
      </c>
      <c r="N225" s="911" t="s">
        <v>562</v>
      </c>
      <c r="O225" s="44"/>
      <c r="P225" s="899"/>
      <c r="Q225" s="899"/>
      <c r="R225" s="899"/>
      <c r="S225" s="899"/>
      <c r="T225" s="899"/>
      <c r="U225" s="899"/>
      <c r="V225" s="39"/>
      <c r="W225" s="39"/>
      <c r="X225" s="39"/>
      <c r="Y225" s="12"/>
      <c r="Z225" s="453"/>
      <c r="AA225" s="453"/>
      <c r="AB225" s="1394"/>
      <c r="AC225" s="1002"/>
      <c r="AD225" s="1436"/>
      <c r="AE225" s="1436"/>
      <c r="AF225" s="1436"/>
      <c r="AG225" s="1420" t="s">
        <v>440</v>
      </c>
      <c r="AH225" s="1420" t="s">
        <v>440</v>
      </c>
      <c r="AI225" s="1415"/>
      <c r="AJ225" s="1420" t="s">
        <v>1595</v>
      </c>
      <c r="AK225" s="1420" t="s">
        <v>1595</v>
      </c>
      <c r="AL225" s="1420" t="s">
        <v>1595</v>
      </c>
      <c r="AM225" s="1420"/>
      <c r="AN225" s="1420" t="s">
        <v>440</v>
      </c>
      <c r="AO225" s="1420" t="s">
        <v>440</v>
      </c>
      <c r="AP225" s="1420" t="s">
        <v>440</v>
      </c>
      <c r="AQ225" s="1420"/>
      <c r="AR225" s="1420" t="s">
        <v>132</v>
      </c>
      <c r="AS225" s="1394"/>
      <c r="AT225" s="1002"/>
      <c r="AU225" s="12"/>
      <c r="AV225" s="12"/>
      <c r="AW225" s="12"/>
      <c r="AX225" s="12"/>
      <c r="AY225" s="12"/>
      <c r="AZ225" s="12"/>
      <c r="BA225" s="12"/>
      <c r="BB225" s="12"/>
      <c r="BC225" s="12"/>
      <c r="BD225" s="12"/>
      <c r="BE225" s="12"/>
      <c r="BF225" s="12"/>
      <c r="BG225" s="12"/>
      <c r="BH225" s="12"/>
      <c r="BI225" s="13"/>
    </row>
    <row r="226" spans="1:61" ht="32" hidden="1">
      <c r="A226" s="212" t="s">
        <v>493</v>
      </c>
      <c r="B226" s="943"/>
      <c r="C226" s="943"/>
      <c r="D226" s="943"/>
      <c r="E226" s="14"/>
      <c r="F226" s="911" t="s">
        <v>458</v>
      </c>
      <c r="G226" s="918" t="str">
        <f>tabellen_EMD!$C$302</f>
        <v>aardgas</v>
      </c>
      <c r="H226" s="918" t="str">
        <f>tabellen_EMD!$C$303</f>
        <v>elektriciteit</v>
      </c>
      <c r="I226" s="911"/>
      <c r="J226" s="918" t="str">
        <f>tabellen_EMD!$C$304</f>
        <v>elektriciteit opgewekt</v>
      </c>
      <c r="K226" s="918" t="str">
        <f>tabellen_EMD!$C$305</f>
        <v>externe warmte</v>
      </c>
      <c r="L226" s="911"/>
      <c r="M226" s="918" t="str">
        <f>tabellen_EMD!$C$306</f>
        <v>hout / biomassa</v>
      </c>
      <c r="N226" s="918" t="s">
        <v>1594</v>
      </c>
      <c r="O226" s="44"/>
      <c r="P226" s="899"/>
      <c r="Q226" s="899"/>
      <c r="R226" s="899"/>
      <c r="S226" s="899"/>
      <c r="T226" s="899"/>
      <c r="U226" s="899"/>
      <c r="V226" s="39"/>
      <c r="W226" s="39"/>
      <c r="X226" s="39"/>
      <c r="Y226" s="12"/>
      <c r="Z226" s="453"/>
      <c r="AA226" s="453"/>
      <c r="AB226" s="67"/>
      <c r="AC226" s="995"/>
      <c r="AD226" s="1432"/>
      <c r="AE226" s="1432"/>
      <c r="AF226" s="1432"/>
      <c r="AG226" s="1432"/>
      <c r="AH226" s="1432"/>
      <c r="AI226" s="1432"/>
      <c r="AJ226" s="1432"/>
      <c r="AK226" s="1432"/>
      <c r="AL226" s="1432"/>
      <c r="AM226" s="1432"/>
      <c r="AN226" s="1432"/>
      <c r="AO226" s="1432"/>
      <c r="AP226" s="1432"/>
      <c r="AQ226" s="1432"/>
      <c r="AR226" s="1432"/>
      <c r="AS226" s="67"/>
      <c r="AT226" s="995"/>
      <c r="AU226" s="12"/>
      <c r="AV226" s="12"/>
      <c r="AW226" s="12"/>
      <c r="AX226" s="12"/>
      <c r="AY226" s="12"/>
      <c r="AZ226" s="12"/>
      <c r="BA226" s="12"/>
      <c r="BB226" s="12"/>
      <c r="BC226" s="12"/>
      <c r="BD226" s="12"/>
      <c r="BE226" s="12"/>
      <c r="BF226" s="12"/>
      <c r="BG226" s="12"/>
      <c r="BH226" s="12"/>
      <c r="BI226" s="13"/>
    </row>
    <row r="227" spans="1:61" s="211" customFormat="1" hidden="1">
      <c r="A227" s="212" t="s">
        <v>493</v>
      </c>
      <c r="B227" s="1092"/>
      <c r="C227" s="1092"/>
      <c r="D227" s="1092"/>
      <c r="E227" s="210"/>
      <c r="F227" s="22" t="s">
        <v>553</v>
      </c>
      <c r="G227" s="186">
        <f>INDEX(tabellen_EMD!$C$301:$R$306,MATCH(G$226,tabellen_EMD!$C$301:$C$306,0),MATCH($P$24,tabellen_EMD!$C$301:$R$301,0))</f>
        <v>0.12266000000000001</v>
      </c>
      <c r="H227" s="186">
        <f>INDEX(tabellen_EMD!$C$301:$R$306,MATCH(H$226,tabellen_EMD!$C$301:$C$306,0),MATCH($P$24,tabellen_EMD!$C$301:$R$301,0))</f>
        <v>3.6199000000000002E-2</v>
      </c>
      <c r="I227" s="911"/>
      <c r="J227" s="186">
        <f>INDEX(tabellen_EMD!$C$301:$R$306,MATCH(J$226,tabellen_EMD!$C$301:$C$306,0),MATCH($P$24,tabellen_EMD!$C$301:$R$301,0))</f>
        <v>-3.6199000000000002E-2</v>
      </c>
      <c r="K227" s="186">
        <f>INDEX(tabellen_EMD!$C$301:$R$306,MATCH(K$226,tabellen_EMD!$C$301:$C$306,0),MATCH($P$24,tabellen_EMD!$C$301:$R$301,0))</f>
        <v>5.2314472561842482</v>
      </c>
      <c r="L227" s="911"/>
      <c r="M227" s="186">
        <f>INDEX(tabellen_EMD!$C$301:$R$306,MATCH(M$226,tabellen_EMD!$C$301:$C$306,0),MATCH($P$24,tabellen_EMD!$C$301:$R$301,0))</f>
        <v>7.2647999999999992E-3</v>
      </c>
      <c r="N227" s="911"/>
      <c r="O227" s="44"/>
      <c r="P227" s="899"/>
      <c r="Q227" s="899"/>
      <c r="R227" s="899"/>
      <c r="S227" s="899"/>
      <c r="T227" s="899"/>
      <c r="U227" s="899"/>
      <c r="V227" s="39"/>
      <c r="W227" s="39"/>
      <c r="X227" s="39"/>
      <c r="Y227" s="12"/>
      <c r="Z227" s="453"/>
      <c r="AA227" s="453"/>
      <c r="AB227" s="1394"/>
      <c r="AC227" s="1002"/>
      <c r="AD227" s="1436"/>
      <c r="AE227" s="1436"/>
      <c r="AF227" s="1436"/>
      <c r="AG227" s="1436"/>
      <c r="AH227" s="1436"/>
      <c r="AI227" s="1436"/>
      <c r="AJ227" s="1436"/>
      <c r="AK227" s="1436"/>
      <c r="AL227" s="1436"/>
      <c r="AM227" s="1436"/>
      <c r="AN227" s="1436"/>
      <c r="AO227" s="1436"/>
      <c r="AP227" s="1436"/>
      <c r="AQ227" s="1436"/>
      <c r="AR227" s="1436"/>
      <c r="AS227" s="1394"/>
      <c r="AT227" s="1002"/>
      <c r="AU227" s="12"/>
      <c r="AV227" s="12"/>
      <c r="AW227" s="12"/>
      <c r="AX227" s="12"/>
      <c r="AY227" s="12"/>
      <c r="AZ227" s="12"/>
      <c r="BA227" s="12"/>
      <c r="BB227" s="12"/>
      <c r="BC227" s="12"/>
      <c r="BD227" s="12"/>
      <c r="BE227" s="12"/>
      <c r="BF227" s="12"/>
      <c r="BG227" s="12"/>
      <c r="BH227" s="12"/>
      <c r="BI227" s="13"/>
    </row>
    <row r="228" spans="1:61" s="211" customFormat="1" hidden="1">
      <c r="A228" s="212" t="s">
        <v>493</v>
      </c>
      <c r="B228" s="1092"/>
      <c r="C228" s="1092"/>
      <c r="D228" s="1092"/>
      <c r="E228" s="210"/>
      <c r="F228" s="22" t="s">
        <v>204</v>
      </c>
      <c r="G228" s="186" t="str">
        <f>INDEX(tabellen_EMD!$C$301:$R$306,MATCH(G$226,tabellen_EMD!$C$301:$C$306,0),MATCH($P$24&amp;" | eenheid",tabellen_EMD!$C$301:$R$301,0))</f>
        <v>euro/m3</v>
      </c>
      <c r="H228" s="186" t="str">
        <f>INDEX(tabellen_EMD!$C$301:$R$306,MATCH(H$226,tabellen_EMD!$C$301:$C$306,0),MATCH($P$24&amp;" | eenheid",tabellen_EMD!$C$301:$R$301,0))</f>
        <v>euro/kWh</v>
      </c>
      <c r="I228" s="911"/>
      <c r="J228" s="186" t="str">
        <f>INDEX(tabellen_EMD!$C$301:$R$306,MATCH(J$226,tabellen_EMD!$C$301:$C$306,0),MATCH($P$24&amp;" | eenheid",tabellen_EMD!$C$301:$R$301,0))</f>
        <v>euro/kWh</v>
      </c>
      <c r="K228" s="186" t="str">
        <f>INDEX(tabellen_EMD!$C$301:$R$306,MATCH(K$226,tabellen_EMD!$C$301:$C$306,0),MATCH($P$24&amp;" | eenheid",tabellen_EMD!$C$301:$R$301,0))</f>
        <v>euro/GJ</v>
      </c>
      <c r="L228" s="911"/>
      <c r="M228" s="186" t="str">
        <f>INDEX(tabellen_EMD!$C$301:$R$306,MATCH(M$226,tabellen_EMD!$C$301:$C$306,0),MATCH($P$24&amp;" | eenheid",tabellen_EMD!$C$301:$R$301,0))</f>
        <v>euro/kg</v>
      </c>
      <c r="N228" s="911"/>
      <c r="O228" s="44"/>
      <c r="P228" s="899"/>
      <c r="Q228" s="899"/>
      <c r="R228" s="899"/>
      <c r="S228" s="899"/>
      <c r="T228" s="899"/>
      <c r="U228" s="899"/>
      <c r="V228" s="39"/>
      <c r="W228" s="39"/>
      <c r="X228" s="39"/>
      <c r="Y228" s="12"/>
      <c r="Z228" s="453"/>
      <c r="AA228" s="453"/>
      <c r="AB228" s="1394"/>
      <c r="AC228" s="1002"/>
      <c r="AD228" s="1436"/>
      <c r="AE228" s="1436"/>
      <c r="AF228" s="1436"/>
      <c r="AG228" s="1436"/>
      <c r="AH228" s="1436"/>
      <c r="AI228" s="1436"/>
      <c r="AJ228" s="1436"/>
      <c r="AK228" s="1436"/>
      <c r="AL228" s="1436"/>
      <c r="AM228" s="1436"/>
      <c r="AN228" s="1436"/>
      <c r="AO228" s="1436"/>
      <c r="AP228" s="1436"/>
      <c r="AQ228" s="1436"/>
      <c r="AR228" s="1436"/>
      <c r="AS228" s="1394"/>
      <c r="AT228" s="1002"/>
      <c r="AU228" s="12"/>
      <c r="AV228" s="12"/>
      <c r="AW228" s="12"/>
      <c r="AX228" s="12"/>
      <c r="AY228" s="12"/>
      <c r="AZ228" s="12"/>
      <c r="BA228" s="12"/>
      <c r="BB228" s="12"/>
      <c r="BC228" s="12"/>
      <c r="BD228" s="12"/>
      <c r="BE228" s="12"/>
      <c r="BF228" s="12"/>
      <c r="BG228" s="12"/>
      <c r="BH228" s="12"/>
      <c r="BI228" s="13"/>
    </row>
    <row r="229" spans="1:61" s="211" customFormat="1" hidden="1">
      <c r="A229" s="212" t="s">
        <v>493</v>
      </c>
      <c r="B229" s="1092"/>
      <c r="C229" s="1092"/>
      <c r="D229" s="1092"/>
      <c r="E229" s="210"/>
      <c r="F229" s="22" t="s">
        <v>510</v>
      </c>
      <c r="G229" s="186">
        <f>INDEX(tabellen_EMD!$C$301:$R$306,MATCH(G$226,tabellen_EMD!$C$301:$C$306,0),MATCH($P$24&amp;" | GWP E",tabellen_EMD!$C$301:$R$301,0))</f>
        <v>2.1019999999999999</v>
      </c>
      <c r="H229" s="186">
        <f>INDEX(tabellen_EMD!$C$301:$R$306,MATCH(H$226,tabellen_EMD!$C$301:$C$306,0),MATCH($P$24&amp;" | GWP E",tabellen_EMD!$C$301:$R$301,0))</f>
        <v>0.48699999999999999</v>
      </c>
      <c r="I229" s="911"/>
      <c r="J229" s="186">
        <f>INDEX(tabellen_EMD!$C$301:$R$306,MATCH(J$226,tabellen_EMD!$C$301:$C$306,0),MATCH($P$24&amp;" | GWP E",tabellen_EMD!$C$301:$R$301,0))</f>
        <v>-0.48699999999999999</v>
      </c>
      <c r="K229" s="186">
        <f>INDEX(tabellen_EMD!$C$301:$R$306,MATCH(K$226,tabellen_EMD!$C$301:$C$306,0),MATCH($P$24&amp;" | GWP E",tabellen_EMD!$C$301:$R$301,0))</f>
        <v>89.650270116576607</v>
      </c>
      <c r="L229" s="911"/>
      <c r="M229" s="186">
        <f>INDEX(tabellen_EMD!$C$301:$R$306,MATCH(M$226,tabellen_EMD!$C$301:$C$306,0),MATCH($P$24&amp;" | GWP E",tabellen_EMD!$C$301:$R$301,0))</f>
        <v>3.9581999999999999E-2</v>
      </c>
      <c r="N229" s="911"/>
      <c r="O229" s="44"/>
      <c r="P229" s="899"/>
      <c r="Q229" s="899"/>
      <c r="R229" s="899"/>
      <c r="S229" s="899"/>
      <c r="T229" s="899"/>
      <c r="U229" s="899"/>
      <c r="V229" s="39"/>
      <c r="W229" s="39"/>
      <c r="X229" s="39"/>
      <c r="Y229" s="12"/>
      <c r="Z229" s="453"/>
      <c r="AA229" s="453"/>
      <c r="AB229" s="1394"/>
      <c r="AC229" s="1002"/>
      <c r="AD229" s="1436"/>
      <c r="AE229" s="1436"/>
      <c r="AF229" s="1436"/>
      <c r="AG229" s="1436"/>
      <c r="AH229" s="1436"/>
      <c r="AI229" s="1436"/>
      <c r="AJ229" s="1436"/>
      <c r="AK229" s="1436"/>
      <c r="AL229" s="1436"/>
      <c r="AM229" s="1436"/>
      <c r="AN229" s="1436"/>
      <c r="AO229" s="1436"/>
      <c r="AP229" s="1436"/>
      <c r="AQ229" s="1436"/>
      <c r="AR229" s="1436"/>
      <c r="AS229" s="1394"/>
      <c r="AT229" s="1002"/>
      <c r="AU229" s="12"/>
      <c r="AV229" s="12"/>
      <c r="AW229" s="12"/>
      <c r="AX229" s="12"/>
      <c r="AY229" s="12"/>
      <c r="AZ229" s="12"/>
      <c r="BA229" s="12"/>
      <c r="BB229" s="12"/>
      <c r="BC229" s="12"/>
      <c r="BD229" s="12"/>
      <c r="BE229" s="12"/>
      <c r="BF229" s="12"/>
      <c r="BG229" s="12"/>
      <c r="BH229" s="12"/>
      <c r="BI229" s="13"/>
    </row>
    <row r="230" spans="1:61" s="211" customFormat="1" hidden="1">
      <c r="A230" s="212" t="s">
        <v>493</v>
      </c>
      <c r="B230" s="1092"/>
      <c r="C230" s="1092"/>
      <c r="D230" s="1092"/>
      <c r="E230" s="210"/>
      <c r="F230" s="22" t="s">
        <v>204</v>
      </c>
      <c r="G230" s="186" t="str">
        <f>INDEX(tabellen_EMD!$C$301:$S$306,MATCH(G$226,tabellen_EMD!$C$301:$C$306,0),MATCH($P$24&amp;" | GWP eenheid",tabellen_EMD!$C$301:$S$301,0))</f>
        <v>kg/m3</v>
      </c>
      <c r="H230" s="186" t="str">
        <f>INDEX(tabellen_EMD!$C$301:$S$306,MATCH(H$226,tabellen_EMD!$C$301:$C$306,0),MATCH($P$24&amp;" | GWP eenheid",tabellen_EMD!$C$301:$S$301,0))</f>
        <v>kg/kWh</v>
      </c>
      <c r="I230" s="911"/>
      <c r="J230" s="186" t="str">
        <f>INDEX(tabellen_EMD!$C$301:$S$306,MATCH(J$226,tabellen_EMD!$C$301:$C$306,0),MATCH($P$24&amp;" | GWP eenheid",tabellen_EMD!$C$301:$S$301,0))</f>
        <v>kg/kWh</v>
      </c>
      <c r="K230" s="186" t="str">
        <f>INDEX(tabellen_EMD!$C$301:$S$306,MATCH(K$226,tabellen_EMD!$C$301:$C$306,0),MATCH($P$24&amp;" | GWP eenheid",tabellen_EMD!$C$301:$S$301,0))</f>
        <v>kg/GJ</v>
      </c>
      <c r="L230" s="911"/>
      <c r="M230" s="186" t="str">
        <f>INDEX(tabellen_EMD!$C$301:$S$306,MATCH(M$226,tabellen_EMD!$C$301:$C$306,0),MATCH($P$24&amp;" | GWP eenheid",tabellen_EMD!$C$301:$S$301,0))</f>
        <v>kg/kg</v>
      </c>
      <c r="N230" s="911"/>
      <c r="O230" s="44"/>
      <c r="P230" s="899"/>
      <c r="Q230" s="899"/>
      <c r="R230" s="899"/>
      <c r="S230" s="899"/>
      <c r="T230" s="899"/>
      <c r="U230" s="899"/>
      <c r="V230" s="39"/>
      <c r="W230" s="39"/>
      <c r="X230" s="39"/>
      <c r="Y230" s="12"/>
      <c r="Z230" s="453"/>
      <c r="AA230" s="453"/>
      <c r="AB230" s="1394"/>
      <c r="AC230" s="1002"/>
      <c r="AD230" s="1436"/>
      <c r="AE230" s="1436"/>
      <c r="AF230" s="1436"/>
      <c r="AG230" s="1436"/>
      <c r="AH230" s="1436"/>
      <c r="AI230" s="1436"/>
      <c r="AJ230" s="1436"/>
      <c r="AK230" s="1436"/>
      <c r="AL230" s="1436"/>
      <c r="AM230" s="1436"/>
      <c r="AN230" s="1436"/>
      <c r="AO230" s="1436"/>
      <c r="AP230" s="1436"/>
      <c r="AQ230" s="1436"/>
      <c r="AR230" s="1436"/>
      <c r="AS230" s="1394"/>
      <c r="AT230" s="1002"/>
      <c r="AU230" s="12"/>
      <c r="AV230" s="12"/>
      <c r="AW230" s="12"/>
      <c r="AX230" s="12"/>
      <c r="AY230" s="12"/>
      <c r="AZ230" s="12"/>
      <c r="BA230" s="12"/>
      <c r="BB230" s="12"/>
      <c r="BC230" s="12"/>
      <c r="BD230" s="12"/>
      <c r="BE230" s="12"/>
      <c r="BF230" s="12"/>
      <c r="BG230" s="12"/>
      <c r="BH230" s="12"/>
      <c r="BI230" s="13"/>
    </row>
    <row r="231" spans="1:61" hidden="1">
      <c r="A231" s="212" t="s">
        <v>493</v>
      </c>
      <c r="B231" s="943"/>
      <c r="C231" s="943"/>
      <c r="D231" s="943"/>
      <c r="E231" s="14"/>
      <c r="F231" s="22" t="s">
        <v>1554</v>
      </c>
      <c r="G231" s="1161">
        <f>INDEX(tabellen_EMD!$C$285:$Z$290,MATCH(G$226,tabellen_EMD!$C$285:$C$290,0),MATCH(EP_versie_scope_functie_methode,tabellen_EMD!$C$285:$Z$285,0))</f>
        <v>1</v>
      </c>
      <c r="H231" s="1161">
        <f>INDEX(tabellen_EMD!$C$285:$Z$290,MATCH(H$226,tabellen_EMD!$C$285:$C$290,0),MATCH(EP_versie_scope_functie_methode,tabellen_EMD!$C$285:$Z$285,0))</f>
        <v>1</v>
      </c>
      <c r="I231" s="1047"/>
      <c r="J231" s="1161">
        <f>INDEX(tabellen_EMD!$C$285:$Z$290,MATCH(J$226,tabellen_EMD!$C$285:$C$290,0),MATCH(EP_versie_scope_functie_methode,tabellen_EMD!$C$285:$Z$285,0))</f>
        <v>1</v>
      </c>
      <c r="K231" s="1161">
        <f>INDEX(tabellen_EMD!$C$285:$Z$290,MATCH(K$226,tabellen_EMD!$C$285:$C$290,0),MATCH(EP_versie_scope_functie_methode,tabellen_EMD!$C$285:$Z$285,0))</f>
        <v>1</v>
      </c>
      <c r="L231" s="1047"/>
      <c r="M231" s="1161">
        <f>INDEX(tabellen_EMD!$C$285:$Z$290,MATCH(M$226,tabellen_EMD!$C$285:$C$290,0),MATCH(EP_versie_scope_functie_methode,tabellen_EMD!$C$285:$Z$285,0))</f>
        <v>15</v>
      </c>
      <c r="N231" s="1047"/>
      <c r="O231" s="44"/>
      <c r="P231" s="899"/>
      <c r="Q231" s="899"/>
      <c r="R231" s="899"/>
      <c r="S231" s="899"/>
      <c r="T231" s="899"/>
      <c r="U231" s="899"/>
      <c r="V231" s="39"/>
      <c r="W231" s="39"/>
      <c r="X231" s="39"/>
      <c r="Y231" s="12"/>
      <c r="Z231" s="453"/>
      <c r="AA231" s="453"/>
      <c r="AB231" s="67"/>
      <c r="AC231" s="995"/>
      <c r="AD231" s="1432"/>
      <c r="AE231" s="1432"/>
      <c r="AF231" s="1432"/>
      <c r="AG231" s="1432"/>
      <c r="AH231" s="1432"/>
      <c r="AI231" s="1432"/>
      <c r="AJ231" s="1432"/>
      <c r="AK231" s="1432"/>
      <c r="AL231" s="1432"/>
      <c r="AM231" s="1432"/>
      <c r="AN231" s="1432"/>
      <c r="AO231" s="1432"/>
      <c r="AP231" s="1432"/>
      <c r="AQ231" s="1432"/>
      <c r="AR231" s="1432"/>
      <c r="AS231" s="67"/>
      <c r="AT231" s="995"/>
      <c r="AU231" s="12"/>
      <c r="AV231" s="12"/>
      <c r="AW231" s="12"/>
      <c r="AX231" s="12"/>
      <c r="AY231" s="12"/>
      <c r="AZ231" s="12"/>
      <c r="BA231" s="12"/>
      <c r="BB231" s="12"/>
      <c r="BC231" s="12"/>
      <c r="BD231" s="12"/>
      <c r="BE231" s="12"/>
      <c r="BF231" s="12"/>
      <c r="BG231" s="12"/>
      <c r="BH231" s="12"/>
      <c r="BI231" s="13"/>
    </row>
    <row r="232" spans="1:61" hidden="1">
      <c r="A232" s="212" t="s">
        <v>493</v>
      </c>
      <c r="B232" s="943"/>
      <c r="C232" s="943"/>
      <c r="D232" s="943"/>
      <c r="E232" s="14"/>
      <c r="F232" s="22" t="s">
        <v>1555</v>
      </c>
      <c r="G232" s="1161">
        <f>INDEX(tabellen_EMD!$C$293:$Z$298,MATCH(G$226,tabellen_EMD!$C$293:$C$298,0),MATCH(EP_versie_scope_functie_methode,tabellen_EMD!$C$293:$Z$293,0))</f>
        <v>0</v>
      </c>
      <c r="H232" s="1161">
        <f>INDEX(tabellen_EMD!$C$293:$Z$298,MATCH(H$226,tabellen_EMD!$C$293:$C$298,0),MATCH(EP_versie_scope_functie_methode,tabellen_EMD!$C$293:$Z$293,0))</f>
        <v>0</v>
      </c>
      <c r="I232" s="1047"/>
      <c r="J232" s="1161">
        <f>INDEX(tabellen_EMD!$C$293:$Z$298,MATCH(J$226,tabellen_EMD!$C$293:$C$298,0),MATCH(EP_versie_scope_functie_methode,tabellen_EMD!$C$293:$Z$293,0))</f>
        <v>0</v>
      </c>
      <c r="K232" s="1161">
        <f>INDEX(tabellen_EMD!$C$293:$Z$298,MATCH(K$226,tabellen_EMD!$C$293:$C$298,0),MATCH(EP_versie_scope_functie_methode,tabellen_EMD!$C$293:$Z$293,0))</f>
        <v>1</v>
      </c>
      <c r="L232" s="1047"/>
      <c r="M232" s="1161">
        <f>INDEX(tabellen_EMD!$C$293:$Z$298,MATCH(M$226,tabellen_EMD!$C$293:$C$298,0),MATCH(EP_versie_scope_functie_methode,tabellen_EMD!$C$293:$Z$293,0))</f>
        <v>0</v>
      </c>
      <c r="N232" s="1047"/>
      <c r="O232" s="44"/>
      <c r="P232" s="899"/>
      <c r="Q232" s="899"/>
      <c r="R232" s="899"/>
      <c r="S232" s="899"/>
      <c r="T232" s="899"/>
      <c r="U232" s="899"/>
      <c r="V232" s="39"/>
      <c r="W232" s="39"/>
      <c r="X232" s="39"/>
      <c r="Y232" s="12"/>
      <c r="Z232" s="453"/>
      <c r="AA232" s="453"/>
      <c r="AB232" s="67"/>
      <c r="AC232" s="995"/>
      <c r="AD232" s="1432"/>
      <c r="AE232" s="1432"/>
      <c r="AF232" s="1432"/>
      <c r="AG232" s="1432"/>
      <c r="AH232" s="1432"/>
      <c r="AI232" s="1432"/>
      <c r="AJ232" s="1432"/>
      <c r="AK232" s="1432"/>
      <c r="AL232" s="1432"/>
      <c r="AM232" s="1432"/>
      <c r="AN232" s="1432"/>
      <c r="AO232" s="1432"/>
      <c r="AP232" s="1432"/>
      <c r="AQ232" s="1432"/>
      <c r="AR232" s="1432"/>
      <c r="AS232" s="67"/>
      <c r="AT232" s="995"/>
      <c r="AU232" s="12"/>
      <c r="AV232" s="12"/>
      <c r="AW232" s="12"/>
      <c r="AX232" s="12"/>
      <c r="AY232" s="12"/>
      <c r="AZ232" s="12"/>
      <c r="BA232" s="12"/>
      <c r="BB232" s="12"/>
      <c r="BC232" s="12"/>
      <c r="BD232" s="12"/>
      <c r="BE232" s="12"/>
      <c r="BF232" s="12"/>
      <c r="BG232" s="12"/>
      <c r="BH232" s="12"/>
      <c r="BI232" s="13"/>
    </row>
    <row r="233" spans="1:61" s="211" customFormat="1" hidden="1">
      <c r="A233" s="212" t="s">
        <v>493</v>
      </c>
      <c r="B233" s="1092"/>
      <c r="C233" s="1092"/>
      <c r="D233" s="1092"/>
      <c r="E233" s="210"/>
      <c r="F233" s="22" t="s">
        <v>1650</v>
      </c>
      <c r="G233" s="24">
        <f>VLOOKUP(G$226,$J$195:$W$199,COLUMNS($J$194:$W$194),FALSE)*G$231</f>
        <v>0</v>
      </c>
      <c r="H233" s="24">
        <f t="shared" ref="H233:M233" si="106">VLOOKUP(H$226,$J$195:$W$199,COLUMNS($J$194:$W$194),FALSE)*H$231</f>
        <v>0</v>
      </c>
      <c r="I233" s="24"/>
      <c r="J233" s="24">
        <f t="shared" si="106"/>
        <v>0</v>
      </c>
      <c r="K233" s="142">
        <f t="shared" si="106"/>
        <v>0</v>
      </c>
      <c r="L233" s="142"/>
      <c r="M233" s="24">
        <f t="shared" si="106"/>
        <v>0</v>
      </c>
      <c r="N233" s="24">
        <f>J275</f>
        <v>1</v>
      </c>
      <c r="O233" s="44"/>
      <c r="P233" s="899"/>
      <c r="Q233" s="899"/>
      <c r="R233" s="899"/>
      <c r="S233" s="899"/>
      <c r="T233" s="899"/>
      <c r="U233" s="899"/>
      <c r="V233" s="39"/>
      <c r="W233" s="39"/>
      <c r="X233" s="39"/>
      <c r="Y233" s="12"/>
      <c r="Z233" s="453"/>
      <c r="AA233" s="453"/>
      <c r="AB233" s="1394"/>
      <c r="AC233" s="1002"/>
      <c r="AD233" s="1436"/>
      <c r="AE233" s="1436"/>
      <c r="AF233" s="1436"/>
      <c r="AG233" s="1436"/>
      <c r="AH233" s="1436"/>
      <c r="AI233" s="1436"/>
      <c r="AJ233" s="1436"/>
      <c r="AK233" s="1436"/>
      <c r="AL233" s="1436"/>
      <c r="AM233" s="1436"/>
      <c r="AN233" s="1436"/>
      <c r="AO233" s="1436"/>
      <c r="AP233" s="1436"/>
      <c r="AQ233" s="1436"/>
      <c r="AR233" s="1436"/>
      <c r="AS233" s="1394"/>
      <c r="AT233" s="1002"/>
      <c r="AU233" s="12"/>
      <c r="AV233" s="12"/>
      <c r="AW233" s="12"/>
      <c r="AX233" s="12"/>
      <c r="AY233" s="12"/>
      <c r="AZ233" s="12"/>
      <c r="BA233" s="12"/>
      <c r="BB233" s="12"/>
      <c r="BC233" s="12"/>
      <c r="BD233" s="12"/>
      <c r="BE233" s="12"/>
      <c r="BF233" s="12"/>
      <c r="BG233" s="12"/>
      <c r="BH233" s="12"/>
      <c r="BI233" s="13"/>
    </row>
    <row r="234" spans="1:61" s="211" customFormat="1" hidden="1">
      <c r="A234" s="212" t="s">
        <v>493</v>
      </c>
      <c r="B234" s="1092"/>
      <c r="C234" s="1092"/>
      <c r="D234" s="1092"/>
      <c r="E234" s="210"/>
      <c r="F234" s="911"/>
      <c r="G234" s="911"/>
      <c r="H234" s="911"/>
      <c r="I234" s="911"/>
      <c r="J234" s="911"/>
      <c r="K234" s="911"/>
      <c r="L234" s="911"/>
      <c r="M234" s="911"/>
      <c r="N234" s="911"/>
      <c r="O234" s="44"/>
      <c r="P234" s="899"/>
      <c r="Q234" s="899"/>
      <c r="R234" s="899"/>
      <c r="S234" s="899"/>
      <c r="T234" s="899"/>
      <c r="U234" s="899"/>
      <c r="V234" s="39"/>
      <c r="W234" s="39"/>
      <c r="X234" s="39"/>
      <c r="Y234" s="12"/>
      <c r="Z234" s="453"/>
      <c r="AA234" s="453"/>
      <c r="AB234" s="1394"/>
      <c r="AC234" s="1002"/>
      <c r="AD234" s="1436"/>
      <c r="AE234" s="1436"/>
      <c r="AF234" s="1436"/>
      <c r="AG234" s="1436"/>
      <c r="AH234" s="1436"/>
      <c r="AI234" s="1436"/>
      <c r="AJ234" s="1436"/>
      <c r="AK234" s="1436"/>
      <c r="AL234" s="1436"/>
      <c r="AM234" s="1436"/>
      <c r="AN234" s="1436"/>
      <c r="AO234" s="1436"/>
      <c r="AP234" s="1436"/>
      <c r="AQ234" s="1436"/>
      <c r="AR234" s="1436"/>
      <c r="AS234" s="1394"/>
      <c r="AT234" s="1002"/>
      <c r="AU234" s="12"/>
      <c r="AV234" s="12"/>
      <c r="AW234" s="12"/>
      <c r="AX234" s="12"/>
      <c r="AY234" s="12"/>
      <c r="AZ234" s="12"/>
      <c r="BA234" s="12"/>
      <c r="BB234" s="12"/>
      <c r="BC234" s="12"/>
      <c r="BD234" s="12"/>
      <c r="BE234" s="12"/>
      <c r="BF234" s="12"/>
      <c r="BG234" s="12"/>
      <c r="BH234" s="12"/>
      <c r="BI234" s="13"/>
    </row>
    <row r="235" spans="1:61" s="211" customFormat="1" hidden="1">
      <c r="A235" s="212" t="s">
        <v>493</v>
      </c>
      <c r="B235" s="1092"/>
      <c r="C235" s="1092"/>
      <c r="D235" s="1092"/>
      <c r="E235" s="210"/>
      <c r="F235" s="1334" t="s">
        <v>1651</v>
      </c>
      <c r="G235" s="911"/>
      <c r="H235" s="911"/>
      <c r="I235" s="911"/>
      <c r="J235" s="911"/>
      <c r="K235" s="911"/>
      <c r="L235" s="911"/>
      <c r="M235" s="911"/>
      <c r="N235" s="911"/>
      <c r="O235" s="44"/>
      <c r="P235" s="899"/>
      <c r="Q235" s="899"/>
      <c r="R235" s="899"/>
      <c r="S235" s="899"/>
      <c r="T235" s="899"/>
      <c r="U235" s="899"/>
      <c r="V235" s="39"/>
      <c r="W235" s="39"/>
      <c r="X235" s="39"/>
      <c r="Y235" s="12"/>
      <c r="Z235" s="453"/>
      <c r="AA235" s="453"/>
      <c r="AB235" s="1394"/>
      <c r="AC235" s="1002"/>
      <c r="AD235" s="1436"/>
      <c r="AE235" s="1436"/>
      <c r="AF235" s="1436"/>
      <c r="AG235" s="1436"/>
      <c r="AH235" s="1436"/>
      <c r="AI235" s="1436"/>
      <c r="AJ235" s="1436"/>
      <c r="AK235" s="1436"/>
      <c r="AL235" s="1436"/>
      <c r="AM235" s="1436"/>
      <c r="AN235" s="1436"/>
      <c r="AO235" s="1436"/>
      <c r="AP235" s="1436"/>
      <c r="AQ235" s="1436"/>
      <c r="AR235" s="1436"/>
      <c r="AS235" s="1394"/>
      <c r="AT235" s="1002"/>
      <c r="AU235" s="12"/>
      <c r="AV235" s="12"/>
      <c r="AW235" s="12"/>
      <c r="AX235" s="12"/>
      <c r="AY235" s="12"/>
      <c r="AZ235" s="12"/>
      <c r="BA235" s="12"/>
      <c r="BB235" s="12"/>
      <c r="BC235" s="12"/>
      <c r="BD235" s="12"/>
      <c r="BE235" s="12"/>
      <c r="BF235" s="12"/>
      <c r="BG235" s="12"/>
      <c r="BH235" s="12"/>
      <c r="BI235" s="13"/>
    </row>
    <row r="236" spans="1:61" s="211" customFormat="1" hidden="1">
      <c r="A236" s="212" t="s">
        <v>493</v>
      </c>
      <c r="B236" s="1092"/>
      <c r="C236" s="1092"/>
      <c r="D236" s="1092"/>
      <c r="E236" s="210"/>
      <c r="F236" s="22" t="s">
        <v>297</v>
      </c>
      <c r="G236" s="24" t="str">
        <f t="shared" ref="G236:H247" si="107">IF(OR($Q391="",ISNUMBER(G$233)=FALSE),"",$Q391*G$233)</f>
        <v/>
      </c>
      <c r="H236" s="24" t="str">
        <f t="shared" si="107"/>
        <v/>
      </c>
      <c r="I236" s="24"/>
      <c r="J236" s="24" t="str">
        <f t="shared" ref="J236:K247" si="108">IF(OR($Q391="",ISNUMBER(J$233)=FALSE),"",$Q391*J$233)</f>
        <v/>
      </c>
      <c r="K236" s="142" t="str">
        <f t="shared" si="108"/>
        <v/>
      </c>
      <c r="L236" s="142"/>
      <c r="M236" s="24" t="str">
        <f t="shared" ref="M236:M247" si="109">IF(OR($Q391="",ISNUMBER(M$233)=FALSE),"",$Q391*M$233)</f>
        <v/>
      </c>
      <c r="N236" s="911"/>
      <c r="O236" s="44"/>
      <c r="P236" s="899"/>
      <c r="Q236" s="899"/>
      <c r="R236" s="899"/>
      <c r="S236" s="899"/>
      <c r="T236" s="899"/>
      <c r="U236" s="899"/>
      <c r="V236" s="39"/>
      <c r="W236" s="39"/>
      <c r="X236" s="39"/>
      <c r="Y236" s="12"/>
      <c r="Z236" s="453"/>
      <c r="AA236" s="453"/>
      <c r="AB236" s="1394"/>
      <c r="AC236" s="1002"/>
      <c r="AD236" s="1436"/>
      <c r="AE236" s="1436"/>
      <c r="AF236" s="1436"/>
      <c r="AG236" s="1436"/>
      <c r="AH236" s="1436"/>
      <c r="AI236" s="1436"/>
      <c r="AJ236" s="1436"/>
      <c r="AK236" s="1436"/>
      <c r="AL236" s="1436"/>
      <c r="AM236" s="1436"/>
      <c r="AN236" s="1436"/>
      <c r="AO236" s="1436"/>
      <c r="AP236" s="1436"/>
      <c r="AQ236" s="1436"/>
      <c r="AR236" s="1436"/>
      <c r="AS236" s="1394"/>
      <c r="AT236" s="1002"/>
      <c r="AU236" s="12"/>
      <c r="AV236" s="12"/>
      <c r="AW236" s="12"/>
      <c r="AX236" s="12"/>
      <c r="AY236" s="12"/>
      <c r="AZ236" s="12"/>
      <c r="BA236" s="12"/>
      <c r="BB236" s="12"/>
      <c r="BC236" s="12"/>
      <c r="BD236" s="12"/>
      <c r="BE236" s="12"/>
      <c r="BF236" s="12"/>
      <c r="BG236" s="12"/>
      <c r="BH236" s="12"/>
      <c r="BI236" s="13"/>
    </row>
    <row r="237" spans="1:61" s="211" customFormat="1" hidden="1">
      <c r="A237" s="212" t="s">
        <v>493</v>
      </c>
      <c r="B237" s="1092"/>
      <c r="C237" s="1092"/>
      <c r="D237" s="1092"/>
      <c r="E237" s="210"/>
      <c r="F237" s="22" t="s">
        <v>298</v>
      </c>
      <c r="G237" s="24" t="str">
        <f t="shared" si="107"/>
        <v/>
      </c>
      <c r="H237" s="24" t="str">
        <f t="shared" si="107"/>
        <v/>
      </c>
      <c r="I237" s="24"/>
      <c r="J237" s="24" t="str">
        <f t="shared" si="108"/>
        <v/>
      </c>
      <c r="K237" s="142" t="str">
        <f t="shared" si="108"/>
        <v/>
      </c>
      <c r="L237" s="142"/>
      <c r="M237" s="24" t="str">
        <f t="shared" si="109"/>
        <v/>
      </c>
      <c r="N237" s="911"/>
      <c r="O237" s="44"/>
      <c r="P237" s="899"/>
      <c r="Q237" s="899"/>
      <c r="R237" s="899"/>
      <c r="S237" s="899"/>
      <c r="T237" s="899"/>
      <c r="U237" s="899"/>
      <c r="V237" s="39"/>
      <c r="W237" s="39"/>
      <c r="X237" s="39"/>
      <c r="Y237" s="12"/>
      <c r="Z237" s="453"/>
      <c r="AA237" s="453"/>
      <c r="AB237" s="1394"/>
      <c r="AC237" s="1002"/>
      <c r="AD237" s="1436"/>
      <c r="AE237" s="1436"/>
      <c r="AF237" s="1436"/>
      <c r="AG237" s="1436"/>
      <c r="AH237" s="1436"/>
      <c r="AI237" s="1436"/>
      <c r="AJ237" s="1436"/>
      <c r="AK237" s="1436"/>
      <c r="AL237" s="1436"/>
      <c r="AM237" s="1436"/>
      <c r="AN237" s="1436"/>
      <c r="AO237" s="1436"/>
      <c r="AP237" s="1436"/>
      <c r="AQ237" s="1436"/>
      <c r="AR237" s="1436"/>
      <c r="AS237" s="1394"/>
      <c r="AT237" s="1002"/>
      <c r="AU237" s="12"/>
      <c r="AV237" s="12"/>
      <c r="AW237" s="12"/>
      <c r="AX237" s="12"/>
      <c r="AY237" s="12"/>
      <c r="AZ237" s="12"/>
      <c r="BA237" s="12"/>
      <c r="BB237" s="12"/>
      <c r="BC237" s="12"/>
      <c r="BD237" s="12"/>
      <c r="BE237" s="12"/>
      <c r="BF237" s="12"/>
      <c r="BG237" s="12"/>
      <c r="BH237" s="12"/>
      <c r="BI237" s="13"/>
    </row>
    <row r="238" spans="1:61" s="211" customFormat="1" hidden="1">
      <c r="A238" s="212" t="s">
        <v>493</v>
      </c>
      <c r="B238" s="1092"/>
      <c r="C238" s="1092"/>
      <c r="D238" s="1092"/>
      <c r="E238" s="210"/>
      <c r="F238" s="22" t="s">
        <v>303</v>
      </c>
      <c r="G238" s="24">
        <f t="shared" si="107"/>
        <v>0</v>
      </c>
      <c r="H238" s="24">
        <f t="shared" si="107"/>
        <v>0</v>
      </c>
      <c r="I238" s="24"/>
      <c r="J238" s="24">
        <f t="shared" si="108"/>
        <v>0</v>
      </c>
      <c r="K238" s="142">
        <f t="shared" si="108"/>
        <v>0</v>
      </c>
      <c r="L238" s="142"/>
      <c r="M238" s="24">
        <f t="shared" si="109"/>
        <v>0</v>
      </c>
      <c r="N238" s="911"/>
      <c r="O238" s="44"/>
      <c r="P238" s="899"/>
      <c r="Q238" s="899"/>
      <c r="R238" s="899"/>
      <c r="S238" s="899"/>
      <c r="T238" s="899"/>
      <c r="U238" s="899"/>
      <c r="V238" s="39"/>
      <c r="W238" s="39"/>
      <c r="X238" s="39"/>
      <c r="Y238" s="12"/>
      <c r="Z238" s="453"/>
      <c r="AA238" s="453"/>
      <c r="AB238" s="1394"/>
      <c r="AC238" s="1002"/>
      <c r="AD238" s="1436"/>
      <c r="AE238" s="1436"/>
      <c r="AF238" s="1436"/>
      <c r="AG238" s="1436"/>
      <c r="AH238" s="1436"/>
      <c r="AI238" s="1436"/>
      <c r="AJ238" s="1436"/>
      <c r="AK238" s="1436"/>
      <c r="AL238" s="1436"/>
      <c r="AM238" s="1436"/>
      <c r="AN238" s="1436"/>
      <c r="AO238" s="1436"/>
      <c r="AP238" s="1436"/>
      <c r="AQ238" s="1436"/>
      <c r="AR238" s="1436"/>
      <c r="AS238" s="1394"/>
      <c r="AT238" s="1002"/>
      <c r="AU238" s="12"/>
      <c r="AV238" s="12"/>
      <c r="AW238" s="12"/>
      <c r="AX238" s="12"/>
      <c r="AY238" s="12"/>
      <c r="AZ238" s="12"/>
      <c r="BA238" s="12"/>
      <c r="BB238" s="12"/>
      <c r="BC238" s="12"/>
      <c r="BD238" s="12"/>
      <c r="BE238" s="12"/>
      <c r="BF238" s="12"/>
      <c r="BG238" s="12"/>
      <c r="BH238" s="12"/>
      <c r="BI238" s="13"/>
    </row>
    <row r="239" spans="1:61" s="211" customFormat="1" hidden="1">
      <c r="A239" s="212" t="s">
        <v>493</v>
      </c>
      <c r="B239" s="1092"/>
      <c r="C239" s="1092"/>
      <c r="D239" s="1092"/>
      <c r="E239" s="210"/>
      <c r="F239" s="22" t="s">
        <v>299</v>
      </c>
      <c r="G239" s="24">
        <f t="shared" si="107"/>
        <v>0</v>
      </c>
      <c r="H239" s="24">
        <f t="shared" si="107"/>
        <v>0</v>
      </c>
      <c r="I239" s="24"/>
      <c r="J239" s="24">
        <f t="shared" si="108"/>
        <v>0</v>
      </c>
      <c r="K239" s="142">
        <f t="shared" si="108"/>
        <v>0</v>
      </c>
      <c r="L239" s="142"/>
      <c r="M239" s="24">
        <f t="shared" si="109"/>
        <v>0</v>
      </c>
      <c r="N239" s="911"/>
      <c r="O239" s="44"/>
      <c r="P239" s="899"/>
      <c r="Q239" s="899"/>
      <c r="R239" s="899"/>
      <c r="S239" s="899"/>
      <c r="T239" s="899"/>
      <c r="U239" s="899"/>
      <c r="V239" s="39"/>
      <c r="W239" s="39"/>
      <c r="X239" s="39"/>
      <c r="Y239" s="12"/>
      <c r="Z239" s="453"/>
      <c r="AA239" s="453"/>
      <c r="AB239" s="1394"/>
      <c r="AC239" s="1002"/>
      <c r="AD239" s="1436"/>
      <c r="AE239" s="1436"/>
      <c r="AF239" s="1436"/>
      <c r="AG239" s="1436"/>
      <c r="AH239" s="1436"/>
      <c r="AI239" s="1436"/>
      <c r="AJ239" s="1436"/>
      <c r="AK239" s="1436"/>
      <c r="AL239" s="1436"/>
      <c r="AM239" s="1436"/>
      <c r="AN239" s="1436"/>
      <c r="AO239" s="1436"/>
      <c r="AP239" s="1436"/>
      <c r="AQ239" s="1436"/>
      <c r="AR239" s="1436"/>
      <c r="AS239" s="1394"/>
      <c r="AT239" s="1002"/>
      <c r="AU239" s="12"/>
      <c r="AV239" s="12"/>
      <c r="AW239" s="12"/>
      <c r="AX239" s="12"/>
      <c r="AY239" s="12"/>
      <c r="AZ239" s="12"/>
      <c r="BA239" s="12"/>
      <c r="BB239" s="12"/>
      <c r="BC239" s="12"/>
      <c r="BD239" s="12"/>
      <c r="BE239" s="12"/>
      <c r="BF239" s="12"/>
      <c r="BG239" s="12"/>
      <c r="BH239" s="12"/>
      <c r="BI239" s="13"/>
    </row>
    <row r="240" spans="1:61" s="211" customFormat="1" hidden="1">
      <c r="A240" s="212" t="s">
        <v>493</v>
      </c>
      <c r="B240" s="1092"/>
      <c r="C240" s="1092"/>
      <c r="D240" s="1092"/>
      <c r="E240" s="210"/>
      <c r="F240" s="22" t="s">
        <v>422</v>
      </c>
      <c r="G240" s="24">
        <f t="shared" si="107"/>
        <v>0</v>
      </c>
      <c r="H240" s="24">
        <f t="shared" si="107"/>
        <v>0</v>
      </c>
      <c r="I240" s="24"/>
      <c r="J240" s="24">
        <f t="shared" si="108"/>
        <v>0</v>
      </c>
      <c r="K240" s="142">
        <f t="shared" si="108"/>
        <v>0</v>
      </c>
      <c r="L240" s="142"/>
      <c r="M240" s="24">
        <f t="shared" si="109"/>
        <v>0</v>
      </c>
      <c r="N240" s="911"/>
      <c r="O240" s="44"/>
      <c r="P240" s="899"/>
      <c r="Q240" s="899"/>
      <c r="R240" s="899"/>
      <c r="S240" s="899"/>
      <c r="T240" s="899"/>
      <c r="U240" s="899"/>
      <c r="V240" s="39"/>
      <c r="W240" s="39"/>
      <c r="X240" s="39"/>
      <c r="Y240" s="12"/>
      <c r="Z240" s="453"/>
      <c r="AA240" s="453"/>
      <c r="AB240" s="1394"/>
      <c r="AC240" s="1002"/>
      <c r="AD240" s="1436"/>
      <c r="AE240" s="1436"/>
      <c r="AF240" s="1436"/>
      <c r="AG240" s="1436"/>
      <c r="AH240" s="1436"/>
      <c r="AI240" s="1436"/>
      <c r="AJ240" s="1436"/>
      <c r="AK240" s="1436"/>
      <c r="AL240" s="1436"/>
      <c r="AM240" s="1436"/>
      <c r="AN240" s="1436"/>
      <c r="AO240" s="1436"/>
      <c r="AP240" s="1436"/>
      <c r="AQ240" s="1436"/>
      <c r="AR240" s="1436"/>
      <c r="AS240" s="1394"/>
      <c r="AT240" s="1002"/>
      <c r="AU240" s="12"/>
      <c r="AV240" s="12"/>
      <c r="AW240" s="12"/>
      <c r="AX240" s="12"/>
      <c r="AY240" s="12"/>
      <c r="AZ240" s="12"/>
      <c r="BA240" s="12"/>
      <c r="BB240" s="12"/>
      <c r="BC240" s="12"/>
      <c r="BD240" s="12"/>
      <c r="BE240" s="12"/>
      <c r="BF240" s="12"/>
      <c r="BG240" s="12"/>
      <c r="BH240" s="12"/>
      <c r="BI240" s="13"/>
    </row>
    <row r="241" spans="1:61" s="211" customFormat="1" hidden="1">
      <c r="A241" s="212" t="s">
        <v>493</v>
      </c>
      <c r="B241" s="1092"/>
      <c r="C241" s="1092"/>
      <c r="D241" s="1092"/>
      <c r="E241" s="210"/>
      <c r="F241" s="22" t="s">
        <v>305</v>
      </c>
      <c r="G241" s="24" t="str">
        <f t="shared" si="107"/>
        <v/>
      </c>
      <c r="H241" s="24" t="str">
        <f t="shared" si="107"/>
        <v/>
      </c>
      <c r="I241" s="24"/>
      <c r="J241" s="24" t="str">
        <f t="shared" si="108"/>
        <v/>
      </c>
      <c r="K241" s="142" t="str">
        <f t="shared" si="108"/>
        <v/>
      </c>
      <c r="L241" s="142"/>
      <c r="M241" s="24" t="str">
        <f t="shared" si="109"/>
        <v/>
      </c>
      <c r="N241" s="911"/>
      <c r="O241" s="44"/>
      <c r="P241" s="899"/>
      <c r="Q241" s="899"/>
      <c r="R241" s="899"/>
      <c r="S241" s="899"/>
      <c r="T241" s="899"/>
      <c r="U241" s="899"/>
      <c r="V241" s="39"/>
      <c r="W241" s="39"/>
      <c r="X241" s="39"/>
      <c r="Y241" s="12"/>
      <c r="Z241" s="453"/>
      <c r="AA241" s="453"/>
      <c r="AB241" s="1394"/>
      <c r="AC241" s="1002"/>
      <c r="AD241" s="1436"/>
      <c r="AE241" s="1436"/>
      <c r="AF241" s="1436"/>
      <c r="AG241" s="1436"/>
      <c r="AH241" s="1436"/>
      <c r="AI241" s="1436"/>
      <c r="AJ241" s="1436"/>
      <c r="AK241" s="1436"/>
      <c r="AL241" s="1436"/>
      <c r="AM241" s="1436"/>
      <c r="AN241" s="1436"/>
      <c r="AO241" s="1436"/>
      <c r="AP241" s="1436"/>
      <c r="AQ241" s="1436"/>
      <c r="AR241" s="1436"/>
      <c r="AS241" s="1394"/>
      <c r="AT241" s="1002"/>
      <c r="AU241" s="12"/>
      <c r="AV241" s="12"/>
      <c r="AW241" s="12"/>
      <c r="AX241" s="12"/>
      <c r="AY241" s="12"/>
      <c r="AZ241" s="12"/>
      <c r="BA241" s="12"/>
      <c r="BB241" s="12"/>
      <c r="BC241" s="12"/>
      <c r="BD241" s="12"/>
      <c r="BE241" s="12"/>
      <c r="BF241" s="12"/>
      <c r="BG241" s="12"/>
      <c r="BH241" s="12"/>
      <c r="BI241" s="13"/>
    </row>
    <row r="242" spans="1:61" s="211" customFormat="1" hidden="1">
      <c r="A242" s="212" t="s">
        <v>493</v>
      </c>
      <c r="B242" s="1092"/>
      <c r="C242" s="1092"/>
      <c r="D242" s="1092"/>
      <c r="E242" s="210"/>
      <c r="F242" s="22" t="s">
        <v>302</v>
      </c>
      <c r="G242" s="24" t="str">
        <f t="shared" si="107"/>
        <v/>
      </c>
      <c r="H242" s="24" t="str">
        <f t="shared" si="107"/>
        <v/>
      </c>
      <c r="I242" s="24"/>
      <c r="J242" s="24" t="str">
        <f t="shared" si="108"/>
        <v/>
      </c>
      <c r="K242" s="142" t="str">
        <f t="shared" si="108"/>
        <v/>
      </c>
      <c r="L242" s="142"/>
      <c r="M242" s="24" t="str">
        <f t="shared" si="109"/>
        <v/>
      </c>
      <c r="N242" s="911"/>
      <c r="O242" s="44"/>
      <c r="P242" s="899"/>
      <c r="Q242" s="899"/>
      <c r="R242" s="899"/>
      <c r="S242" s="899"/>
      <c r="T242" s="899"/>
      <c r="U242" s="899"/>
      <c r="V242" s="39"/>
      <c r="W242" s="39"/>
      <c r="X242" s="39"/>
      <c r="Y242" s="12"/>
      <c r="Z242" s="453"/>
      <c r="AA242" s="453"/>
      <c r="AB242" s="1394"/>
      <c r="AC242" s="1002"/>
      <c r="AD242" s="1436"/>
      <c r="AE242" s="1436"/>
      <c r="AF242" s="1436"/>
      <c r="AG242" s="1436"/>
      <c r="AH242" s="1436"/>
      <c r="AI242" s="1436"/>
      <c r="AJ242" s="1436"/>
      <c r="AK242" s="1436"/>
      <c r="AL242" s="1436"/>
      <c r="AM242" s="1436"/>
      <c r="AN242" s="1436"/>
      <c r="AO242" s="1436"/>
      <c r="AP242" s="1436"/>
      <c r="AQ242" s="1436"/>
      <c r="AR242" s="1436"/>
      <c r="AS242" s="1394"/>
      <c r="AT242" s="1002"/>
      <c r="AU242" s="12"/>
      <c r="AV242" s="12"/>
      <c r="AW242" s="12"/>
      <c r="AX242" s="12"/>
      <c r="AY242" s="12"/>
      <c r="AZ242" s="12"/>
      <c r="BA242" s="12"/>
      <c r="BB242" s="12"/>
      <c r="BC242" s="12"/>
      <c r="BD242" s="12"/>
      <c r="BE242" s="12"/>
      <c r="BF242" s="12"/>
      <c r="BG242" s="12"/>
      <c r="BH242" s="12"/>
      <c r="BI242" s="13"/>
    </row>
    <row r="243" spans="1:61" s="211" customFormat="1" hidden="1">
      <c r="A243" s="212" t="s">
        <v>493</v>
      </c>
      <c r="B243" s="1092"/>
      <c r="C243" s="1092"/>
      <c r="D243" s="1092"/>
      <c r="E243" s="210"/>
      <c r="F243" s="22" t="s">
        <v>423</v>
      </c>
      <c r="G243" s="24" t="str">
        <f t="shared" si="107"/>
        <v/>
      </c>
      <c r="H243" s="24" t="str">
        <f t="shared" si="107"/>
        <v/>
      </c>
      <c r="I243" s="24"/>
      <c r="J243" s="24" t="str">
        <f t="shared" si="108"/>
        <v/>
      </c>
      <c r="K243" s="142" t="str">
        <f t="shared" si="108"/>
        <v/>
      </c>
      <c r="L243" s="142"/>
      <c r="M243" s="24" t="str">
        <f t="shared" si="109"/>
        <v/>
      </c>
      <c r="N243" s="911"/>
      <c r="O243" s="44"/>
      <c r="P243" s="899"/>
      <c r="Q243" s="899"/>
      <c r="R243" s="899"/>
      <c r="S243" s="899"/>
      <c r="T243" s="899"/>
      <c r="U243" s="899"/>
      <c r="V243" s="39"/>
      <c r="W243" s="39"/>
      <c r="X243" s="39"/>
      <c r="Y243" s="12"/>
      <c r="Z243" s="453"/>
      <c r="AA243" s="453"/>
      <c r="AB243" s="1394"/>
      <c r="AC243" s="1002"/>
      <c r="AD243" s="1436"/>
      <c r="AE243" s="1436"/>
      <c r="AF243" s="1436"/>
      <c r="AG243" s="1436"/>
      <c r="AH243" s="1436"/>
      <c r="AI243" s="1436"/>
      <c r="AJ243" s="1436"/>
      <c r="AK243" s="1436"/>
      <c r="AL243" s="1436"/>
      <c r="AM243" s="1436"/>
      <c r="AN243" s="1436"/>
      <c r="AO243" s="1436"/>
      <c r="AP243" s="1436"/>
      <c r="AQ243" s="1436"/>
      <c r="AR243" s="1436"/>
      <c r="AS243" s="1394"/>
      <c r="AT243" s="1002"/>
      <c r="AU243" s="12"/>
      <c r="AV243" s="12"/>
      <c r="AW243" s="12"/>
      <c r="AX243" s="12"/>
      <c r="AY243" s="12"/>
      <c r="AZ243" s="12"/>
      <c r="BA243" s="12"/>
      <c r="BB243" s="12"/>
      <c r="BC243" s="12"/>
      <c r="BD243" s="12"/>
      <c r="BE243" s="12"/>
      <c r="BF243" s="12"/>
      <c r="BG243" s="12"/>
      <c r="BH243" s="12"/>
      <c r="BI243" s="13"/>
    </row>
    <row r="244" spans="1:61" s="211" customFormat="1" hidden="1">
      <c r="A244" s="212" t="s">
        <v>493</v>
      </c>
      <c r="B244" s="1092"/>
      <c r="C244" s="1092"/>
      <c r="D244" s="1092"/>
      <c r="E244" s="210"/>
      <c r="F244" s="22" t="s">
        <v>307</v>
      </c>
      <c r="G244" s="24" t="str">
        <f t="shared" si="107"/>
        <v/>
      </c>
      <c r="H244" s="24" t="str">
        <f t="shared" si="107"/>
        <v/>
      </c>
      <c r="I244" s="24"/>
      <c r="J244" s="24" t="str">
        <f t="shared" si="108"/>
        <v/>
      </c>
      <c r="K244" s="142" t="str">
        <f t="shared" si="108"/>
        <v/>
      </c>
      <c r="L244" s="142"/>
      <c r="M244" s="24" t="str">
        <f t="shared" si="109"/>
        <v/>
      </c>
      <c r="N244" s="911"/>
      <c r="O244" s="44"/>
      <c r="P244" s="899"/>
      <c r="Q244" s="899"/>
      <c r="R244" s="899"/>
      <c r="S244" s="899"/>
      <c r="T244" s="899"/>
      <c r="U244" s="899"/>
      <c r="V244" s="39"/>
      <c r="W244" s="39"/>
      <c r="X244" s="39"/>
      <c r="Y244" s="12"/>
      <c r="Z244" s="453"/>
      <c r="AA244" s="453"/>
      <c r="AB244" s="1394"/>
      <c r="AC244" s="1002"/>
      <c r="AD244" s="1436"/>
      <c r="AE244" s="1436"/>
      <c r="AF244" s="1436"/>
      <c r="AG244" s="1436"/>
      <c r="AH244" s="1436"/>
      <c r="AI244" s="1436"/>
      <c r="AJ244" s="1436"/>
      <c r="AK244" s="1436"/>
      <c r="AL244" s="1436"/>
      <c r="AM244" s="1436"/>
      <c r="AN244" s="1436"/>
      <c r="AO244" s="1436"/>
      <c r="AP244" s="1436"/>
      <c r="AQ244" s="1436"/>
      <c r="AR244" s="1436"/>
      <c r="AS244" s="1394"/>
      <c r="AT244" s="1002"/>
      <c r="AU244" s="12"/>
      <c r="AV244" s="12"/>
      <c r="AW244" s="12"/>
      <c r="AX244" s="12"/>
      <c r="AY244" s="12"/>
      <c r="AZ244" s="12"/>
      <c r="BA244" s="12"/>
      <c r="BB244" s="12"/>
      <c r="BC244" s="12"/>
      <c r="BD244" s="12"/>
      <c r="BE244" s="12"/>
      <c r="BF244" s="12"/>
      <c r="BG244" s="12"/>
      <c r="BH244" s="12"/>
      <c r="BI244" s="13"/>
    </row>
    <row r="245" spans="1:61" s="211" customFormat="1" hidden="1">
      <c r="A245" s="212" t="s">
        <v>493</v>
      </c>
      <c r="B245" s="1092"/>
      <c r="C245" s="1092"/>
      <c r="D245" s="1092"/>
      <c r="E245" s="210"/>
      <c r="F245" s="22" t="s">
        <v>306</v>
      </c>
      <c r="G245" s="24" t="str">
        <f t="shared" si="107"/>
        <v/>
      </c>
      <c r="H245" s="24" t="str">
        <f t="shared" si="107"/>
        <v/>
      </c>
      <c r="I245" s="24"/>
      <c r="J245" s="24" t="str">
        <f t="shared" si="108"/>
        <v/>
      </c>
      <c r="K245" s="142" t="str">
        <f t="shared" si="108"/>
        <v/>
      </c>
      <c r="L245" s="142"/>
      <c r="M245" s="24" t="str">
        <f t="shared" si="109"/>
        <v/>
      </c>
      <c r="N245" s="911"/>
      <c r="O245" s="44"/>
      <c r="P245" s="899"/>
      <c r="Q245" s="899"/>
      <c r="R245" s="899"/>
      <c r="S245" s="899"/>
      <c r="T245" s="899"/>
      <c r="U245" s="899"/>
      <c r="V245" s="39"/>
      <c r="W245" s="39"/>
      <c r="X245" s="39"/>
      <c r="Y245" s="12"/>
      <c r="Z245" s="453"/>
      <c r="AA245" s="453"/>
      <c r="AB245" s="1394"/>
      <c r="AC245" s="1002"/>
      <c r="AD245" s="1436"/>
      <c r="AE245" s="1436"/>
      <c r="AF245" s="1436"/>
      <c r="AG245" s="1436"/>
      <c r="AH245" s="1436"/>
      <c r="AI245" s="1436"/>
      <c r="AJ245" s="1436"/>
      <c r="AK245" s="1436"/>
      <c r="AL245" s="1436"/>
      <c r="AM245" s="1436"/>
      <c r="AN245" s="1436"/>
      <c r="AO245" s="1436"/>
      <c r="AP245" s="1436"/>
      <c r="AQ245" s="1436"/>
      <c r="AR245" s="1436"/>
      <c r="AS245" s="1394"/>
      <c r="AT245" s="1002"/>
      <c r="AU245" s="12"/>
      <c r="AV245" s="12"/>
      <c r="AW245" s="12"/>
      <c r="AX245" s="12"/>
      <c r="AY245" s="12"/>
      <c r="AZ245" s="12"/>
      <c r="BA245" s="12"/>
      <c r="BB245" s="12"/>
      <c r="BC245" s="12"/>
      <c r="BD245" s="12"/>
      <c r="BE245" s="12"/>
      <c r="BF245" s="12"/>
      <c r="BG245" s="12"/>
      <c r="BH245" s="12"/>
      <c r="BI245" s="13"/>
    </row>
    <row r="246" spans="1:61" s="211" customFormat="1" hidden="1">
      <c r="A246" s="212" t="s">
        <v>493</v>
      </c>
      <c r="B246" s="1092"/>
      <c r="C246" s="1092"/>
      <c r="D246" s="1092"/>
      <c r="E246" s="210"/>
      <c r="F246" s="22" t="s">
        <v>424</v>
      </c>
      <c r="G246" s="24" t="str">
        <f t="shared" si="107"/>
        <v/>
      </c>
      <c r="H246" s="24" t="str">
        <f t="shared" si="107"/>
        <v/>
      </c>
      <c r="I246" s="24"/>
      <c r="J246" s="24" t="str">
        <f t="shared" si="108"/>
        <v/>
      </c>
      <c r="K246" s="142" t="str">
        <f t="shared" si="108"/>
        <v/>
      </c>
      <c r="L246" s="142"/>
      <c r="M246" s="24" t="str">
        <f t="shared" si="109"/>
        <v/>
      </c>
      <c r="N246" s="911"/>
      <c r="O246" s="44"/>
      <c r="P246" s="899"/>
      <c r="Q246" s="899"/>
      <c r="R246" s="899"/>
      <c r="S246" s="899"/>
      <c r="T246" s="899"/>
      <c r="U246" s="899"/>
      <c r="V246" s="39"/>
      <c r="W246" s="39"/>
      <c r="X246" s="39"/>
      <c r="Y246" s="12"/>
      <c r="Z246" s="453"/>
      <c r="AA246" s="453"/>
      <c r="AB246" s="1394"/>
      <c r="AC246" s="1002"/>
      <c r="AD246" s="1436"/>
      <c r="AE246" s="1436"/>
      <c r="AF246" s="1436"/>
      <c r="AG246" s="1436"/>
      <c r="AH246" s="1436"/>
      <c r="AI246" s="1436"/>
      <c r="AJ246" s="1436"/>
      <c r="AK246" s="1436"/>
      <c r="AL246" s="1436"/>
      <c r="AM246" s="1436"/>
      <c r="AN246" s="1436"/>
      <c r="AO246" s="1436"/>
      <c r="AP246" s="1436"/>
      <c r="AQ246" s="1436"/>
      <c r="AR246" s="1436"/>
      <c r="AS246" s="1394"/>
      <c r="AT246" s="1002"/>
      <c r="AU246" s="12"/>
      <c r="AV246" s="12"/>
      <c r="AW246" s="12"/>
      <c r="AX246" s="12"/>
      <c r="AY246" s="12"/>
      <c r="AZ246" s="12"/>
      <c r="BA246" s="12"/>
      <c r="BB246" s="12"/>
      <c r="BC246" s="12"/>
      <c r="BD246" s="12"/>
      <c r="BE246" s="12"/>
      <c r="BF246" s="12"/>
      <c r="BG246" s="12"/>
      <c r="BH246" s="12"/>
      <c r="BI246" s="13"/>
    </row>
    <row r="247" spans="1:61" s="211" customFormat="1" hidden="1">
      <c r="A247" s="212" t="s">
        <v>493</v>
      </c>
      <c r="B247" s="1092"/>
      <c r="C247" s="1092"/>
      <c r="D247" s="1092"/>
      <c r="E247" s="210"/>
      <c r="F247" s="22" t="s">
        <v>425</v>
      </c>
      <c r="G247" s="24" t="str">
        <f t="shared" si="107"/>
        <v/>
      </c>
      <c r="H247" s="24" t="str">
        <f t="shared" si="107"/>
        <v/>
      </c>
      <c r="I247" s="24"/>
      <c r="J247" s="24" t="str">
        <f t="shared" si="108"/>
        <v/>
      </c>
      <c r="K247" s="142" t="str">
        <f t="shared" si="108"/>
        <v/>
      </c>
      <c r="L247" s="142"/>
      <c r="M247" s="24" t="str">
        <f t="shared" si="109"/>
        <v/>
      </c>
      <c r="N247" s="911"/>
      <c r="O247" s="44"/>
      <c r="P247" s="899"/>
      <c r="Q247" s="899"/>
      <c r="R247" s="899"/>
      <c r="S247" s="899"/>
      <c r="T247" s="899"/>
      <c r="U247" s="899"/>
      <c r="V247" s="39"/>
      <c r="W247" s="39"/>
      <c r="X247" s="39"/>
      <c r="Y247" s="12"/>
      <c r="Z247" s="453"/>
      <c r="AA247" s="453"/>
      <c r="AB247" s="1394"/>
      <c r="AC247" s="1002"/>
      <c r="AD247" s="1436"/>
      <c r="AE247" s="1436"/>
      <c r="AF247" s="1436"/>
      <c r="AG247" s="1436"/>
      <c r="AH247" s="1436"/>
      <c r="AI247" s="1436"/>
      <c r="AJ247" s="1436"/>
      <c r="AK247" s="1436"/>
      <c r="AL247" s="1436"/>
      <c r="AM247" s="1436"/>
      <c r="AN247" s="1436"/>
      <c r="AO247" s="1436"/>
      <c r="AP247" s="1436"/>
      <c r="AQ247" s="1436"/>
      <c r="AR247" s="1436"/>
      <c r="AS247" s="1394"/>
      <c r="AT247" s="1002"/>
      <c r="AU247" s="12"/>
      <c r="AV247" s="12"/>
      <c r="AW247" s="12"/>
      <c r="AX247" s="12"/>
      <c r="AY247" s="12"/>
      <c r="AZ247" s="12"/>
      <c r="BA247" s="12"/>
      <c r="BB247" s="12"/>
      <c r="BC247" s="12"/>
      <c r="BD247" s="12"/>
      <c r="BE247" s="12"/>
      <c r="BF247" s="12"/>
      <c r="BG247" s="12"/>
      <c r="BH247" s="12"/>
      <c r="BI247" s="13"/>
    </row>
    <row r="248" spans="1:61" s="211" customFormat="1" hidden="1">
      <c r="A248" s="212" t="s">
        <v>493</v>
      </c>
      <c r="B248" s="1092"/>
      <c r="C248" s="1092"/>
      <c r="D248" s="1092"/>
      <c r="E248" s="210"/>
      <c r="F248" s="43"/>
      <c r="G248" s="911"/>
      <c r="H248" s="911"/>
      <c r="I248" s="911"/>
      <c r="J248" s="911"/>
      <c r="K248" s="911"/>
      <c r="L248" s="911"/>
      <c r="M248" s="911"/>
      <c r="N248" s="911"/>
      <c r="O248" s="44"/>
      <c r="P248" s="899"/>
      <c r="Q248" s="899"/>
      <c r="R248" s="899"/>
      <c r="S248" s="899"/>
      <c r="T248" s="899"/>
      <c r="U248" s="899"/>
      <c r="V248" s="39"/>
      <c r="W248" s="39"/>
      <c r="X248" s="39"/>
      <c r="Y248" s="12"/>
      <c r="Z248" s="453"/>
      <c r="AA248" s="453"/>
      <c r="AB248" s="1394"/>
      <c r="AC248" s="1002"/>
      <c r="AD248" s="1436"/>
      <c r="AE248" s="1436"/>
      <c r="AF248" s="1436"/>
      <c r="AG248" s="1436"/>
      <c r="AH248" s="1436"/>
      <c r="AI248" s="1436"/>
      <c r="AJ248" s="1436"/>
      <c r="AK248" s="1436"/>
      <c r="AL248" s="1436"/>
      <c r="AM248" s="1436"/>
      <c r="AN248" s="1436"/>
      <c r="AO248" s="1436"/>
      <c r="AP248" s="1436"/>
      <c r="AQ248" s="1436"/>
      <c r="AR248" s="1436"/>
      <c r="AS248" s="1394"/>
      <c r="AT248" s="1002"/>
      <c r="AU248" s="12"/>
      <c r="AV248" s="12"/>
      <c r="AW248" s="12"/>
      <c r="AX248" s="12"/>
      <c r="AY248" s="12"/>
      <c r="AZ248" s="12"/>
      <c r="BA248" s="12"/>
      <c r="BB248" s="12"/>
      <c r="BC248" s="12"/>
      <c r="BD248" s="12"/>
      <c r="BE248" s="12"/>
      <c r="BF248" s="12"/>
      <c r="BG248" s="12"/>
      <c r="BH248" s="12"/>
      <c r="BI248" s="13"/>
    </row>
    <row r="249" spans="1:61" s="211" customFormat="1" hidden="1">
      <c r="A249" s="212" t="s">
        <v>493</v>
      </c>
      <c r="B249" s="1092"/>
      <c r="C249" s="1092"/>
      <c r="D249" s="1092"/>
      <c r="E249" s="210"/>
      <c r="F249" s="22" t="s">
        <v>1597</v>
      </c>
      <c r="G249" s="24">
        <f>IF(OR($Q404="",ISNUMBER(G$233)=FALSE),"",$Q404*G$233)</f>
        <v>0</v>
      </c>
      <c r="H249" s="24">
        <f>IF(OR($Q404="",ISNUMBER(H$233)=FALSE),"",$Q404*H$233)</f>
        <v>0</v>
      </c>
      <c r="I249" s="24"/>
      <c r="J249" s="24">
        <f>IF(OR($Q404="",ISNUMBER(J$233)=FALSE),"",$Q404*J$233)</f>
        <v>0</v>
      </c>
      <c r="K249" s="142">
        <f>IF(OR($Q404="",ISNUMBER(K$233)=FALSE),"",$Q404*K$233)</f>
        <v>0</v>
      </c>
      <c r="L249" s="142"/>
      <c r="M249" s="24">
        <f>IF(OR($Q404="",ISNUMBER(M$233)=FALSE),"",$Q404*M$233)</f>
        <v>0</v>
      </c>
      <c r="N249" s="911"/>
      <c r="O249" s="44"/>
      <c r="P249" s="899"/>
      <c r="Q249" s="899"/>
      <c r="R249" s="899"/>
      <c r="S249" s="899"/>
      <c r="T249" s="899"/>
      <c r="U249" s="899"/>
      <c r="V249" s="39"/>
      <c r="W249" s="39"/>
      <c r="X249" s="39"/>
      <c r="Y249" s="12"/>
      <c r="Z249" s="453"/>
      <c r="AA249" s="453"/>
      <c r="AB249" s="1394"/>
      <c r="AC249" s="1002"/>
      <c r="AD249" s="1436"/>
      <c r="AE249" s="1436"/>
      <c r="AF249" s="1436"/>
      <c r="AG249" s="1436"/>
      <c r="AH249" s="1436"/>
      <c r="AI249" s="1436"/>
      <c r="AJ249" s="1436"/>
      <c r="AK249" s="1436"/>
      <c r="AL249" s="1436"/>
      <c r="AM249" s="1436"/>
      <c r="AN249" s="1436"/>
      <c r="AO249" s="1436"/>
      <c r="AP249" s="1436"/>
      <c r="AQ249" s="1436"/>
      <c r="AR249" s="1436"/>
      <c r="AS249" s="1394"/>
      <c r="AT249" s="1002"/>
      <c r="AU249" s="12"/>
      <c r="AV249" s="12"/>
      <c r="AW249" s="12"/>
      <c r="AX249" s="12"/>
      <c r="AY249" s="12"/>
      <c r="AZ249" s="12"/>
      <c r="BA249" s="12"/>
      <c r="BB249" s="12"/>
      <c r="BC249" s="12"/>
      <c r="BD249" s="12"/>
      <c r="BE249" s="12"/>
      <c r="BF249" s="12"/>
      <c r="BG249" s="12"/>
      <c r="BH249" s="12"/>
      <c r="BI249" s="13"/>
    </row>
    <row r="250" spans="1:61" s="211" customFormat="1" hidden="1">
      <c r="A250" s="212" t="s">
        <v>493</v>
      </c>
      <c r="B250" s="1092"/>
      <c r="C250" s="1092"/>
      <c r="D250" s="1092"/>
      <c r="E250" s="210"/>
      <c r="F250" s="22" t="s">
        <v>1600</v>
      </c>
      <c r="G250" s="24">
        <f>SUM(G236:G247)</f>
        <v>0</v>
      </c>
      <c r="H250" s="24">
        <f t="shared" ref="H250:M250" si="110">SUM(H236:H247)</f>
        <v>0</v>
      </c>
      <c r="I250" s="24"/>
      <c r="J250" s="24">
        <f t="shared" si="110"/>
        <v>0</v>
      </c>
      <c r="K250" s="142">
        <f t="shared" si="110"/>
        <v>0</v>
      </c>
      <c r="L250" s="142"/>
      <c r="M250" s="24">
        <f t="shared" si="110"/>
        <v>0</v>
      </c>
      <c r="N250" s="911"/>
      <c r="O250" s="44"/>
      <c r="P250" s="899"/>
      <c r="Q250" s="899"/>
      <c r="R250" s="899"/>
      <c r="S250" s="899"/>
      <c r="T250" s="899"/>
      <c r="U250" s="899"/>
      <c r="V250" s="39"/>
      <c r="W250" s="39"/>
      <c r="X250" s="39"/>
      <c r="Y250" s="12"/>
      <c r="Z250" s="453"/>
      <c r="AA250" s="453"/>
      <c r="AB250" s="1394"/>
      <c r="AC250" s="1002"/>
      <c r="AD250" s="1436"/>
      <c r="AE250" s="1436"/>
      <c r="AF250" s="1436"/>
      <c r="AG250" s="1436"/>
      <c r="AH250" s="1436"/>
      <c r="AI250" s="1436"/>
      <c r="AJ250" s="1436"/>
      <c r="AK250" s="1436"/>
      <c r="AL250" s="1436"/>
      <c r="AM250" s="1436"/>
      <c r="AN250" s="1436"/>
      <c r="AO250" s="1436"/>
      <c r="AP250" s="1436"/>
      <c r="AQ250" s="1436"/>
      <c r="AR250" s="1436"/>
      <c r="AS250" s="1394"/>
      <c r="AT250" s="1002"/>
      <c r="AU250" s="12"/>
      <c r="AV250" s="12"/>
      <c r="AW250" s="12"/>
      <c r="AX250" s="12"/>
      <c r="AY250" s="12"/>
      <c r="AZ250" s="12"/>
      <c r="BA250" s="12"/>
      <c r="BB250" s="12"/>
      <c r="BC250" s="12"/>
      <c r="BD250" s="12"/>
      <c r="BE250" s="12"/>
      <c r="BF250" s="12"/>
      <c r="BG250" s="12"/>
      <c r="BH250" s="12"/>
      <c r="BI250" s="13"/>
    </row>
    <row r="251" spans="1:61" s="211" customFormat="1" hidden="1">
      <c r="A251" s="212" t="s">
        <v>493</v>
      </c>
      <c r="B251" s="1092"/>
      <c r="C251" s="1092"/>
      <c r="D251" s="1092"/>
      <c r="E251" s="210"/>
      <c r="F251" s="43"/>
      <c r="G251" s="911"/>
      <c r="H251" s="911"/>
      <c r="I251" s="911"/>
      <c r="J251" s="911"/>
      <c r="K251" s="911"/>
      <c r="L251" s="911"/>
      <c r="M251" s="911"/>
      <c r="N251" s="911" t="s">
        <v>1391</v>
      </c>
      <c r="O251" s="44"/>
      <c r="P251" s="899"/>
      <c r="Q251" s="899"/>
      <c r="R251" s="899"/>
      <c r="S251" s="899"/>
      <c r="T251" s="899"/>
      <c r="U251" s="899"/>
      <c r="V251" s="39"/>
      <c r="W251" s="39"/>
      <c r="X251" s="39"/>
      <c r="Y251" s="12"/>
      <c r="Z251" s="453"/>
      <c r="AA251" s="453"/>
      <c r="AB251" s="1394"/>
      <c r="AC251" s="1002"/>
      <c r="AD251" s="1436"/>
      <c r="AE251" s="1436"/>
      <c r="AF251" s="1436"/>
      <c r="AG251" s="1436"/>
      <c r="AH251" s="1436"/>
      <c r="AI251" s="1436"/>
      <c r="AJ251" s="1436"/>
      <c r="AK251" s="1436"/>
      <c r="AL251" s="1436"/>
      <c r="AM251" s="1436"/>
      <c r="AN251" s="1436"/>
      <c r="AO251" s="1436"/>
      <c r="AP251" s="1436"/>
      <c r="AQ251" s="1436"/>
      <c r="AR251" s="1436"/>
      <c r="AS251" s="1394"/>
      <c r="AT251" s="1002"/>
      <c r="AU251" s="12"/>
      <c r="AV251" s="12"/>
      <c r="AW251" s="12"/>
      <c r="AX251" s="12"/>
      <c r="AY251" s="12"/>
      <c r="AZ251" s="12"/>
      <c r="BA251" s="12"/>
      <c r="BB251" s="12"/>
      <c r="BC251" s="12"/>
      <c r="BD251" s="12"/>
      <c r="BE251" s="12"/>
      <c r="BF251" s="12"/>
      <c r="BG251" s="12"/>
      <c r="BH251" s="12"/>
      <c r="BI251" s="13"/>
    </row>
    <row r="252" spans="1:61" s="211" customFormat="1" hidden="1">
      <c r="A252" s="212" t="s">
        <v>493</v>
      </c>
      <c r="B252" s="1092"/>
      <c r="C252" s="1092"/>
      <c r="D252" s="1092"/>
      <c r="E252" s="210"/>
      <c r="F252" s="22" t="s">
        <v>1520</v>
      </c>
      <c r="G252" s="59">
        <f>G249/$J$275</f>
        <v>0</v>
      </c>
      <c r="H252" s="59">
        <f>H249/$J$275</f>
        <v>0</v>
      </c>
      <c r="I252" s="59"/>
      <c r="J252" s="115">
        <f>J249/$J$275</f>
        <v>0</v>
      </c>
      <c r="K252" s="115">
        <f>K249/$J$275</f>
        <v>0</v>
      </c>
      <c r="L252" s="115"/>
      <c r="M252" s="115">
        <f>M249/$J$275</f>
        <v>0</v>
      </c>
      <c r="N252" s="911"/>
      <c r="O252" s="44"/>
      <c r="P252" s="899"/>
      <c r="Q252" s="899"/>
      <c r="R252" s="899"/>
      <c r="S252" s="899"/>
      <c r="T252" s="899"/>
      <c r="U252" s="899"/>
      <c r="V252" s="39"/>
      <c r="W252" s="39"/>
      <c r="X252" s="39"/>
      <c r="Y252" s="12"/>
      <c r="Z252" s="453"/>
      <c r="AA252" s="453"/>
      <c r="AB252" s="1394"/>
      <c r="AC252" s="1002"/>
      <c r="AD252" s="1436"/>
      <c r="AE252" s="1436"/>
      <c r="AF252" s="1436"/>
      <c r="AG252" s="1436"/>
      <c r="AH252" s="1436"/>
      <c r="AI252" s="1436"/>
      <c r="AJ252" s="1436"/>
      <c r="AK252" s="1436"/>
      <c r="AL252" s="1436"/>
      <c r="AM252" s="1436"/>
      <c r="AN252" s="1436"/>
      <c r="AO252" s="1436"/>
      <c r="AP252" s="1436"/>
      <c r="AQ252" s="1436"/>
      <c r="AR252" s="1436"/>
      <c r="AS252" s="1394"/>
      <c r="AT252" s="1002"/>
      <c r="AU252" s="12"/>
      <c r="AV252" s="12"/>
      <c r="AW252" s="12"/>
      <c r="AX252" s="12"/>
      <c r="AY252" s="12"/>
      <c r="AZ252" s="12"/>
      <c r="BA252" s="12"/>
      <c r="BB252" s="12"/>
      <c r="BC252" s="12"/>
      <c r="BD252" s="12"/>
      <c r="BE252" s="12"/>
      <c r="BF252" s="12"/>
      <c r="BG252" s="12"/>
      <c r="BH252" s="12"/>
      <c r="BI252" s="13"/>
    </row>
    <row r="253" spans="1:61" s="211" customFormat="1" hidden="1">
      <c r="A253" s="212" t="s">
        <v>493</v>
      </c>
      <c r="B253" s="1092"/>
      <c r="C253" s="1092"/>
      <c r="D253" s="1092"/>
      <c r="E253" s="210"/>
      <c r="F253" s="22" t="s">
        <v>1652</v>
      </c>
      <c r="G253" s="115">
        <f>G$252*G227</f>
        <v>0</v>
      </c>
      <c r="H253" s="115">
        <f>H$252*H227</f>
        <v>0</v>
      </c>
      <c r="I253" s="115"/>
      <c r="J253" s="115">
        <f>J$252*J227</f>
        <v>0</v>
      </c>
      <c r="K253" s="115">
        <f>K$252*K227</f>
        <v>0</v>
      </c>
      <c r="L253" s="115"/>
      <c r="M253" s="115">
        <f>M$252*M227</f>
        <v>0</v>
      </c>
      <c r="N253" s="918">
        <f>SUM(G253:M253)</f>
        <v>0</v>
      </c>
      <c r="O253" s="44"/>
      <c r="P253" s="899"/>
      <c r="Q253" s="899"/>
      <c r="R253" s="899"/>
      <c r="S253" s="899"/>
      <c r="T253" s="899"/>
      <c r="U253" s="899"/>
      <c r="V253" s="39"/>
      <c r="W253" s="39"/>
      <c r="X253" s="39"/>
      <c r="Y253" s="12"/>
      <c r="Z253" s="453"/>
      <c r="AA253" s="453"/>
      <c r="AB253" s="1394"/>
      <c r="AC253" s="1002"/>
      <c r="AD253" s="1436"/>
      <c r="AE253" s="1436"/>
      <c r="AF253" s="1436"/>
      <c r="AG253" s="1436"/>
      <c r="AH253" s="1436"/>
      <c r="AI253" s="1436"/>
      <c r="AJ253" s="1436"/>
      <c r="AK253" s="1436"/>
      <c r="AL253" s="1436"/>
      <c r="AM253" s="1436"/>
      <c r="AN253" s="1436"/>
      <c r="AO253" s="1436"/>
      <c r="AP253" s="1436"/>
      <c r="AQ253" s="1436"/>
      <c r="AR253" s="1436"/>
      <c r="AS253" s="1394"/>
      <c r="AT253" s="1002"/>
      <c r="AU253" s="1421" t="s">
        <v>1621</v>
      </c>
      <c r="AV253" s="12"/>
      <c r="AW253" s="12"/>
      <c r="AX253" s="12"/>
      <c r="AY253" s="12"/>
      <c r="AZ253" s="12"/>
      <c r="BA253" s="12"/>
      <c r="BB253" s="12"/>
      <c r="BC253" s="12"/>
      <c r="BD253" s="12"/>
      <c r="BE253" s="12"/>
      <c r="BF253" s="12"/>
      <c r="BG253" s="12"/>
      <c r="BH253" s="12"/>
      <c r="BI253" s="13"/>
    </row>
    <row r="254" spans="1:61" s="211" customFormat="1" hidden="1">
      <c r="A254" s="212" t="s">
        <v>493</v>
      </c>
      <c r="B254" s="1092"/>
      <c r="C254" s="1092"/>
      <c r="D254" s="1092"/>
      <c r="E254" s="210"/>
      <c r="F254" s="22" t="s">
        <v>1653</v>
      </c>
      <c r="G254" s="115">
        <f>G$252*G229</f>
        <v>0</v>
      </c>
      <c r="H254" s="115">
        <f>H$252*H229</f>
        <v>0</v>
      </c>
      <c r="I254" s="115"/>
      <c r="J254" s="115">
        <f>J$252*J229</f>
        <v>0</v>
      </c>
      <c r="K254" s="115">
        <f>K$252*K229</f>
        <v>0</v>
      </c>
      <c r="L254" s="115"/>
      <c r="M254" s="115">
        <f>M$252*M229</f>
        <v>0</v>
      </c>
      <c r="N254" s="918">
        <f>SUM(G254:M254)</f>
        <v>0</v>
      </c>
      <c r="O254" s="44"/>
      <c r="P254" s="899"/>
      <c r="Q254" s="899"/>
      <c r="R254" s="899"/>
      <c r="S254" s="899"/>
      <c r="T254" s="899"/>
      <c r="U254" s="899"/>
      <c r="V254" s="39"/>
      <c r="W254" s="39"/>
      <c r="X254" s="39"/>
      <c r="Y254" s="12"/>
      <c r="Z254" s="453"/>
      <c r="AA254" s="453"/>
      <c r="AB254" s="1394"/>
      <c r="AC254" s="1002"/>
      <c r="AD254" s="1436"/>
      <c r="AE254" s="1436"/>
      <c r="AF254" s="1436"/>
      <c r="AG254" s="1436"/>
      <c r="AH254" s="1436"/>
      <c r="AI254" s="1436"/>
      <c r="AJ254" s="1436"/>
      <c r="AK254" s="1436"/>
      <c r="AL254" s="1436"/>
      <c r="AM254" s="1436"/>
      <c r="AN254" s="1436"/>
      <c r="AO254" s="1436"/>
      <c r="AP254" s="1436"/>
      <c r="AQ254" s="1436"/>
      <c r="AR254" s="1436"/>
      <c r="AS254" s="1394"/>
      <c r="AT254" s="1002"/>
      <c r="AU254" s="1422" t="s">
        <v>1654</v>
      </c>
      <c r="AV254" s="12"/>
      <c r="AW254" s="12"/>
      <c r="AX254" s="12"/>
      <c r="AY254" s="12"/>
      <c r="AZ254" s="12"/>
      <c r="BA254" s="12"/>
      <c r="BB254" s="12"/>
      <c r="BC254" s="12"/>
      <c r="BD254" s="12"/>
      <c r="BE254" s="12"/>
      <c r="BF254" s="12"/>
      <c r="BG254" s="12"/>
      <c r="BH254" s="12"/>
      <c r="BI254" s="13"/>
    </row>
    <row r="255" spans="1:61" s="211" customFormat="1" hidden="1">
      <c r="A255" s="212" t="s">
        <v>493</v>
      </c>
      <c r="B255" s="1092"/>
      <c r="C255" s="1092"/>
      <c r="D255" s="1092"/>
      <c r="E255" s="210"/>
      <c r="F255" s="911"/>
      <c r="G255" s="911"/>
      <c r="H255" s="911"/>
      <c r="I255" s="911"/>
      <c r="J255" s="911"/>
      <c r="K255" s="911"/>
      <c r="L255" s="911"/>
      <c r="M255" s="911"/>
      <c r="N255" s="911"/>
      <c r="O255" s="44"/>
      <c r="P255" s="899"/>
      <c r="Q255" s="899"/>
      <c r="R255" s="899"/>
      <c r="S255" s="899"/>
      <c r="T255" s="899"/>
      <c r="U255" s="899"/>
      <c r="V255" s="39"/>
      <c r="W255" s="39"/>
      <c r="X255" s="39"/>
      <c r="Y255" s="12"/>
      <c r="Z255" s="453"/>
      <c r="AA255" s="453"/>
      <c r="AB255" s="1394"/>
      <c r="AC255" s="1002"/>
      <c r="AD255" s="1436"/>
      <c r="AE255" s="1436"/>
      <c r="AF255" s="1436"/>
      <c r="AG255" s="1436"/>
      <c r="AH255" s="1436"/>
      <c r="AI255" s="1436"/>
      <c r="AJ255" s="1436"/>
      <c r="AK255" s="1436"/>
      <c r="AL255" s="1436"/>
      <c r="AM255" s="1436"/>
      <c r="AN255" s="1436"/>
      <c r="AO255" s="1436"/>
      <c r="AP255" s="1436"/>
      <c r="AQ255" s="1436"/>
      <c r="AR255" s="1436"/>
      <c r="AS255" s="1394"/>
      <c r="AT255" s="1002"/>
      <c r="AU255" s="12"/>
      <c r="AV255" s="12"/>
      <c r="AW255" s="12"/>
      <c r="AX255" s="12"/>
      <c r="AY255" s="12"/>
      <c r="AZ255" s="12"/>
      <c r="BA255" s="12"/>
      <c r="BB255" s="12"/>
      <c r="BC255" s="12"/>
      <c r="BD255" s="12"/>
      <c r="BE255" s="12"/>
      <c r="BF255" s="12"/>
      <c r="BG255" s="12"/>
      <c r="BH255" s="12"/>
      <c r="BI255" s="13"/>
    </row>
    <row r="256" spans="1:61">
      <c r="A256" s="86"/>
      <c r="B256" s="943"/>
      <c r="C256" s="943"/>
      <c r="D256" s="943"/>
      <c r="E256" s="14"/>
      <c r="F256" s="22" t="s">
        <v>297</v>
      </c>
      <c r="G256" s="214" t="str">
        <f>IFERROR(FIXED(ROUND(G236/G$231,G$232),G$232),"")</f>
        <v/>
      </c>
      <c r="H256" s="214" t="str">
        <f t="shared" ref="H256:M256" si="111">IFERROR(FIXED(ROUND(H236/H$231,H$232),H$232),"")</f>
        <v/>
      </c>
      <c r="I256" s="214" t="str">
        <f t="shared" si="111"/>
        <v/>
      </c>
      <c r="J256" s="214" t="str">
        <f t="shared" si="111"/>
        <v/>
      </c>
      <c r="K256" s="214" t="str">
        <f t="shared" si="111"/>
        <v/>
      </c>
      <c r="L256" s="214" t="str">
        <f t="shared" si="111"/>
        <v/>
      </c>
      <c r="M256" s="214" t="str">
        <f t="shared" si="111"/>
        <v/>
      </c>
      <c r="N256" s="142" t="str">
        <f t="shared" ref="N256:N267" si="112">IF(M44&gt;0,M44/$M$58*$J$275,"")</f>
        <v/>
      </c>
      <c r="O256" s="44"/>
      <c r="P256" s="899"/>
      <c r="Q256" s="899"/>
      <c r="R256" s="899"/>
      <c r="S256" s="899"/>
      <c r="T256" s="899"/>
      <c r="U256" s="899"/>
      <c r="V256" s="39"/>
      <c r="W256" s="39"/>
      <c r="X256" s="39"/>
      <c r="Y256" s="12"/>
      <c r="Z256" s="453"/>
      <c r="AA256" s="453"/>
      <c r="AB256" s="67"/>
      <c r="AC256" s="995"/>
      <c r="AD256" s="891"/>
      <c r="AE256" s="22" t="str">
        <f>F256</f>
        <v>woning</v>
      </c>
      <c r="AF256" s="22"/>
      <c r="AG256" s="1445" t="str">
        <f t="shared" ref="AG256:AH267" si="113">IF($N256&lt;&gt;"",F372,"")</f>
        <v/>
      </c>
      <c r="AH256" s="1449" t="str">
        <f t="shared" si="113"/>
        <v/>
      </c>
      <c r="AI256" s="1415"/>
      <c r="AJ256" s="1445" t="str">
        <f t="shared" ref="AJ256:AJ267" si="114">IFERROR(SUMPRODUCT($G$229:$M$229,$G236:$M236)/N256,"")</f>
        <v/>
      </c>
      <c r="AK256" s="1442" t="str">
        <f t="shared" ref="AK256:AK267" si="115">IFERROR(IF(N256&lt;&gt;"",$M$273,""),"")</f>
        <v/>
      </c>
      <c r="AL256" s="1449" t="str">
        <f t="shared" ref="AL256:AL267" si="116">IF(N256&lt;&gt;"",SUM(AJ256,AK256),"")</f>
        <v/>
      </c>
      <c r="AM256" s="1420"/>
      <c r="AN256" s="1445" t="str">
        <f t="shared" ref="AN256:AN267" si="117">IF($N256&lt;&gt;"",N391,"")</f>
        <v/>
      </c>
      <c r="AO256" s="1442" t="str">
        <f t="shared" ref="AO256:AO267" si="118">IF(N256&lt;&gt;"",$J$272,"")</f>
        <v/>
      </c>
      <c r="AP256" s="1442" t="str">
        <f t="shared" ref="AP256:AP267" si="119">IF($N256&lt;&gt;"",SUM(AN256,AO256),"")</f>
        <v/>
      </c>
      <c r="AQ256" s="1420"/>
      <c r="AR256" s="1450" t="str">
        <f t="shared" ref="AR256:AR267" si="120">IF($N256&lt;&gt;"",W391,"")</f>
        <v/>
      </c>
      <c r="AS256" s="67"/>
      <c r="AT256" s="995"/>
      <c r="AU256" s="12"/>
      <c r="AV256" s="12"/>
      <c r="AW256" s="12"/>
      <c r="AX256" s="12"/>
      <c r="AY256" s="12"/>
      <c r="AZ256" s="12"/>
      <c r="BA256" s="12"/>
      <c r="BB256" s="12"/>
      <c r="BC256" s="12"/>
      <c r="BD256" s="12"/>
      <c r="BE256" s="12"/>
      <c r="BF256" s="12"/>
      <c r="BG256" s="12"/>
      <c r="BH256" s="12"/>
      <c r="BI256" s="13"/>
    </row>
    <row r="257" spans="1:61">
      <c r="A257" s="86"/>
      <c r="B257" s="943"/>
      <c r="C257" s="943"/>
      <c r="D257" s="943"/>
      <c r="E257" s="14"/>
      <c r="F257" s="22" t="s">
        <v>298</v>
      </c>
      <c r="G257" s="214" t="str">
        <f t="shared" ref="G257:M267" si="121">IFERROR(FIXED(ROUND(G237/G$231,G$232),G$232),"")</f>
        <v/>
      </c>
      <c r="H257" s="214" t="str">
        <f t="shared" si="121"/>
        <v/>
      </c>
      <c r="I257" s="214" t="str">
        <f t="shared" si="121"/>
        <v/>
      </c>
      <c r="J257" s="214" t="str">
        <f t="shared" si="121"/>
        <v/>
      </c>
      <c r="K257" s="214" t="str">
        <f t="shared" si="121"/>
        <v/>
      </c>
      <c r="L257" s="214" t="str">
        <f t="shared" si="121"/>
        <v/>
      </c>
      <c r="M257" s="214" t="str">
        <f t="shared" si="121"/>
        <v/>
      </c>
      <c r="N257" s="142" t="str">
        <f t="shared" si="112"/>
        <v/>
      </c>
      <c r="O257" s="44"/>
      <c r="P257" s="899"/>
      <c r="Q257" s="899"/>
      <c r="R257" s="899"/>
      <c r="S257" s="899"/>
      <c r="T257" s="899"/>
      <c r="U257" s="899"/>
      <c r="V257" s="39"/>
      <c r="W257" s="39"/>
      <c r="X257" s="39"/>
      <c r="Y257" s="12"/>
      <c r="Z257" s="453"/>
      <c r="AA257" s="453"/>
      <c r="AB257" s="67"/>
      <c r="AC257" s="995"/>
      <c r="AD257" s="1434"/>
      <c r="AE257" s="22" t="str">
        <f t="shared" ref="AE257:AE267" si="122">F257</f>
        <v>woongebouw</v>
      </c>
      <c r="AF257" s="22"/>
      <c r="AG257" s="1445" t="str">
        <f t="shared" si="113"/>
        <v/>
      </c>
      <c r="AH257" s="1449" t="str">
        <f t="shared" si="113"/>
        <v/>
      </c>
      <c r="AI257" s="1415"/>
      <c r="AJ257" s="1445" t="str">
        <f t="shared" si="114"/>
        <v/>
      </c>
      <c r="AK257" s="1442" t="str">
        <f t="shared" si="115"/>
        <v/>
      </c>
      <c r="AL257" s="1449" t="str">
        <f t="shared" si="116"/>
        <v/>
      </c>
      <c r="AM257" s="1420"/>
      <c r="AN257" s="1445" t="str">
        <f t="shared" si="117"/>
        <v/>
      </c>
      <c r="AO257" s="1442" t="str">
        <f t="shared" si="118"/>
        <v/>
      </c>
      <c r="AP257" s="1442" t="str">
        <f t="shared" si="119"/>
        <v/>
      </c>
      <c r="AQ257" s="1420"/>
      <c r="AR257" s="1450" t="str">
        <f t="shared" si="120"/>
        <v/>
      </c>
      <c r="AS257" s="67"/>
      <c r="AT257" s="995"/>
      <c r="AU257" s="12"/>
      <c r="AV257" s="12"/>
      <c r="AW257" s="12"/>
      <c r="AX257" s="12"/>
      <c r="AY257" s="12"/>
      <c r="AZ257" s="12"/>
      <c r="BA257" s="12"/>
      <c r="BB257" s="12"/>
      <c r="BC257" s="12"/>
      <c r="BD257" s="12"/>
      <c r="BE257" s="12"/>
      <c r="BF257" s="12"/>
      <c r="BG257" s="12"/>
      <c r="BH257" s="12"/>
      <c r="BI257" s="13"/>
    </row>
    <row r="258" spans="1:61">
      <c r="A258" s="86"/>
      <c r="B258" s="943"/>
      <c r="C258" s="943"/>
      <c r="D258" s="943"/>
      <c r="E258" s="14"/>
      <c r="F258" s="22" t="s">
        <v>303</v>
      </c>
      <c r="G258" s="214" t="str">
        <f t="shared" si="121"/>
        <v>0</v>
      </c>
      <c r="H258" s="214" t="str">
        <f t="shared" si="121"/>
        <v>0</v>
      </c>
      <c r="I258" s="214" t="str">
        <f t="shared" si="121"/>
        <v/>
      </c>
      <c r="J258" s="214" t="str">
        <f t="shared" si="121"/>
        <v>0</v>
      </c>
      <c r="K258" s="214" t="str">
        <f t="shared" si="121"/>
        <v>0.0</v>
      </c>
      <c r="L258" s="214" t="str">
        <f t="shared" si="121"/>
        <v/>
      </c>
      <c r="M258" s="214" t="str">
        <f t="shared" si="121"/>
        <v>0</v>
      </c>
      <c r="N258" s="142">
        <f t="shared" si="112"/>
        <v>0.33333333333333331</v>
      </c>
      <c r="O258" s="44"/>
      <c r="P258" s="899"/>
      <c r="Q258" s="899"/>
      <c r="R258" s="899"/>
      <c r="S258" s="899"/>
      <c r="T258" s="899"/>
      <c r="U258" s="899"/>
      <c r="V258" s="39"/>
      <c r="W258" s="39"/>
      <c r="X258" s="39"/>
      <c r="Y258" s="12"/>
      <c r="Z258" s="453"/>
      <c r="AA258" s="453"/>
      <c r="AB258" s="67"/>
      <c r="AC258" s="995"/>
      <c r="AD258" s="1429"/>
      <c r="AE258" s="22" t="str">
        <f t="shared" si="122"/>
        <v>kantoor</v>
      </c>
      <c r="AF258" s="22"/>
      <c r="AG258" s="1445">
        <f t="shared" si="113"/>
        <v>3.4865208868082185</v>
      </c>
      <c r="AH258" s="1449">
        <f t="shared" si="113"/>
        <v>-0.5305607399933423</v>
      </c>
      <c r="AI258" s="1415"/>
      <c r="AJ258" s="1445">
        <f t="shared" si="114"/>
        <v>0</v>
      </c>
      <c r="AK258" s="1442">
        <f t="shared" si="115"/>
        <v>0</v>
      </c>
      <c r="AL258" s="1449">
        <f t="shared" si="116"/>
        <v>0</v>
      </c>
      <c r="AM258" s="1420"/>
      <c r="AN258" s="1445">
        <f t="shared" si="117"/>
        <v>-0.5022570992159382</v>
      </c>
      <c r="AO258" s="1442">
        <f t="shared" si="118"/>
        <v>0</v>
      </c>
      <c r="AP258" s="1442">
        <f t="shared" si="119"/>
        <v>-0.5022570992159382</v>
      </c>
      <c r="AQ258" s="1420"/>
      <c r="AR258" s="1450">
        <f t="shared" si="120"/>
        <v>9.3475773529000428</v>
      </c>
      <c r="AS258" s="67"/>
      <c r="AT258" s="995"/>
      <c r="AU258" s="12"/>
      <c r="AV258" s="12"/>
      <c r="AW258" s="12"/>
      <c r="AX258" s="12"/>
      <c r="AY258" s="12"/>
      <c r="AZ258" s="12"/>
      <c r="BA258" s="12"/>
      <c r="BB258" s="12"/>
      <c r="BC258" s="12"/>
      <c r="BD258" s="12"/>
      <c r="BE258" s="12"/>
      <c r="BF258" s="12"/>
      <c r="BG258" s="12"/>
      <c r="BH258" s="12"/>
      <c r="BI258" s="13"/>
    </row>
    <row r="259" spans="1:61">
      <c r="A259" s="86"/>
      <c r="B259" s="943"/>
      <c r="C259" s="943"/>
      <c r="D259" s="943"/>
      <c r="E259" s="14"/>
      <c r="F259" s="22" t="s">
        <v>299</v>
      </c>
      <c r="G259" s="214" t="str">
        <f t="shared" si="121"/>
        <v>0</v>
      </c>
      <c r="H259" s="214" t="str">
        <f t="shared" si="121"/>
        <v>0</v>
      </c>
      <c r="I259" s="214" t="str">
        <f t="shared" si="121"/>
        <v/>
      </c>
      <c r="J259" s="214" t="str">
        <f t="shared" si="121"/>
        <v>0</v>
      </c>
      <c r="K259" s="214" t="str">
        <f t="shared" si="121"/>
        <v>0.0</v>
      </c>
      <c r="L259" s="214" t="str">
        <f t="shared" si="121"/>
        <v/>
      </c>
      <c r="M259" s="214" t="str">
        <f t="shared" si="121"/>
        <v>0</v>
      </c>
      <c r="N259" s="142">
        <f t="shared" si="112"/>
        <v>0.33333333333333331</v>
      </c>
      <c r="O259" s="44"/>
      <c r="P259" s="899"/>
      <c r="Q259" s="899"/>
      <c r="R259" s="899"/>
      <c r="S259" s="899"/>
      <c r="T259" s="899"/>
      <c r="U259" s="899"/>
      <c r="V259" s="39"/>
      <c r="W259" s="39"/>
      <c r="X259" s="39"/>
      <c r="Y259" s="12"/>
      <c r="Z259" s="453"/>
      <c r="AA259" s="453"/>
      <c r="AB259" s="67"/>
      <c r="AC259" s="995"/>
      <c r="AD259" s="891"/>
      <c r="AE259" s="22" t="str">
        <f t="shared" si="122"/>
        <v>bijeenkomst overig</v>
      </c>
      <c r="AF259" s="22"/>
      <c r="AG259" s="1445">
        <f t="shared" si="113"/>
        <v>5.9018217018557069</v>
      </c>
      <c r="AH259" s="1449">
        <f t="shared" si="113"/>
        <v>0.18902985498063157</v>
      </c>
      <c r="AI259" s="1415"/>
      <c r="AJ259" s="1445">
        <f t="shared" si="114"/>
        <v>0</v>
      </c>
      <c r="AK259" s="1442">
        <f t="shared" si="115"/>
        <v>0</v>
      </c>
      <c r="AL259" s="1449">
        <f t="shared" si="116"/>
        <v>0</v>
      </c>
      <c r="AM259" s="1420"/>
      <c r="AN259" s="1445">
        <f t="shared" si="117"/>
        <v>0.22928116757314571</v>
      </c>
      <c r="AO259" s="1442">
        <f t="shared" si="118"/>
        <v>0</v>
      </c>
      <c r="AP259" s="1442">
        <f t="shared" si="119"/>
        <v>0.22928116757314571</v>
      </c>
      <c r="AQ259" s="1420"/>
      <c r="AR259" s="1450">
        <f t="shared" si="120"/>
        <v>10.170463031466067</v>
      </c>
      <c r="AS259" s="67"/>
      <c r="AT259" s="995"/>
      <c r="AU259" s="12"/>
      <c r="AV259" s="12"/>
      <c r="AW259" s="12"/>
      <c r="AX259" s="12"/>
      <c r="AY259" s="12"/>
      <c r="AZ259" s="12"/>
      <c r="BA259" s="12"/>
      <c r="BB259" s="12"/>
      <c r="BC259" s="12"/>
      <c r="BD259" s="12"/>
      <c r="BE259" s="12"/>
      <c r="BF259" s="12"/>
      <c r="BG259" s="12"/>
      <c r="BH259" s="12"/>
      <c r="BI259" s="13"/>
    </row>
    <row r="260" spans="1:61">
      <c r="A260" s="86"/>
      <c r="B260" s="943"/>
      <c r="C260" s="943"/>
      <c r="D260" s="943"/>
      <c r="E260" s="14"/>
      <c r="F260" s="22" t="s">
        <v>422</v>
      </c>
      <c r="G260" s="214" t="str">
        <f t="shared" si="121"/>
        <v>0</v>
      </c>
      <c r="H260" s="214" t="str">
        <f t="shared" si="121"/>
        <v>0</v>
      </c>
      <c r="I260" s="214" t="str">
        <f t="shared" si="121"/>
        <v/>
      </c>
      <c r="J260" s="214" t="str">
        <f t="shared" si="121"/>
        <v>0</v>
      </c>
      <c r="K260" s="214" t="str">
        <f t="shared" si="121"/>
        <v>0.0</v>
      </c>
      <c r="L260" s="214" t="str">
        <f t="shared" si="121"/>
        <v/>
      </c>
      <c r="M260" s="214" t="str">
        <f t="shared" si="121"/>
        <v>0</v>
      </c>
      <c r="N260" s="142">
        <f t="shared" si="112"/>
        <v>0.33333333333333331</v>
      </c>
      <c r="O260" s="44"/>
      <c r="P260" s="899"/>
      <c r="Q260" s="899"/>
      <c r="R260" s="899"/>
      <c r="S260" s="899"/>
      <c r="T260" s="899"/>
      <c r="U260" s="899"/>
      <c r="V260" s="39"/>
      <c r="W260" s="39"/>
      <c r="X260" s="39"/>
      <c r="Y260" s="12"/>
      <c r="Z260" s="453"/>
      <c r="AA260" s="453"/>
      <c r="AB260" s="67"/>
      <c r="AC260" s="995"/>
      <c r="AD260" s="891"/>
      <c r="AE260" s="22" t="str">
        <f t="shared" si="122"/>
        <v>bijeenkomst kinderdagverblijf</v>
      </c>
      <c r="AF260" s="22"/>
      <c r="AG260" s="1445">
        <f t="shared" si="113"/>
        <v>7.4271911215853379</v>
      </c>
      <c r="AH260" s="1449">
        <f t="shared" si="113"/>
        <v>0.22221092604712483</v>
      </c>
      <c r="AI260" s="1415"/>
      <c r="AJ260" s="1445">
        <f t="shared" si="114"/>
        <v>0</v>
      </c>
      <c r="AK260" s="1442">
        <f t="shared" si="115"/>
        <v>0</v>
      </c>
      <c r="AL260" s="1449">
        <f t="shared" si="116"/>
        <v>0</v>
      </c>
      <c r="AM260" s="1420"/>
      <c r="AN260" s="1445">
        <f t="shared" si="117"/>
        <v>0.27297593164278977</v>
      </c>
      <c r="AO260" s="1442">
        <f t="shared" si="118"/>
        <v>0</v>
      </c>
      <c r="AP260" s="1442">
        <f t="shared" si="119"/>
        <v>0.27297593164278977</v>
      </c>
      <c r="AQ260" s="1420"/>
      <c r="AR260" s="1450">
        <f t="shared" si="120"/>
        <v>10.158792810244515</v>
      </c>
      <c r="AS260" s="67"/>
      <c r="AT260" s="995"/>
      <c r="AU260" s="12"/>
      <c r="AV260" s="12"/>
      <c r="AW260" s="12"/>
      <c r="AX260" s="12"/>
      <c r="AY260" s="12"/>
      <c r="AZ260" s="12"/>
      <c r="BA260" s="12"/>
      <c r="BB260" s="12"/>
      <c r="BC260" s="12"/>
      <c r="BD260" s="12"/>
      <c r="BE260" s="12"/>
      <c r="BF260" s="12"/>
      <c r="BG260" s="12"/>
      <c r="BH260" s="12"/>
      <c r="BI260" s="13"/>
    </row>
    <row r="261" spans="1:61">
      <c r="A261" s="86"/>
      <c r="B261" s="943"/>
      <c r="C261" s="943"/>
      <c r="D261" s="943"/>
      <c r="E261" s="14"/>
      <c r="F261" s="22" t="s">
        <v>305</v>
      </c>
      <c r="G261" s="214" t="str">
        <f t="shared" si="121"/>
        <v/>
      </c>
      <c r="H261" s="214" t="str">
        <f t="shared" si="121"/>
        <v/>
      </c>
      <c r="I261" s="214" t="str">
        <f t="shared" si="121"/>
        <v/>
      </c>
      <c r="J261" s="214" t="str">
        <f t="shared" si="121"/>
        <v/>
      </c>
      <c r="K261" s="214" t="str">
        <f t="shared" si="121"/>
        <v/>
      </c>
      <c r="L261" s="214" t="str">
        <f t="shared" si="121"/>
        <v/>
      </c>
      <c r="M261" s="214" t="str">
        <f t="shared" si="121"/>
        <v/>
      </c>
      <c r="N261" s="142" t="str">
        <f t="shared" si="112"/>
        <v/>
      </c>
      <c r="O261" s="44"/>
      <c r="P261" s="899"/>
      <c r="Q261" s="899"/>
      <c r="R261" s="899"/>
      <c r="S261" s="899"/>
      <c r="T261" s="899"/>
      <c r="U261" s="899"/>
      <c r="V261" s="39"/>
      <c r="W261" s="39"/>
      <c r="X261" s="39"/>
      <c r="Y261" s="12"/>
      <c r="Z261" s="453"/>
      <c r="AA261" s="453"/>
      <c r="AB261" s="67"/>
      <c r="AC261" s="995"/>
      <c r="AD261" s="891"/>
      <c r="AE261" s="22" t="str">
        <f t="shared" si="122"/>
        <v>onderwijs</v>
      </c>
      <c r="AF261" s="22"/>
      <c r="AG261" s="1445" t="str">
        <f t="shared" si="113"/>
        <v/>
      </c>
      <c r="AH261" s="1449" t="str">
        <f t="shared" si="113"/>
        <v/>
      </c>
      <c r="AI261" s="1415"/>
      <c r="AJ261" s="1445" t="str">
        <f t="shared" si="114"/>
        <v/>
      </c>
      <c r="AK261" s="1442" t="str">
        <f t="shared" si="115"/>
        <v/>
      </c>
      <c r="AL261" s="1449" t="str">
        <f t="shared" si="116"/>
        <v/>
      </c>
      <c r="AM261" s="1420"/>
      <c r="AN261" s="1445" t="str">
        <f t="shared" si="117"/>
        <v/>
      </c>
      <c r="AO261" s="1442" t="str">
        <f t="shared" si="118"/>
        <v/>
      </c>
      <c r="AP261" s="1442" t="str">
        <f t="shared" si="119"/>
        <v/>
      </c>
      <c r="AQ261" s="1420"/>
      <c r="AR261" s="1450" t="str">
        <f t="shared" si="120"/>
        <v/>
      </c>
      <c r="AS261" s="67"/>
      <c r="AT261" s="995"/>
      <c r="AU261" s="12"/>
      <c r="AV261" s="12"/>
      <c r="AW261" s="12"/>
      <c r="AX261" s="12"/>
      <c r="AY261" s="12"/>
      <c r="AZ261" s="12"/>
      <c r="BA261" s="12"/>
      <c r="BB261" s="12"/>
      <c r="BC261" s="12"/>
      <c r="BD261" s="12"/>
      <c r="BE261" s="12"/>
      <c r="BF261" s="12"/>
      <c r="BG261" s="12"/>
      <c r="BH261" s="12"/>
      <c r="BI261" s="13"/>
    </row>
    <row r="262" spans="1:61">
      <c r="A262" s="86"/>
      <c r="B262" s="943"/>
      <c r="C262" s="943"/>
      <c r="D262" s="943"/>
      <c r="E262" s="14"/>
      <c r="F262" s="22" t="s">
        <v>302</v>
      </c>
      <c r="G262" s="214" t="str">
        <f t="shared" si="121"/>
        <v/>
      </c>
      <c r="H262" s="214" t="str">
        <f t="shared" si="121"/>
        <v/>
      </c>
      <c r="I262" s="214" t="str">
        <f t="shared" si="121"/>
        <v/>
      </c>
      <c r="J262" s="214" t="str">
        <f t="shared" si="121"/>
        <v/>
      </c>
      <c r="K262" s="214" t="str">
        <f t="shared" si="121"/>
        <v/>
      </c>
      <c r="L262" s="214" t="str">
        <f t="shared" si="121"/>
        <v/>
      </c>
      <c r="M262" s="214" t="str">
        <f t="shared" si="121"/>
        <v/>
      </c>
      <c r="N262" s="142" t="str">
        <f t="shared" si="112"/>
        <v/>
      </c>
      <c r="O262" s="44"/>
      <c r="P262" s="899"/>
      <c r="Q262" s="899"/>
      <c r="R262" s="899"/>
      <c r="S262" s="899"/>
      <c r="T262" s="899"/>
      <c r="U262" s="899"/>
      <c r="V262" s="39"/>
      <c r="W262" s="39"/>
      <c r="X262" s="39"/>
      <c r="Y262" s="12"/>
      <c r="Z262" s="453"/>
      <c r="AA262" s="453"/>
      <c r="AB262" s="67"/>
      <c r="AC262" s="995"/>
      <c r="AD262" s="1429"/>
      <c r="AE262" s="22" t="str">
        <f t="shared" si="122"/>
        <v>gezondheid overig</v>
      </c>
      <c r="AF262" s="22"/>
      <c r="AG262" s="1445" t="str">
        <f t="shared" si="113"/>
        <v/>
      </c>
      <c r="AH262" s="1449" t="str">
        <f t="shared" si="113"/>
        <v/>
      </c>
      <c r="AI262" s="1415"/>
      <c r="AJ262" s="1445" t="str">
        <f t="shared" si="114"/>
        <v/>
      </c>
      <c r="AK262" s="1442" t="str">
        <f t="shared" si="115"/>
        <v/>
      </c>
      <c r="AL262" s="1449" t="str">
        <f t="shared" si="116"/>
        <v/>
      </c>
      <c r="AM262" s="1420"/>
      <c r="AN262" s="1445" t="str">
        <f t="shared" si="117"/>
        <v/>
      </c>
      <c r="AO262" s="1442" t="str">
        <f t="shared" si="118"/>
        <v/>
      </c>
      <c r="AP262" s="1442" t="str">
        <f t="shared" si="119"/>
        <v/>
      </c>
      <c r="AQ262" s="1420"/>
      <c r="AR262" s="1450" t="str">
        <f t="shared" si="120"/>
        <v/>
      </c>
      <c r="AS262" s="67"/>
      <c r="AT262" s="995"/>
      <c r="AU262" s="12"/>
      <c r="AV262" s="12"/>
      <c r="AW262" s="12"/>
      <c r="AX262" s="12"/>
      <c r="AY262" s="12"/>
      <c r="AZ262" s="12"/>
      <c r="BA262" s="12"/>
      <c r="BB262" s="12"/>
      <c r="BC262" s="12"/>
      <c r="BD262" s="12"/>
      <c r="BE262" s="12"/>
      <c r="BF262" s="12"/>
      <c r="BG262" s="12"/>
      <c r="BH262" s="12"/>
      <c r="BI262" s="13"/>
    </row>
    <row r="263" spans="1:61">
      <c r="A263" s="86"/>
      <c r="B263" s="943"/>
      <c r="C263" s="943"/>
      <c r="D263" s="943"/>
      <c r="E263" s="14"/>
      <c r="F263" s="22" t="s">
        <v>423</v>
      </c>
      <c r="G263" s="214" t="str">
        <f t="shared" si="121"/>
        <v/>
      </c>
      <c r="H263" s="214" t="str">
        <f t="shared" si="121"/>
        <v/>
      </c>
      <c r="I263" s="214" t="str">
        <f t="shared" si="121"/>
        <v/>
      </c>
      <c r="J263" s="214" t="str">
        <f t="shared" si="121"/>
        <v/>
      </c>
      <c r="K263" s="214" t="str">
        <f t="shared" si="121"/>
        <v/>
      </c>
      <c r="L263" s="214" t="str">
        <f t="shared" si="121"/>
        <v/>
      </c>
      <c r="M263" s="214" t="str">
        <f t="shared" si="121"/>
        <v/>
      </c>
      <c r="N263" s="142" t="str">
        <f t="shared" si="112"/>
        <v/>
      </c>
      <c r="O263" s="44"/>
      <c r="P263" s="899"/>
      <c r="Q263" s="899"/>
      <c r="R263" s="899"/>
      <c r="S263" s="899"/>
      <c r="T263" s="899"/>
      <c r="U263" s="899"/>
      <c r="V263" s="39"/>
      <c r="W263" s="39"/>
      <c r="X263" s="39"/>
      <c r="Y263" s="12"/>
      <c r="Z263" s="453"/>
      <c r="AA263" s="453"/>
      <c r="AB263" s="67"/>
      <c r="AC263" s="995"/>
      <c r="AD263" s="891"/>
      <c r="AE263" s="22" t="str">
        <f t="shared" si="122"/>
        <v>gezondheid bedgebied</v>
      </c>
      <c r="AF263" s="22"/>
      <c r="AG263" s="1445" t="str">
        <f t="shared" si="113"/>
        <v/>
      </c>
      <c r="AH263" s="1449" t="str">
        <f t="shared" si="113"/>
        <v/>
      </c>
      <c r="AI263" s="1415"/>
      <c r="AJ263" s="1445" t="str">
        <f t="shared" si="114"/>
        <v/>
      </c>
      <c r="AK263" s="1442" t="str">
        <f t="shared" si="115"/>
        <v/>
      </c>
      <c r="AL263" s="1449" t="str">
        <f t="shared" si="116"/>
        <v/>
      </c>
      <c r="AM263" s="1420"/>
      <c r="AN263" s="1445" t="str">
        <f t="shared" si="117"/>
        <v/>
      </c>
      <c r="AO263" s="1442" t="str">
        <f t="shared" si="118"/>
        <v/>
      </c>
      <c r="AP263" s="1442" t="str">
        <f t="shared" si="119"/>
        <v/>
      </c>
      <c r="AQ263" s="1420"/>
      <c r="AR263" s="1450" t="str">
        <f t="shared" si="120"/>
        <v/>
      </c>
      <c r="AS263" s="67"/>
      <c r="AT263" s="995"/>
      <c r="AU263" s="12"/>
      <c r="AV263" s="12"/>
      <c r="AW263" s="12"/>
      <c r="AX263" s="12"/>
      <c r="AY263" s="12"/>
      <c r="AZ263" s="12"/>
      <c r="BA263" s="12"/>
      <c r="BB263" s="12"/>
      <c r="BC263" s="12"/>
      <c r="BD263" s="12"/>
      <c r="BE263" s="12"/>
      <c r="BF263" s="12"/>
      <c r="BG263" s="12"/>
      <c r="BH263" s="12"/>
      <c r="BI263" s="13"/>
    </row>
    <row r="264" spans="1:61">
      <c r="A264" s="86"/>
      <c r="B264" s="943"/>
      <c r="C264" s="943"/>
      <c r="D264" s="943"/>
      <c r="E264" s="14"/>
      <c r="F264" s="22" t="s">
        <v>307</v>
      </c>
      <c r="G264" s="214" t="str">
        <f t="shared" si="121"/>
        <v/>
      </c>
      <c r="H264" s="214" t="str">
        <f t="shared" si="121"/>
        <v/>
      </c>
      <c r="I264" s="214" t="str">
        <f t="shared" si="121"/>
        <v/>
      </c>
      <c r="J264" s="214" t="str">
        <f t="shared" si="121"/>
        <v/>
      </c>
      <c r="K264" s="214" t="str">
        <f t="shared" si="121"/>
        <v/>
      </c>
      <c r="L264" s="214" t="str">
        <f t="shared" si="121"/>
        <v/>
      </c>
      <c r="M264" s="214" t="str">
        <f t="shared" si="121"/>
        <v/>
      </c>
      <c r="N264" s="142" t="str">
        <f t="shared" si="112"/>
        <v/>
      </c>
      <c r="O264" s="44"/>
      <c r="P264" s="899"/>
      <c r="Q264" s="899"/>
      <c r="R264" s="899"/>
      <c r="S264" s="899"/>
      <c r="T264" s="899"/>
      <c r="U264" s="899"/>
      <c r="V264" s="39"/>
      <c r="W264" s="39"/>
      <c r="X264" s="39"/>
      <c r="Y264" s="12"/>
      <c r="Z264" s="453"/>
      <c r="AA264" s="453"/>
      <c r="AB264" s="67"/>
      <c r="AC264" s="995"/>
      <c r="AD264" s="891"/>
      <c r="AE264" s="22" t="str">
        <f t="shared" si="122"/>
        <v>winkel</v>
      </c>
      <c r="AF264" s="22"/>
      <c r="AG264" s="1445" t="str">
        <f t="shared" si="113"/>
        <v/>
      </c>
      <c r="AH264" s="1449" t="str">
        <f t="shared" si="113"/>
        <v/>
      </c>
      <c r="AI264" s="1415"/>
      <c r="AJ264" s="1445" t="str">
        <f t="shared" si="114"/>
        <v/>
      </c>
      <c r="AK264" s="1442" t="str">
        <f t="shared" si="115"/>
        <v/>
      </c>
      <c r="AL264" s="1449" t="str">
        <f t="shared" si="116"/>
        <v/>
      </c>
      <c r="AM264" s="1420"/>
      <c r="AN264" s="1445" t="str">
        <f t="shared" si="117"/>
        <v/>
      </c>
      <c r="AO264" s="1442" t="str">
        <f t="shared" si="118"/>
        <v/>
      </c>
      <c r="AP264" s="1442" t="str">
        <f t="shared" si="119"/>
        <v/>
      </c>
      <c r="AQ264" s="1420"/>
      <c r="AR264" s="1450" t="str">
        <f t="shared" si="120"/>
        <v/>
      </c>
      <c r="AS264" s="67"/>
      <c r="AT264" s="995"/>
      <c r="AU264" s="12"/>
      <c r="AV264" s="12"/>
      <c r="AW264" s="12"/>
      <c r="AX264" s="12"/>
      <c r="AY264" s="12"/>
      <c r="AZ264" s="12"/>
      <c r="BA264" s="12"/>
      <c r="BB264" s="12"/>
      <c r="BC264" s="12"/>
      <c r="BD264" s="12"/>
      <c r="BE264" s="12"/>
      <c r="BF264" s="12"/>
      <c r="BG264" s="12"/>
      <c r="BH264" s="12"/>
      <c r="BI264" s="13"/>
    </row>
    <row r="265" spans="1:61">
      <c r="A265" s="86"/>
      <c r="B265" s="943"/>
      <c r="C265" s="943"/>
      <c r="D265" s="943"/>
      <c r="E265" s="14"/>
      <c r="F265" s="22" t="s">
        <v>306</v>
      </c>
      <c r="G265" s="214" t="str">
        <f t="shared" si="121"/>
        <v/>
      </c>
      <c r="H265" s="214" t="str">
        <f t="shared" si="121"/>
        <v/>
      </c>
      <c r="I265" s="214" t="str">
        <f t="shared" si="121"/>
        <v/>
      </c>
      <c r="J265" s="214" t="str">
        <f t="shared" si="121"/>
        <v/>
      </c>
      <c r="K265" s="214" t="str">
        <f t="shared" si="121"/>
        <v/>
      </c>
      <c r="L265" s="214" t="str">
        <f t="shared" si="121"/>
        <v/>
      </c>
      <c r="M265" s="214" t="str">
        <f t="shared" si="121"/>
        <v/>
      </c>
      <c r="N265" s="142" t="str">
        <f t="shared" si="112"/>
        <v/>
      </c>
      <c r="O265" s="44"/>
      <c r="P265" s="899"/>
      <c r="Q265" s="899"/>
      <c r="R265" s="899"/>
      <c r="S265" s="899"/>
      <c r="T265" s="899"/>
      <c r="U265" s="899"/>
      <c r="V265" s="39"/>
      <c r="W265" s="39"/>
      <c r="X265" s="39"/>
      <c r="Y265" s="12"/>
      <c r="Z265" s="453"/>
      <c r="AA265" s="453"/>
      <c r="AB265" s="67"/>
      <c r="AC265" s="995"/>
      <c r="AD265" s="891"/>
      <c r="AE265" s="22" t="str">
        <f t="shared" si="122"/>
        <v>sport</v>
      </c>
      <c r="AF265" s="22"/>
      <c r="AG265" s="1445" t="str">
        <f t="shared" si="113"/>
        <v/>
      </c>
      <c r="AH265" s="1449" t="str">
        <f t="shared" si="113"/>
        <v/>
      </c>
      <c r="AI265" s="1415"/>
      <c r="AJ265" s="1445" t="str">
        <f t="shared" si="114"/>
        <v/>
      </c>
      <c r="AK265" s="1442" t="str">
        <f t="shared" si="115"/>
        <v/>
      </c>
      <c r="AL265" s="1449" t="str">
        <f t="shared" si="116"/>
        <v/>
      </c>
      <c r="AM265" s="1420"/>
      <c r="AN265" s="1445" t="str">
        <f t="shared" si="117"/>
        <v/>
      </c>
      <c r="AO265" s="1442" t="str">
        <f t="shared" si="118"/>
        <v/>
      </c>
      <c r="AP265" s="1442" t="str">
        <f t="shared" si="119"/>
        <v/>
      </c>
      <c r="AQ265" s="1420"/>
      <c r="AR265" s="1450" t="str">
        <f t="shared" si="120"/>
        <v/>
      </c>
      <c r="AS265" s="67"/>
      <c r="AT265" s="995"/>
      <c r="AU265" s="12"/>
      <c r="AV265" s="12"/>
      <c r="AW265" s="12"/>
      <c r="AX265" s="12"/>
      <c r="AY265" s="12"/>
      <c r="AZ265" s="12"/>
      <c r="BA265" s="12"/>
      <c r="BB265" s="12"/>
      <c r="BC265" s="12"/>
      <c r="BD265" s="12"/>
      <c r="BE265" s="12"/>
      <c r="BF265" s="12"/>
      <c r="BG265" s="12"/>
      <c r="BH265" s="12"/>
      <c r="BI265" s="13"/>
    </row>
    <row r="266" spans="1:61">
      <c r="A266" s="86"/>
      <c r="B266" s="943"/>
      <c r="C266" s="943"/>
      <c r="D266" s="943"/>
      <c r="E266" s="14"/>
      <c r="F266" s="22" t="s">
        <v>424</v>
      </c>
      <c r="G266" s="214" t="str">
        <f t="shared" si="121"/>
        <v/>
      </c>
      <c r="H266" s="214" t="str">
        <f t="shared" si="121"/>
        <v/>
      </c>
      <c r="I266" s="214" t="str">
        <f t="shared" si="121"/>
        <v/>
      </c>
      <c r="J266" s="214" t="str">
        <f t="shared" si="121"/>
        <v/>
      </c>
      <c r="K266" s="214" t="str">
        <f t="shared" si="121"/>
        <v/>
      </c>
      <c r="L266" s="214" t="str">
        <f t="shared" si="121"/>
        <v/>
      </c>
      <c r="M266" s="214" t="str">
        <f t="shared" si="121"/>
        <v/>
      </c>
      <c r="N266" s="142" t="str">
        <f t="shared" si="112"/>
        <v/>
      </c>
      <c r="O266" s="44"/>
      <c r="P266" s="899"/>
      <c r="Q266" s="899"/>
      <c r="R266" s="899"/>
      <c r="S266" s="899"/>
      <c r="T266" s="899"/>
      <c r="U266" s="899"/>
      <c r="V266" s="39"/>
      <c r="W266" s="39"/>
      <c r="X266" s="39"/>
      <c r="Y266" s="12"/>
      <c r="Z266" s="453"/>
      <c r="AA266" s="453"/>
      <c r="AB266" s="67"/>
      <c r="AC266" s="995"/>
      <c r="AD266" s="1429"/>
      <c r="AE266" s="22" t="str">
        <f t="shared" si="122"/>
        <v>logies in logiesgebouw</v>
      </c>
      <c r="AF266" s="22"/>
      <c r="AG266" s="1445" t="str">
        <f t="shared" si="113"/>
        <v/>
      </c>
      <c r="AH266" s="1449" t="str">
        <f t="shared" si="113"/>
        <v/>
      </c>
      <c r="AI266" s="1415"/>
      <c r="AJ266" s="1445" t="str">
        <f t="shared" si="114"/>
        <v/>
      </c>
      <c r="AK266" s="1442" t="str">
        <f t="shared" si="115"/>
        <v/>
      </c>
      <c r="AL266" s="1449" t="str">
        <f t="shared" si="116"/>
        <v/>
      </c>
      <c r="AM266" s="1420"/>
      <c r="AN266" s="1445" t="str">
        <f t="shared" si="117"/>
        <v/>
      </c>
      <c r="AO266" s="1442" t="str">
        <f t="shared" si="118"/>
        <v/>
      </c>
      <c r="AP266" s="1442" t="str">
        <f t="shared" si="119"/>
        <v/>
      </c>
      <c r="AQ266" s="1420"/>
      <c r="AR266" s="1450" t="str">
        <f t="shared" si="120"/>
        <v/>
      </c>
      <c r="AS266" s="67"/>
      <c r="AT266" s="995"/>
      <c r="AU266" s="12"/>
      <c r="AV266" s="12"/>
      <c r="AW266" s="12"/>
      <c r="AX266" s="12"/>
      <c r="AY266" s="12"/>
      <c r="AZ266" s="12"/>
      <c r="BA266" s="12"/>
      <c r="BB266" s="12"/>
      <c r="BC266" s="12"/>
      <c r="BD266" s="12"/>
      <c r="BE266" s="12"/>
      <c r="BF266" s="12"/>
      <c r="BG266" s="12"/>
      <c r="BH266" s="12"/>
      <c r="BI266" s="13"/>
    </row>
    <row r="267" spans="1:61">
      <c r="A267" s="86"/>
      <c r="B267" s="943"/>
      <c r="C267" s="943"/>
      <c r="D267" s="943"/>
      <c r="E267" s="14"/>
      <c r="F267" s="22" t="s">
        <v>425</v>
      </c>
      <c r="G267" s="214" t="str">
        <f t="shared" si="121"/>
        <v/>
      </c>
      <c r="H267" s="214" t="str">
        <f t="shared" si="121"/>
        <v/>
      </c>
      <c r="I267" s="214" t="str">
        <f t="shared" si="121"/>
        <v/>
      </c>
      <c r="J267" s="214" t="str">
        <f t="shared" si="121"/>
        <v/>
      </c>
      <c r="K267" s="214" t="str">
        <f t="shared" si="121"/>
        <v/>
      </c>
      <c r="L267" s="214" t="str">
        <f t="shared" si="121"/>
        <v/>
      </c>
      <c r="M267" s="214" t="str">
        <f t="shared" si="121"/>
        <v/>
      </c>
      <c r="N267" s="142" t="str">
        <f t="shared" si="112"/>
        <v/>
      </c>
      <c r="O267" s="44"/>
      <c r="P267" s="899"/>
      <c r="Q267" s="899"/>
      <c r="R267" s="899"/>
      <c r="S267" s="899"/>
      <c r="T267" s="899"/>
      <c r="U267" s="899"/>
      <c r="V267" s="39"/>
      <c r="W267" s="39"/>
      <c r="X267" s="39"/>
      <c r="Y267" s="12"/>
      <c r="Z267" s="453"/>
      <c r="AA267" s="453"/>
      <c r="AB267" s="67"/>
      <c r="AC267" s="995"/>
      <c r="AD267" s="891" t="s">
        <v>396</v>
      </c>
      <c r="AE267" s="22" t="str">
        <f t="shared" si="122"/>
        <v>cel</v>
      </c>
      <c r="AF267" s="22"/>
      <c r="AG267" s="1445" t="str">
        <f t="shared" si="113"/>
        <v/>
      </c>
      <c r="AH267" s="1449" t="str">
        <f t="shared" si="113"/>
        <v/>
      </c>
      <c r="AI267" s="1415"/>
      <c r="AJ267" s="1445" t="str">
        <f t="shared" si="114"/>
        <v/>
      </c>
      <c r="AK267" s="1442" t="str">
        <f t="shared" si="115"/>
        <v/>
      </c>
      <c r="AL267" s="1449" t="str">
        <f t="shared" si="116"/>
        <v/>
      </c>
      <c r="AM267" s="1420"/>
      <c r="AN267" s="1445" t="str">
        <f t="shared" si="117"/>
        <v/>
      </c>
      <c r="AO267" s="1442" t="str">
        <f t="shared" si="118"/>
        <v/>
      </c>
      <c r="AP267" s="1442" t="str">
        <f t="shared" si="119"/>
        <v/>
      </c>
      <c r="AQ267" s="1420"/>
      <c r="AR267" s="1450" t="str">
        <f t="shared" si="120"/>
        <v/>
      </c>
      <c r="AS267" s="67"/>
      <c r="AT267" s="995"/>
      <c r="AU267" s="12"/>
      <c r="AV267" s="12"/>
      <c r="AW267" s="12"/>
      <c r="AX267" s="12"/>
      <c r="AY267" s="12"/>
      <c r="AZ267" s="12"/>
      <c r="BA267" s="12"/>
      <c r="BB267" s="12"/>
      <c r="BC267" s="12"/>
      <c r="BD267" s="12"/>
      <c r="BE267" s="12"/>
      <c r="BF267" s="12"/>
      <c r="BG267" s="12"/>
      <c r="BH267" s="12"/>
      <c r="BI267" s="13"/>
    </row>
    <row r="268" spans="1:61" ht="6.75" customHeight="1">
      <c r="A268" s="86"/>
      <c r="B268" s="943"/>
      <c r="C268" s="943"/>
      <c r="D268" s="943"/>
      <c r="E268" s="14"/>
      <c r="F268" s="43"/>
      <c r="G268" s="55"/>
      <c r="H268" s="55"/>
      <c r="I268" s="53"/>
      <c r="J268" s="55"/>
      <c r="K268" s="56"/>
      <c r="L268" s="148"/>
      <c r="M268" s="54"/>
      <c r="N268" s="16"/>
      <c r="O268" s="44"/>
      <c r="P268" s="899"/>
      <c r="Q268" s="899"/>
      <c r="R268" s="899"/>
      <c r="S268" s="899"/>
      <c r="T268" s="899"/>
      <c r="U268" s="899"/>
      <c r="V268" s="39"/>
      <c r="W268" s="39"/>
      <c r="X268" s="39"/>
      <c r="Y268" s="12"/>
      <c r="Z268" s="453"/>
      <c r="AA268" s="453"/>
      <c r="AB268" s="67"/>
      <c r="AC268" s="995"/>
      <c r="AD268" s="1435"/>
      <c r="AE268" s="43"/>
      <c r="AF268" s="43"/>
      <c r="AG268" s="1418"/>
      <c r="AH268" s="1418"/>
      <c r="AI268" s="1415"/>
      <c r="AJ268" s="1416"/>
      <c r="AK268" s="1419"/>
      <c r="AL268" s="1419"/>
      <c r="AM268" s="1420"/>
      <c r="AN268" s="1416"/>
      <c r="AO268" s="1416"/>
      <c r="AP268" s="1416"/>
      <c r="AQ268" s="1420"/>
      <c r="AR268" s="1416"/>
      <c r="AS268" s="67"/>
      <c r="AT268" s="995"/>
      <c r="AU268" s="12"/>
      <c r="AV268" s="12"/>
      <c r="AW268" s="12"/>
      <c r="AX268" s="12"/>
      <c r="AY268" s="12"/>
      <c r="AZ268" s="12"/>
      <c r="BA268" s="12"/>
      <c r="BB268" s="12"/>
      <c r="BC268" s="12"/>
      <c r="BD268" s="12"/>
      <c r="BE268" s="12"/>
      <c r="BF268" s="12"/>
      <c r="BG268" s="12"/>
      <c r="BH268" s="12"/>
      <c r="BI268" s="13"/>
    </row>
    <row r="269" spans="1:61">
      <c r="A269" s="86"/>
      <c r="B269" s="943" t="s">
        <v>1596</v>
      </c>
      <c r="C269" s="943"/>
      <c r="D269" s="943"/>
      <c r="E269" s="14"/>
      <c r="F269" s="22" t="s">
        <v>1597</v>
      </c>
      <c r="G269" s="214" t="str">
        <f>IFERROR(FIXED(ROUND($Q404*G$233/G$231,G$232),G$232),"")</f>
        <v>0</v>
      </c>
      <c r="H269" s="214" t="str">
        <f>IFERROR(FIXED(ROUND($Q404*H$233/H$231,H$232),H$232),"")</f>
        <v>0</v>
      </c>
      <c r="I269" s="214"/>
      <c r="J269" s="214" t="str">
        <f>IFERROR(FIXED(ROUND($Q404*J$233/J$231,J$232),J$232),"")</f>
        <v>0</v>
      </c>
      <c r="K269" s="214" t="str">
        <f>IFERROR(FIXED(ROUND($Q404*K$233/K$231,K$232),K$232),"")</f>
        <v>0.0</v>
      </c>
      <c r="L269" s="214"/>
      <c r="M269" s="214" t="str">
        <f>IFERROR(FIXED(ROUND($Q404*M$233/M$231,M$232),M$232),"")</f>
        <v>0</v>
      </c>
      <c r="N269" s="142">
        <f>IF($M$58&gt;0,$M$58/$M$58*$J$275,"")</f>
        <v>1</v>
      </c>
      <c r="O269" s="44"/>
      <c r="P269" s="899"/>
      <c r="Q269" s="899"/>
      <c r="R269" s="899"/>
      <c r="S269" s="899"/>
      <c r="T269" s="899"/>
      <c r="U269" s="899"/>
      <c r="V269" s="39"/>
      <c r="W269" s="39"/>
      <c r="X269" s="39"/>
      <c r="Y269" s="12"/>
      <c r="Z269" s="453"/>
      <c r="AA269" s="453"/>
      <c r="AB269" s="67"/>
      <c r="AC269" s="995"/>
      <c r="AD269" s="891" t="s">
        <v>396</v>
      </c>
      <c r="AE269" s="22" t="str">
        <f>F269</f>
        <v>combinatiegebouw</v>
      </c>
      <c r="AF269" s="22"/>
      <c r="AG269" s="1445">
        <f>IF($N269&lt;&gt;"",F385,"")</f>
        <v>5.605177903416422</v>
      </c>
      <c r="AH269" s="1449">
        <f>IF($N269&lt;&gt;"",G385,"")</f>
        <v>-3.9773319655195288E-2</v>
      </c>
      <c r="AI269" s="1415"/>
      <c r="AJ269" s="1445">
        <f>IFERROR(SUMPRODUCT($G$229:$M$229,$G249:$M249)/N269,"")</f>
        <v>0</v>
      </c>
      <c r="AK269" s="1442">
        <f>IFERROR(IF(N269&lt;&gt;"",$M$273,""),"")</f>
        <v>0</v>
      </c>
      <c r="AL269" s="1449">
        <f>IF(N269&lt;&gt;"",SUM(AJ269,AK269),"")</f>
        <v>0</v>
      </c>
      <c r="AM269" s="1420"/>
      <c r="AN269" s="1445">
        <f>IF($N269&lt;&gt;"",N404,"")</f>
        <v>-9.1593399531575415E-16</v>
      </c>
      <c r="AO269" s="1442">
        <f>IF(N269&lt;&gt;"",$J$272,"")</f>
        <v>0</v>
      </c>
      <c r="AP269" s="1449">
        <f>IF($N269&lt;&gt;"",SUM(AN269,AO269),"")</f>
        <v>-9.1593399531575415E-16</v>
      </c>
      <c r="AQ269" s="1420"/>
      <c r="AR269" s="1451">
        <f>IF($N269&lt;&gt;"",W404,"")</f>
        <v>9.9640728305742385</v>
      </c>
      <c r="AS269" s="67"/>
      <c r="AT269" s="995"/>
      <c r="AU269" s="12"/>
      <c r="AV269" s="12"/>
      <c r="AW269" s="12"/>
      <c r="AX269" s="12"/>
      <c r="AY269" s="12"/>
      <c r="AZ269" s="12"/>
      <c r="BA269" s="12"/>
      <c r="BB269" s="12"/>
      <c r="BC269" s="12"/>
      <c r="BD269" s="12"/>
      <c r="BE269" s="12"/>
      <c r="BF269" s="12"/>
      <c r="BG269" s="12"/>
      <c r="BH269" s="12"/>
      <c r="BI269" s="13"/>
    </row>
    <row r="270" spans="1:61">
      <c r="A270" s="86"/>
      <c r="B270" s="943"/>
      <c r="C270" s="943"/>
      <c r="D270" s="943"/>
      <c r="E270" s="14"/>
      <c r="F270" s="43"/>
      <c r="G270" s="55"/>
      <c r="H270" s="55"/>
      <c r="I270" s="53"/>
      <c r="J270" s="55"/>
      <c r="K270" s="56"/>
      <c r="L270" s="148"/>
      <c r="M270" s="54"/>
      <c r="N270" s="16"/>
      <c r="O270" s="44"/>
      <c r="P270" s="899"/>
      <c r="Q270" s="899"/>
      <c r="R270" s="899"/>
      <c r="S270" s="899"/>
      <c r="T270" s="899"/>
      <c r="U270" s="899"/>
      <c r="V270" s="39"/>
      <c r="W270" s="39"/>
      <c r="X270" s="39"/>
      <c r="Y270" s="12"/>
      <c r="Z270" s="453"/>
      <c r="AA270" s="453"/>
      <c r="AB270" s="67"/>
      <c r="AC270" s="995"/>
      <c r="AD270" s="1405"/>
      <c r="AE270" s="1405"/>
      <c r="AF270" s="1405"/>
      <c r="AG270" s="1405"/>
      <c r="AH270" s="1405"/>
      <c r="AI270" s="1405"/>
      <c r="AJ270" s="1405"/>
      <c r="AK270" s="1405"/>
      <c r="AL270" s="1405"/>
      <c r="AM270" s="1405"/>
      <c r="AN270" s="1405"/>
      <c r="AO270" s="1405"/>
      <c r="AP270" s="1405"/>
      <c r="AQ270" s="1405"/>
      <c r="AR270" s="1405"/>
      <c r="AS270" s="67"/>
      <c r="AT270" s="995"/>
      <c r="AU270" s="12"/>
      <c r="AV270" s="12"/>
      <c r="AW270" s="12"/>
      <c r="AX270" s="12"/>
      <c r="AY270" s="12"/>
      <c r="AZ270" s="12"/>
      <c r="BA270" s="12"/>
      <c r="BB270" s="12"/>
      <c r="BC270" s="12"/>
      <c r="BD270" s="12"/>
      <c r="BE270" s="12"/>
      <c r="BF270" s="12"/>
      <c r="BG270" s="12"/>
      <c r="BH270" s="12"/>
      <c r="BI270" s="13"/>
    </row>
    <row r="271" spans="1:61">
      <c r="A271" s="139" t="s">
        <v>396</v>
      </c>
      <c r="B271" s="944"/>
      <c r="C271" s="944"/>
      <c r="D271" s="944"/>
      <c r="E271" s="14"/>
      <c r="F271" s="15" t="s">
        <v>1712</v>
      </c>
      <c r="G271" s="44"/>
      <c r="H271" s="44"/>
      <c r="I271" s="44"/>
      <c r="J271" s="44"/>
      <c r="K271" s="44"/>
      <c r="L271" s="44"/>
      <c r="M271" s="39"/>
      <c r="N271" s="39"/>
      <c r="O271" s="901"/>
      <c r="P271" s="901"/>
      <c r="Q271" s="901"/>
      <c r="R271" s="901"/>
      <c r="S271" s="901"/>
      <c r="T271" s="901"/>
      <c r="U271" s="901"/>
      <c r="V271" s="901"/>
      <c r="W271" s="39"/>
      <c r="X271" s="39"/>
      <c r="Y271" s="39"/>
      <c r="Z271" s="39"/>
      <c r="AA271" s="39"/>
      <c r="AB271" s="67"/>
      <c r="AC271" s="995"/>
      <c r="AD271" s="1405"/>
      <c r="AE271" s="1405"/>
      <c r="AF271" s="1405"/>
      <c r="AG271" s="1405"/>
      <c r="AH271" s="1405"/>
      <c r="AI271" s="1405"/>
      <c r="AJ271" s="1405"/>
      <c r="AK271" s="1405"/>
      <c r="AL271" s="1405"/>
      <c r="AM271" s="1405"/>
      <c r="AN271" s="1405"/>
      <c r="AO271" s="1405"/>
      <c r="AP271" s="1405"/>
      <c r="AQ271" s="1405"/>
      <c r="AR271" s="1405"/>
      <c r="AS271" s="67"/>
      <c r="AT271" s="995"/>
      <c r="AU271" s="12"/>
      <c r="AV271" s="12" t="s">
        <v>1662</v>
      </c>
      <c r="AW271" s="12"/>
      <c r="AX271" s="12"/>
      <c r="AY271" s="12"/>
      <c r="AZ271" s="928" t="s">
        <v>513</v>
      </c>
      <c r="BA271" s="929"/>
      <c r="BB271" s="929"/>
      <c r="BC271" s="930"/>
      <c r="BD271" s="1"/>
      <c r="BE271" s="40"/>
      <c r="BF271" s="13"/>
      <c r="BG271" s="13"/>
      <c r="BH271" s="13"/>
      <c r="BI271" s="14"/>
    </row>
    <row r="272" spans="1:61">
      <c r="A272" s="139"/>
      <c r="B272" s="944"/>
      <c r="C272" s="944"/>
      <c r="D272" s="944"/>
      <c r="E272" s="14"/>
      <c r="F272" s="22" t="s">
        <v>1482</v>
      </c>
      <c r="G272" s="22"/>
      <c r="H272" s="22"/>
      <c r="I272" s="44"/>
      <c r="J272" s="420"/>
      <c r="K272" s="47" t="s">
        <v>440</v>
      </c>
      <c r="L272" s="47"/>
      <c r="M272" s="47"/>
      <c r="N272" s="47"/>
      <c r="O272" s="901"/>
      <c r="P272" s="901"/>
      <c r="Q272" s="901"/>
      <c r="R272" s="901"/>
      <c r="S272" s="901"/>
      <c r="T272" s="901"/>
      <c r="U272" s="901"/>
      <c r="V272" s="901"/>
      <c r="W272" s="39"/>
      <c r="X272" s="39"/>
      <c r="Y272" s="39"/>
      <c r="Z272" s="39"/>
      <c r="AA272" s="39"/>
      <c r="AB272" s="67"/>
      <c r="AC272" s="995"/>
      <c r="AD272" s="891" t="s">
        <v>396</v>
      </c>
      <c r="AE272" s="1383" t="str">
        <f>IF(P24=GPR4.3,"score op subthema 'Materiaalprestatie'","score op maatregelgroep 'Milieuprestatie Gebouw (MPG)'")</f>
        <v>score op maatregelgroep 'Milieuprestatie Gebouw (MPG)'</v>
      </c>
      <c r="AF272" s="1383"/>
      <c r="AG272" s="1383"/>
      <c r="AH272" s="1384">
        <f>IFERROR($N$363,"")</f>
        <v>0</v>
      </c>
      <c r="AI272" s="1388"/>
      <c r="AJ272" s="1405"/>
      <c r="AK272" s="1405"/>
      <c r="AL272" s="1405"/>
      <c r="AM272" s="1405"/>
      <c r="AN272" s="1405"/>
      <c r="AO272" s="1405"/>
      <c r="AP272" s="1405"/>
      <c r="AQ272" s="1405"/>
      <c r="AR272" s="1405"/>
      <c r="AS272" s="67"/>
      <c r="AT272" s="995"/>
      <c r="AU272" s="12"/>
      <c r="AV272" s="1060">
        <v>6</v>
      </c>
      <c r="AW272" s="1060">
        <v>10</v>
      </c>
      <c r="AX272" s="12"/>
      <c r="AY272" s="12"/>
      <c r="AZ272" s="935" t="s">
        <v>515</v>
      </c>
      <c r="BA272" s="936">
        <f>1-BA273</f>
        <v>1</v>
      </c>
      <c r="BB272" s="937"/>
      <c r="BC272" s="938"/>
      <c r="BD272" s="1"/>
      <c r="BE272" s="40"/>
      <c r="BF272" s="13"/>
      <c r="BG272" s="13"/>
      <c r="BH272" s="13"/>
      <c r="BI272" s="14"/>
    </row>
    <row r="273" spans="1:61">
      <c r="A273" s="212"/>
      <c r="B273" s="898"/>
      <c r="C273" s="898"/>
      <c r="D273" s="898"/>
      <c r="E273" s="14"/>
      <c r="F273" s="22" t="s">
        <v>1483</v>
      </c>
      <c r="G273" s="22"/>
      <c r="H273" s="22"/>
      <c r="I273" s="44"/>
      <c r="J273" s="25"/>
      <c r="K273" s="47" t="str">
        <f>IF(P24=GPR4.3,"kg CO2 eq/jaar.m2 BVO","kg CO2eq/jaar")</f>
        <v>kg CO2eq/jaar</v>
      </c>
      <c r="L273" s="47"/>
      <c r="M273" s="115">
        <f>IFERROR(IF(P24=GPR4.3,J273,J273/J275),0)</f>
        <v>0</v>
      </c>
      <c r="N273" s="47" t="s">
        <v>1407</v>
      </c>
      <c r="O273" s="901"/>
      <c r="P273" s="901"/>
      <c r="Q273" s="901"/>
      <c r="R273" s="901"/>
      <c r="S273" s="901"/>
      <c r="T273" s="901"/>
      <c r="U273" s="901"/>
      <c r="V273" s="901"/>
      <c r="W273" s="39"/>
      <c r="X273" s="39"/>
      <c r="Y273" s="39"/>
      <c r="Z273" s="39"/>
      <c r="AA273" s="39"/>
      <c r="AB273" s="67"/>
      <c r="AC273" s="995"/>
      <c r="AD273" s="891"/>
      <c r="AE273" s="1389" t="s">
        <v>1710</v>
      </c>
      <c r="AF273" s="1389"/>
      <c r="AG273" s="1696" t="s">
        <v>297</v>
      </c>
      <c r="AH273" s="1697"/>
      <c r="AI273" s="1388"/>
      <c r="AJ273" s="1405"/>
      <c r="AK273" s="1405"/>
      <c r="AL273" s="1405"/>
      <c r="AM273" s="1405"/>
      <c r="AN273" s="1405"/>
      <c r="AO273" s="1405"/>
      <c r="AP273" s="1405"/>
      <c r="AQ273" s="1405"/>
      <c r="AR273" s="1405"/>
      <c r="AS273" s="67"/>
      <c r="AT273" s="995"/>
      <c r="AU273" s="12"/>
      <c r="AV273" s="1060">
        <f>INDEX(MPG_punten_6,MATCH($AG$273,MPG_punten_lijst,0),MATCH($P$24&amp;" | "&amp;$P$25,MPG_punten_6_titels,0))</f>
        <v>0</v>
      </c>
      <c r="AW273" s="1060">
        <f>INDEX(MPG_punten_10,MATCH($AG$273,MPG_punten_lijst,0),MATCH($P$24&amp;" | "&amp;$P$25,MPG_punten_10_titels,0))</f>
        <v>140</v>
      </c>
      <c r="AX273" s="13"/>
      <c r="AY273" s="13"/>
      <c r="AZ273" s="931" t="s">
        <v>514</v>
      </c>
      <c r="BA273" s="932">
        <v>0</v>
      </c>
      <c r="BB273" s="933"/>
      <c r="BC273" s="934"/>
      <c r="BD273" s="13"/>
      <c r="BE273" s="40"/>
      <c r="BF273" s="13"/>
      <c r="BG273" s="13"/>
      <c r="BH273" s="13"/>
      <c r="BI273" s="14"/>
    </row>
    <row r="274" spans="1:61">
      <c r="A274" s="139" t="s">
        <v>396</v>
      </c>
      <c r="B274" s="944"/>
      <c r="C274" s="944"/>
      <c r="D274" s="944"/>
      <c r="E274" s="14"/>
      <c r="F274" s="920" t="s">
        <v>1515</v>
      </c>
      <c r="G274" s="905"/>
      <c r="H274" s="905"/>
      <c r="I274" s="905"/>
      <c r="J274" s="905"/>
      <c r="K274" s="905"/>
      <c r="L274" s="905"/>
      <c r="M274" s="39"/>
      <c r="N274" s="39"/>
      <c r="O274" s="39"/>
      <c r="P274" s="39"/>
      <c r="Q274" s="39"/>
      <c r="R274" s="39"/>
      <c r="S274" s="39"/>
      <c r="T274" s="39"/>
      <c r="U274" s="39"/>
      <c r="V274" s="39"/>
      <c r="W274" s="39"/>
      <c r="X274" s="39"/>
      <c r="Y274" s="39"/>
      <c r="Z274" s="39"/>
      <c r="AA274" s="39"/>
      <c r="AB274" s="67"/>
      <c r="AC274" s="995"/>
      <c r="AD274" s="891" t="s">
        <v>396</v>
      </c>
      <c r="AE274" s="1389" t="s">
        <v>1588</v>
      </c>
      <c r="AF274" s="1389"/>
      <c r="AG274" s="1411"/>
      <c r="AH274" s="1385">
        <f>_xlfn.FORECAST.LINEAR(MIN(10,AH272),AV273:AW273,AV272:AW272)</f>
        <v>-210</v>
      </c>
      <c r="AI274" s="1388"/>
      <c r="AJ274" s="1405"/>
      <c r="AK274" s="1405"/>
      <c r="AL274" s="1405"/>
      <c r="AM274" s="1405"/>
      <c r="AN274" s="1405"/>
      <c r="AO274" s="1405"/>
      <c r="AP274" s="1405"/>
      <c r="AQ274" s="1405"/>
      <c r="AR274" s="1405"/>
      <c r="AS274" s="67"/>
      <c r="AT274" s="995"/>
      <c r="AU274" s="12"/>
      <c r="AV274" s="12"/>
      <c r="AW274" s="12"/>
      <c r="AX274" s="13"/>
      <c r="AY274" s="13"/>
      <c r="AZ274" s="13"/>
      <c r="BA274" s="13"/>
      <c r="BB274" s="12"/>
      <c r="BC274" s="12"/>
      <c r="BD274" s="12"/>
      <c r="BE274" s="40"/>
      <c r="BF274" s="13"/>
      <c r="BG274" s="13"/>
      <c r="BH274" s="13"/>
      <c r="BI274" s="14"/>
    </row>
    <row r="275" spans="1:61">
      <c r="A275" s="139"/>
      <c r="B275" s="944"/>
      <c r="C275" s="944"/>
      <c r="D275" s="944"/>
      <c r="E275" s="14"/>
      <c r="F275" s="22" t="s">
        <v>1481</v>
      </c>
      <c r="G275" s="22"/>
      <c r="H275" s="22"/>
      <c r="I275" s="44"/>
      <c r="J275" s="25">
        <v>1</v>
      </c>
      <c r="K275" s="47" t="s">
        <v>512</v>
      </c>
      <c r="L275" s="47"/>
      <c r="M275" s="47"/>
      <c r="N275" s="47"/>
      <c r="O275" s="39"/>
      <c r="P275" s="39"/>
      <c r="Q275" s="39"/>
      <c r="R275" s="39"/>
      <c r="S275" s="39"/>
      <c r="T275" s="39"/>
      <c r="U275" s="39"/>
      <c r="V275" s="39"/>
      <c r="W275" s="39"/>
      <c r="X275" s="39"/>
      <c r="Y275" s="39"/>
      <c r="Z275" s="39"/>
      <c r="AA275" s="39"/>
      <c r="AB275" s="67"/>
      <c r="AC275" s="995"/>
      <c r="AD275" s="1405"/>
      <c r="AE275" s="1405"/>
      <c r="AF275" s="1405"/>
      <c r="AG275" s="1405"/>
      <c r="AH275" s="1405"/>
      <c r="AI275" s="1405"/>
      <c r="AJ275" s="1405"/>
      <c r="AK275" s="1405"/>
      <c r="AL275" s="1405"/>
      <c r="AM275" s="1405"/>
      <c r="AN275" s="1405"/>
      <c r="AO275" s="1405"/>
      <c r="AP275" s="1405"/>
      <c r="AQ275" s="1405"/>
      <c r="AR275" s="1405"/>
      <c r="AS275" s="67"/>
      <c r="AT275" s="995"/>
      <c r="AU275" s="12"/>
      <c r="AV275" s="12"/>
      <c r="AW275" s="12"/>
      <c r="AX275" s="12"/>
      <c r="AY275" s="12"/>
      <c r="AZ275" s="12"/>
      <c r="BA275" s="13"/>
      <c r="BB275" s="13"/>
      <c r="BC275" s="13"/>
      <c r="BD275" s="13"/>
      <c r="BE275" s="12"/>
      <c r="BF275" s="12"/>
      <c r="BG275" s="12"/>
      <c r="BH275" s="40"/>
      <c r="BI275" s="13"/>
    </row>
    <row r="276" spans="1:61">
      <c r="A276" s="139"/>
      <c r="B276" s="944"/>
      <c r="C276" s="944"/>
      <c r="D276" s="945"/>
      <c r="E276" s="920"/>
      <c r="F276" s="905"/>
      <c r="G276" s="905"/>
      <c r="H276" s="905"/>
      <c r="I276" s="905"/>
      <c r="J276" s="981"/>
      <c r="K276" s="905"/>
      <c r="L276" s="905"/>
      <c r="M276" s="39"/>
      <c r="N276" s="39"/>
      <c r="O276" s="39"/>
      <c r="P276" s="39"/>
      <c r="Q276" s="39"/>
      <c r="R276" s="39"/>
      <c r="S276" s="39"/>
      <c r="T276" s="39"/>
      <c r="U276" s="39"/>
      <c r="V276" s="39"/>
      <c r="W276" s="39"/>
      <c r="X276" s="39"/>
      <c r="Y276" s="12"/>
      <c r="Z276" s="12"/>
      <c r="AA276" s="12"/>
      <c r="AB276" s="920"/>
      <c r="AC276" s="999"/>
      <c r="AD276" s="1405"/>
      <c r="AE276" s="1405"/>
      <c r="AF276" s="1405"/>
      <c r="AG276" s="1405"/>
      <c r="AH276" s="1405"/>
      <c r="AI276" s="1405"/>
      <c r="AJ276" s="1405"/>
      <c r="AK276" s="1405"/>
      <c r="AL276" s="1405"/>
      <c r="AM276" s="1405"/>
      <c r="AN276" s="1405"/>
      <c r="AO276" s="1405"/>
      <c r="AP276" s="1405"/>
      <c r="AQ276" s="1405"/>
      <c r="AR276" s="1405"/>
      <c r="AS276" s="920"/>
      <c r="AT276" s="999"/>
      <c r="AU276" s="12"/>
      <c r="AV276" s="12"/>
      <c r="AW276" s="12"/>
      <c r="AX276" s="12"/>
      <c r="AY276" s="12"/>
      <c r="AZ276" s="12"/>
      <c r="BA276" s="12"/>
      <c r="BB276" s="12"/>
      <c r="BC276" s="12"/>
      <c r="BD276" s="12"/>
      <c r="BE276" s="12"/>
      <c r="BF276" s="12"/>
      <c r="BG276" s="12"/>
      <c r="BH276" s="12"/>
      <c r="BI276" s="12"/>
    </row>
    <row r="277" spans="1:61">
      <c r="E277" s="141" t="str">
        <f>"© W/E adviseurs, Utrecht/Eindhoven, versie rekenhulpmiddelen "&amp;TEXT(Wijzigingsblad!$B$3,"d mmmm jjjj")</f>
        <v>© W/E adviseurs, Utrecht/Eindhoven, versie rekenhulpmiddelen 17 april 2024</v>
      </c>
      <c r="K277" s="30"/>
      <c r="AB277" s="1395"/>
      <c r="AS277" s="1395"/>
    </row>
    <row r="301" spans="1:61" s="1299" customFormat="1" ht="25.5" hidden="1" customHeight="1">
      <c r="A301" s="1289" t="s">
        <v>493</v>
      </c>
      <c r="B301" s="1290"/>
      <c r="C301" s="1290"/>
      <c r="D301" s="1290"/>
      <c r="E301" s="1291"/>
      <c r="F301" s="1292" t="s">
        <v>1640</v>
      </c>
      <c r="G301" s="1293"/>
      <c r="H301" s="1294"/>
      <c r="I301" s="1295"/>
      <c r="J301" s="1293"/>
      <c r="K301" s="1296"/>
      <c r="L301" s="1297"/>
      <c r="M301" s="1291"/>
      <c r="N301" s="1291"/>
      <c r="O301" s="1297"/>
      <c r="P301" s="1297"/>
      <c r="Q301" s="1291"/>
      <c r="R301" s="1291"/>
      <c r="S301" s="1291"/>
      <c r="T301" s="1291"/>
      <c r="U301" s="1291"/>
      <c r="V301" s="1291"/>
      <c r="W301" s="1291"/>
      <c r="X301" s="1291"/>
      <c r="Y301" s="1291"/>
      <c r="Z301" s="1291"/>
      <c r="AA301" s="1291"/>
      <c r="AB301" s="1298"/>
      <c r="AC301" s="1298"/>
      <c r="AD301" s="1437"/>
      <c r="AE301" s="1298"/>
      <c r="AF301" s="1298"/>
      <c r="AG301" s="1298"/>
      <c r="AH301" s="1298"/>
      <c r="AI301" s="1298"/>
      <c r="AJ301" s="1298"/>
      <c r="AK301" s="1298"/>
      <c r="AL301" s="1298"/>
      <c r="AM301" s="1298"/>
      <c r="AN301" s="1298"/>
      <c r="AO301" s="1298"/>
      <c r="AP301" s="1298"/>
      <c r="AQ301" s="1298"/>
      <c r="AR301" s="1298"/>
      <c r="AS301" s="1298"/>
      <c r="AT301" s="1298"/>
      <c r="AU301" s="1298"/>
      <c r="AV301" s="1298"/>
      <c r="AW301" s="1298"/>
      <c r="AX301" s="1298"/>
      <c r="AY301" s="1298"/>
      <c r="AZ301" s="1298"/>
      <c r="BA301" s="1298"/>
      <c r="BB301" s="1298"/>
      <c r="BC301" s="1298"/>
      <c r="BD301" s="1298"/>
      <c r="BE301" s="1298"/>
      <c r="BF301" s="1298"/>
      <c r="BG301" s="1298"/>
      <c r="BH301" s="1298"/>
      <c r="BI301" s="1298"/>
    </row>
    <row r="302" spans="1:61" hidden="1">
      <c r="A302" s="212" t="s">
        <v>493</v>
      </c>
      <c r="B302" s="943"/>
      <c r="C302" s="943"/>
      <c r="D302" s="943"/>
      <c r="E302" s="1244"/>
      <c r="F302" s="1245"/>
      <c r="G302" s="1244"/>
      <c r="H302" s="1244"/>
      <c r="I302" s="1244"/>
      <c r="J302" s="1244"/>
      <c r="K302" s="1244"/>
      <c r="L302" s="1244"/>
      <c r="M302" s="1244"/>
      <c r="N302" s="1244"/>
      <c r="O302" s="1244"/>
      <c r="P302" s="1244"/>
      <c r="Q302" s="1244"/>
      <c r="R302" s="1244"/>
      <c r="S302" s="1244"/>
      <c r="T302" s="1244"/>
      <c r="U302" s="1244"/>
      <c r="V302" s="1244"/>
      <c r="W302" s="1244"/>
      <c r="X302" s="1244"/>
      <c r="Y302" s="1244"/>
      <c r="Z302" s="1244"/>
      <c r="AA302" s="1244"/>
      <c r="AB302" s="16"/>
      <c r="AC302" s="995"/>
      <c r="AD302" s="1428"/>
      <c r="AE302" s="1406"/>
      <c r="AF302" s="1406"/>
      <c r="AG302" s="1406"/>
      <c r="AH302" s="1406"/>
      <c r="AI302" s="1406"/>
      <c r="AJ302" s="1406"/>
      <c r="AK302" s="1406"/>
      <c r="AL302" s="1407"/>
      <c r="AM302" s="1407"/>
      <c r="AN302" s="995"/>
      <c r="AO302" s="995"/>
      <c r="AP302" s="995"/>
      <c r="AQ302" s="995"/>
      <c r="AR302" s="995"/>
      <c r="AS302" s="16"/>
      <c r="AT302" s="995"/>
      <c r="AU302" s="995"/>
      <c r="AV302" s="995"/>
      <c r="AW302" s="995"/>
      <c r="AX302" s="995"/>
      <c r="AY302" s="995"/>
      <c r="AZ302" s="995"/>
      <c r="BA302" s="995"/>
      <c r="BB302" s="995"/>
      <c r="BC302" s="995"/>
      <c r="BD302" s="995"/>
      <c r="BE302" s="995"/>
      <c r="BF302" s="995"/>
      <c r="BG302" s="995"/>
      <c r="BH302" s="995"/>
      <c r="BI302" s="995"/>
    </row>
    <row r="303" spans="1:61" ht="21" hidden="1">
      <c r="A303" s="212" t="s">
        <v>493</v>
      </c>
      <c r="C303" s="1163"/>
      <c r="E303" s="1246" t="s">
        <v>396</v>
      </c>
      <c r="F303" s="1171" t="str">
        <f>"Primaire energie bij bronmethode "&amp;EP_bronmethode</f>
        <v>Primaire energie bij bronmethode GPR 4.4 | ISSO 75.3</v>
      </c>
      <c r="G303" s="906"/>
      <c r="H303" s="1247"/>
      <c r="I303" s="1247"/>
      <c r="J303" s="1247"/>
      <c r="K303" s="1248"/>
      <c r="L303" s="1248"/>
      <c r="M303" s="1248"/>
      <c r="N303" s="1248"/>
      <c r="O303" s="1247"/>
      <c r="P303" s="1247"/>
      <c r="Q303" s="1247"/>
      <c r="R303" s="1247"/>
      <c r="S303" s="1171" t="str">
        <f>"Primaire energie bij doelmethode "&amp;EP_doelmethode</f>
        <v>Primaire energie bij doelmethode GPR 4.4 | ISSO 75.3</v>
      </c>
      <c r="T303" s="1247"/>
      <c r="U303" s="1247"/>
      <c r="V303" s="1248"/>
      <c r="W303" s="1248"/>
      <c r="X303" s="1248"/>
      <c r="Y303" s="1248"/>
      <c r="Z303" s="1175"/>
      <c r="AA303" s="1175"/>
      <c r="AB303" s="1396"/>
      <c r="AS303" s="1396"/>
    </row>
    <row r="304" spans="1:61" s="211" customFormat="1" ht="64" hidden="1">
      <c r="A304" s="212" t="s">
        <v>493</v>
      </c>
      <c r="B304" s="1163"/>
      <c r="C304" s="1164" t="s">
        <v>1638</v>
      </c>
      <c r="D304" s="1163"/>
      <c r="E304" s="1249"/>
      <c r="F304" s="1250" t="s">
        <v>523</v>
      </c>
      <c r="G304" s="1250" t="s">
        <v>524</v>
      </c>
      <c r="H304" s="1250" t="s">
        <v>525</v>
      </c>
      <c r="I304" s="1250"/>
      <c r="J304" s="1250" t="s">
        <v>526</v>
      </c>
      <c r="K304" s="1250" t="s">
        <v>527</v>
      </c>
      <c r="L304" s="1250"/>
      <c r="M304" s="1250" t="s">
        <v>528</v>
      </c>
      <c r="N304" s="1250" t="s">
        <v>529</v>
      </c>
      <c r="O304" s="1250"/>
      <c r="P304" s="1250" t="s">
        <v>530</v>
      </c>
      <c r="Q304" s="1249"/>
      <c r="R304" s="1249"/>
      <c r="S304" s="1250" t="s">
        <v>526</v>
      </c>
      <c r="T304" s="1250" t="s">
        <v>523</v>
      </c>
      <c r="U304" s="1250"/>
      <c r="V304" s="1250" t="s">
        <v>524</v>
      </c>
      <c r="W304" s="1250" t="s">
        <v>525</v>
      </c>
      <c r="X304" s="1250" t="s">
        <v>527</v>
      </c>
      <c r="Y304" s="1250"/>
      <c r="Z304" s="1250" t="s">
        <v>528</v>
      </c>
      <c r="AA304" s="1250" t="s">
        <v>530</v>
      </c>
      <c r="AB304" s="1397"/>
      <c r="AD304" s="1438"/>
      <c r="AE304" s="1423"/>
      <c r="AF304" s="1423"/>
      <c r="AG304" s="1423"/>
      <c r="AH304" s="1423"/>
      <c r="AI304" s="1423"/>
      <c r="AJ304" s="1423"/>
      <c r="AK304" s="1423"/>
      <c r="AL304" s="1424"/>
      <c r="AM304" s="1424"/>
      <c r="AS304" s="1397"/>
    </row>
    <row r="305" spans="1:45" hidden="1">
      <c r="A305" s="212" t="s">
        <v>493</v>
      </c>
      <c r="C305" s="1164" t="s">
        <v>204</v>
      </c>
      <c r="E305" s="1247"/>
      <c r="F305" s="1328" t="str">
        <f>INDEX(EP_Methode_BRON_per_GPR_Versie_Eenheid,MATCH(EP_bronmethode,GPR_Versie_En_EP_Methode,0))&amp;"/m2 Ag"</f>
        <v>MJ/m2 Ag</v>
      </c>
      <c r="G305" s="1328" t="str">
        <f>INDEX(EP_Methode_BRON_per_GPR_Versie_Eenheid,MATCH(EP_bronmethode,GPR_Versie_En_EP_Methode,0))&amp;"/m2 Ag"</f>
        <v>MJ/m2 Ag</v>
      </c>
      <c r="H305" s="1328" t="s">
        <v>132</v>
      </c>
      <c r="I305" s="1328"/>
      <c r="J305" s="1328" t="s">
        <v>132</v>
      </c>
      <c r="K305" s="1328" t="str">
        <f>INDEX(EP_Methode_BRON_per_GPR_Versie_Eenheid,MATCH(EP_bronmethode,GPR_Versie_En_EP_Methode,0))&amp;"/m2 Ag"</f>
        <v>MJ/m2 Ag</v>
      </c>
      <c r="L305" s="1328"/>
      <c r="M305" s="1328" t="str">
        <f>INDEX(EP_Methode_BRON_per_GPR_Versie_Eenheid,MATCH(EP_bronmethode,GPR_Versie_En_EP_Methode,0))</f>
        <v>MJ</v>
      </c>
      <c r="N305" s="1329" t="s">
        <v>132</v>
      </c>
      <c r="O305" s="1329"/>
      <c r="P305" s="1328" t="s">
        <v>132</v>
      </c>
      <c r="Q305" s="1330"/>
      <c r="R305" s="1330"/>
      <c r="S305" s="1328" t="s">
        <v>132</v>
      </c>
      <c r="T305" s="1328" t="str">
        <f>INDEX(EP_Methode_BRON_per_GPR_Versie_Eenheid,MATCH(EP_doelmethode,GPR_Versie_En_EP_Methode,0))&amp;"/m2 Ag"</f>
        <v>MJ/m2 Ag</v>
      </c>
      <c r="U305" s="1328"/>
      <c r="V305" s="1328" t="str">
        <f>INDEX(EP_Methode_BRON_per_GPR_Versie_Eenheid,MATCH(EP_doelmethode,GPR_Versie_En_EP_Methode,0))&amp;"/m2 Ag"</f>
        <v>MJ/m2 Ag</v>
      </c>
      <c r="W305" s="1328" t="s">
        <v>132</v>
      </c>
      <c r="X305" s="1328" t="str">
        <f>INDEX(EP_Methode_BRON_per_GPR_Versie_Eenheid,MATCH(EP_doelmethode,GPR_Versie_En_EP_Methode,0))&amp;"/m2 Ag"</f>
        <v>MJ/m2 Ag</v>
      </c>
      <c r="Y305" s="1328"/>
      <c r="Z305" s="1328" t="str">
        <f>INDEX(EP_Methode_BRON_per_GPR_Versie_Eenheid,MATCH(EP_doelmethode,GPR_Versie_En_EP_Methode,0))</f>
        <v>MJ</v>
      </c>
      <c r="AA305" s="1328" t="s">
        <v>132</v>
      </c>
      <c r="AB305" s="148"/>
      <c r="AS305" s="148"/>
    </row>
    <row r="306" spans="1:45" s="211" customFormat="1" hidden="1">
      <c r="A306" s="212" t="s">
        <v>493</v>
      </c>
      <c r="B306" s="1163"/>
      <c r="C306" s="1164" t="s">
        <v>1639</v>
      </c>
      <c r="D306" s="1163"/>
      <c r="E306" s="1252"/>
      <c r="F306" s="1165" t="s">
        <v>1410</v>
      </c>
      <c r="G306" s="1253"/>
      <c r="H306" s="1252"/>
      <c r="I306" s="1252"/>
      <c r="J306" s="1252"/>
      <c r="K306" s="1166" t="s">
        <v>1415</v>
      </c>
      <c r="L306" s="1689" t="s">
        <v>1413</v>
      </c>
      <c r="M306" s="1690"/>
      <c r="N306" s="1252"/>
      <c r="O306" s="1252"/>
      <c r="P306" s="1254" t="s">
        <v>1412</v>
      </c>
      <c r="Q306" s="1252"/>
      <c r="R306" s="1252"/>
      <c r="S306" s="1165" t="s">
        <v>1414</v>
      </c>
      <c r="T306" s="1252"/>
      <c r="U306" s="1252"/>
      <c r="V306" s="1252"/>
      <c r="W306" s="1252"/>
      <c r="X306" s="1166" t="s">
        <v>1416</v>
      </c>
      <c r="Y306" s="1689" t="s">
        <v>1417</v>
      </c>
      <c r="Z306" s="1690"/>
      <c r="AA306" s="1254" t="s">
        <v>1412</v>
      </c>
      <c r="AB306" s="1398"/>
      <c r="AD306" s="1438"/>
      <c r="AE306" s="1423"/>
      <c r="AF306" s="1423"/>
      <c r="AG306" s="1423"/>
      <c r="AH306" s="1423"/>
      <c r="AI306" s="1423"/>
      <c r="AJ306" s="1423"/>
      <c r="AK306" s="1423"/>
      <c r="AL306" s="1424"/>
      <c r="AM306" s="1424"/>
      <c r="AS306" s="1398"/>
    </row>
    <row r="307" spans="1:45" hidden="1">
      <c r="A307" s="212" t="s">
        <v>493</v>
      </c>
      <c r="C307" s="1164" t="str">
        <f t="shared" ref="C307:C318" si="123">F44</f>
        <v>woning</v>
      </c>
      <c r="E307" s="1248"/>
      <c r="F307" s="1255">
        <f t="shared" ref="F307:F318" si="124">INDEX(Prim_Energie_GPR_Score_6,MATCH($F44,Gebruiksfuncties,0),MATCH(EP_bronmethode,GPR_Versie_En_EP_Methode,0))</f>
        <v>600</v>
      </c>
      <c r="G307" s="1256">
        <f t="shared" ref="G307:G318" si="125">INDEX(Prim_Energie_GPR_Score_10,MATCH($F44,Gebruiksfuncties,0),MATCH(EP_bronmethode,GPR_Versie_En_EP_Methode,0))</f>
        <v>-211.96800000000002</v>
      </c>
      <c r="H307" s="1257">
        <f>(LN(6/10)/(F307-G307))</f>
        <v>-6.2912038869264637E-4</v>
      </c>
      <c r="I307" s="1257"/>
      <c r="J307" s="1258">
        <f t="shared" ref="J307:J318" si="126">J$320</f>
        <v>9.2610555239266272</v>
      </c>
      <c r="K307" s="1255">
        <f t="shared" ref="K307:K318" si="127">IFERROR(LN(J307/10)/H307+G307,"")</f>
        <v>-89.945149132801674</v>
      </c>
      <c r="L307" s="1255"/>
      <c r="M307" s="1259">
        <f t="shared" ref="M307:M318" si="128">K307*$M44</f>
        <v>0</v>
      </c>
      <c r="N307" s="1260">
        <f t="shared" ref="N307:N318" si="129">IF(M$320=0,0,M307/M$320)</f>
        <v>0</v>
      </c>
      <c r="O307" s="1260"/>
      <c r="P307" s="1261">
        <f t="shared" ref="P307:P318" si="130">10*EXP(H307*(K307-G307))</f>
        <v>9.2610555239266272</v>
      </c>
      <c r="Q307" s="1248"/>
      <c r="R307" s="1248"/>
      <c r="S307" s="1262">
        <f t="shared" ref="S307:S318" si="131">J$320</f>
        <v>9.2610555239266272</v>
      </c>
      <c r="T307" s="1251">
        <f t="shared" ref="T307:T318" si="132">INDEX(Prim_Energie_GPR_Score_6,MATCH($F44,Gebruiksfuncties,0),MATCH(EP_doelmethode,GPR_Versie_En_EP_Methode,0))</f>
        <v>600</v>
      </c>
      <c r="U307" s="1251"/>
      <c r="V307" s="1263">
        <f t="shared" ref="V307:V318" si="133">INDEX(Prim_Energie_GPR_Score_10,MATCH($F44,Gebruiksfuncties,0),MATCH(EP_doelmethode,GPR_Versie_En_EP_Methode,0))</f>
        <v>-211.96800000000002</v>
      </c>
      <c r="W307" s="1257">
        <f t="shared" ref="W307:W318" si="134">(LN(6/10)/(T307-V307))</f>
        <v>-6.2912038869264637E-4</v>
      </c>
      <c r="X307" s="1264">
        <f t="shared" ref="X307:X318" si="135">IFERROR(LN(S307/10)/W307+V307,"")</f>
        <v>-89.945149132801674</v>
      </c>
      <c r="Y307" s="1265"/>
      <c r="Z307" s="1266">
        <f t="shared" ref="Z307:Z318" si="136">X307*$M44</f>
        <v>0</v>
      </c>
      <c r="AA307" s="1258">
        <f t="shared" ref="AA307:AA318" si="137">10*EXP(W307*(X307-V307))</f>
        <v>9.2610555239266272</v>
      </c>
      <c r="AB307" s="1399"/>
      <c r="AS307" s="1399"/>
    </row>
    <row r="308" spans="1:45" hidden="1">
      <c r="A308" s="212" t="s">
        <v>493</v>
      </c>
      <c r="C308" s="1164" t="str">
        <f t="shared" si="123"/>
        <v>woongebouw</v>
      </c>
      <c r="E308" s="1248"/>
      <c r="F308" s="1267">
        <f t="shared" si="124"/>
        <v>600</v>
      </c>
      <c r="G308" s="1268">
        <f t="shared" si="125"/>
        <v>-211.96800000000002</v>
      </c>
      <c r="H308" s="1257">
        <f t="shared" ref="H308:H318" si="138">(LN(6/10)/(F308-G308))</f>
        <v>-6.2912038869264637E-4</v>
      </c>
      <c r="I308" s="1257"/>
      <c r="J308" s="1258">
        <f t="shared" si="126"/>
        <v>9.2610555239266272</v>
      </c>
      <c r="K308" s="1267">
        <f t="shared" si="127"/>
        <v>-89.945149132801674</v>
      </c>
      <c r="L308" s="1267"/>
      <c r="M308" s="1269">
        <f t="shared" si="128"/>
        <v>0</v>
      </c>
      <c r="N308" s="1260">
        <f t="shared" si="129"/>
        <v>0</v>
      </c>
      <c r="O308" s="1260"/>
      <c r="P308" s="1261">
        <f t="shared" si="130"/>
        <v>9.2610555239266272</v>
      </c>
      <c r="Q308" s="1248"/>
      <c r="R308" s="1248"/>
      <c r="S308" s="1270">
        <f t="shared" si="131"/>
        <v>9.2610555239266272</v>
      </c>
      <c r="T308" s="1251">
        <f t="shared" si="132"/>
        <v>600</v>
      </c>
      <c r="U308" s="1251"/>
      <c r="V308" s="1263">
        <f t="shared" si="133"/>
        <v>-211.96800000000002</v>
      </c>
      <c r="W308" s="1257">
        <f t="shared" si="134"/>
        <v>-6.2912038869264637E-4</v>
      </c>
      <c r="X308" s="1271">
        <f t="shared" si="135"/>
        <v>-89.945149132801674</v>
      </c>
      <c r="Y308" s="1272"/>
      <c r="Z308" s="1273">
        <f t="shared" si="136"/>
        <v>0</v>
      </c>
      <c r="AA308" s="1258">
        <f t="shared" si="137"/>
        <v>9.2610555239266272</v>
      </c>
      <c r="AB308" s="1399"/>
      <c r="AS308" s="1399"/>
    </row>
    <row r="309" spans="1:45" hidden="1">
      <c r="A309" s="212" t="s">
        <v>493</v>
      </c>
      <c r="C309" s="1164" t="str">
        <f t="shared" si="123"/>
        <v>kantoor</v>
      </c>
      <c r="E309" s="1248"/>
      <c r="F309" s="1267">
        <f t="shared" si="124"/>
        <v>665</v>
      </c>
      <c r="G309" s="1268">
        <f t="shared" si="125"/>
        <v>-317.79310344827587</v>
      </c>
      <c r="H309" s="1257">
        <f t="shared" si="138"/>
        <v>-5.1976923929734854E-4</v>
      </c>
      <c r="I309" s="1257"/>
      <c r="J309" s="1258">
        <f t="shared" si="126"/>
        <v>9.2610555239266272</v>
      </c>
      <c r="K309" s="1267">
        <f t="shared" si="127"/>
        <v>-170.0985929560151</v>
      </c>
      <c r="L309" s="1267"/>
      <c r="M309" s="1269">
        <f t="shared" si="128"/>
        <v>-17009.859295601509</v>
      </c>
      <c r="N309" s="1260">
        <f t="shared" si="129"/>
        <v>-190842225330076.94</v>
      </c>
      <c r="O309" s="1260"/>
      <c r="P309" s="1261">
        <f t="shared" si="130"/>
        <v>9.2610555239266272</v>
      </c>
      <c r="Q309" s="1248"/>
      <c r="R309" s="1248"/>
      <c r="S309" s="1270">
        <f t="shared" si="131"/>
        <v>9.2610555239266272</v>
      </c>
      <c r="T309" s="1251">
        <f t="shared" si="132"/>
        <v>665</v>
      </c>
      <c r="U309" s="1251"/>
      <c r="V309" s="1263">
        <f t="shared" si="133"/>
        <v>-317.79310344827587</v>
      </c>
      <c r="W309" s="1257">
        <f t="shared" si="134"/>
        <v>-5.1976923929734854E-4</v>
      </c>
      <c r="X309" s="1271">
        <f t="shared" si="135"/>
        <v>-170.0985929560151</v>
      </c>
      <c r="Y309" s="1272"/>
      <c r="Z309" s="1273">
        <f t="shared" si="136"/>
        <v>-17009.859295601509</v>
      </c>
      <c r="AA309" s="1258">
        <f t="shared" si="137"/>
        <v>9.2610555239266272</v>
      </c>
      <c r="AB309" s="1399"/>
      <c r="AS309" s="1399"/>
    </row>
    <row r="310" spans="1:45" hidden="1">
      <c r="A310" s="212" t="s">
        <v>493</v>
      </c>
      <c r="C310" s="1164" t="str">
        <f t="shared" si="123"/>
        <v>bijeenkomst overig</v>
      </c>
      <c r="E310" s="1248"/>
      <c r="F310" s="1267">
        <f t="shared" si="124"/>
        <v>1154</v>
      </c>
      <c r="G310" s="1268">
        <f t="shared" si="125"/>
        <v>-95.337931034482764</v>
      </c>
      <c r="H310" s="1257">
        <f t="shared" si="138"/>
        <v>-4.0887706286401985E-4</v>
      </c>
      <c r="I310" s="1257"/>
      <c r="J310" s="1258">
        <f t="shared" si="126"/>
        <v>9.2610555239266272</v>
      </c>
      <c r="K310" s="1267">
        <f t="shared" si="127"/>
        <v>92.413034571741619</v>
      </c>
      <c r="L310" s="1267"/>
      <c r="M310" s="1269">
        <f t="shared" si="128"/>
        <v>9241.3034571741628</v>
      </c>
      <c r="N310" s="1260">
        <f t="shared" si="129"/>
        <v>103682863336423.88</v>
      </c>
      <c r="O310" s="1260"/>
      <c r="P310" s="1261">
        <f t="shared" si="130"/>
        <v>9.2610555239266272</v>
      </c>
      <c r="Q310" s="1248"/>
      <c r="R310" s="1248"/>
      <c r="S310" s="1270">
        <f t="shared" si="131"/>
        <v>9.2610555239266272</v>
      </c>
      <c r="T310" s="1251">
        <f t="shared" si="132"/>
        <v>1154</v>
      </c>
      <c r="U310" s="1251"/>
      <c r="V310" s="1263">
        <f t="shared" si="133"/>
        <v>-95.337931034482764</v>
      </c>
      <c r="W310" s="1257">
        <f t="shared" si="134"/>
        <v>-4.0887706286401985E-4</v>
      </c>
      <c r="X310" s="1271">
        <f t="shared" si="135"/>
        <v>92.413034571741619</v>
      </c>
      <c r="Y310" s="1272"/>
      <c r="Z310" s="1273">
        <f t="shared" si="136"/>
        <v>9241.3034571741628</v>
      </c>
      <c r="AA310" s="1258">
        <f t="shared" si="137"/>
        <v>9.2610555239266272</v>
      </c>
      <c r="AB310" s="1399"/>
      <c r="AS310" s="1399"/>
    </row>
    <row r="311" spans="1:45" hidden="1">
      <c r="A311" s="212" t="s">
        <v>493</v>
      </c>
      <c r="C311" s="1164" t="str">
        <f t="shared" si="123"/>
        <v>bijeenkomst kinderdagverblijf</v>
      </c>
      <c r="E311" s="1248"/>
      <c r="F311" s="1267">
        <f t="shared" si="124"/>
        <v>1056</v>
      </c>
      <c r="G311" s="1268">
        <f t="shared" si="125"/>
        <v>-95.337931034482764</v>
      </c>
      <c r="H311" s="1257">
        <f t="shared" si="138"/>
        <v>-4.4368000914120093E-4</v>
      </c>
      <c r="I311" s="1257"/>
      <c r="J311" s="1258">
        <f t="shared" si="126"/>
        <v>9.2610555239266272</v>
      </c>
      <c r="K311" s="1267">
        <f t="shared" si="127"/>
        <v>77.685558384274358</v>
      </c>
      <c r="L311" s="1267"/>
      <c r="M311" s="1269">
        <f t="shared" si="128"/>
        <v>7768.5558384274354</v>
      </c>
      <c r="N311" s="1260">
        <f t="shared" si="129"/>
        <v>87159361993654.063</v>
      </c>
      <c r="O311" s="1260"/>
      <c r="P311" s="1261">
        <f t="shared" si="130"/>
        <v>9.2610555239266272</v>
      </c>
      <c r="Q311" s="1248"/>
      <c r="R311" s="1248"/>
      <c r="S311" s="1270">
        <f t="shared" si="131"/>
        <v>9.2610555239266272</v>
      </c>
      <c r="T311" s="1251">
        <f t="shared" si="132"/>
        <v>1056</v>
      </c>
      <c r="U311" s="1251"/>
      <c r="V311" s="1263">
        <f t="shared" si="133"/>
        <v>-95.337931034482764</v>
      </c>
      <c r="W311" s="1257">
        <f t="shared" si="134"/>
        <v>-4.4368000914120093E-4</v>
      </c>
      <c r="X311" s="1271">
        <f t="shared" si="135"/>
        <v>77.685558384274358</v>
      </c>
      <c r="Y311" s="1272"/>
      <c r="Z311" s="1273">
        <f t="shared" si="136"/>
        <v>7768.5558384274354</v>
      </c>
      <c r="AA311" s="1258">
        <f t="shared" si="137"/>
        <v>9.2610555239266272</v>
      </c>
      <c r="AB311" s="1399"/>
      <c r="AS311" s="1399"/>
    </row>
    <row r="312" spans="1:45" hidden="1">
      <c r="A312" s="212" t="s">
        <v>493</v>
      </c>
      <c r="C312" s="1164" t="str">
        <f t="shared" si="123"/>
        <v>onderwijs</v>
      </c>
      <c r="E312" s="1248"/>
      <c r="F312" s="1267">
        <f t="shared" si="124"/>
        <v>843</v>
      </c>
      <c r="G312" s="1268">
        <f t="shared" si="125"/>
        <v>-158.89655172413794</v>
      </c>
      <c r="H312" s="1257">
        <f t="shared" si="138"/>
        <v>-5.0985865046338777E-4</v>
      </c>
      <c r="I312" s="1257"/>
      <c r="J312" s="1258">
        <f t="shared" si="126"/>
        <v>9.2610555239266272</v>
      </c>
      <c r="K312" s="1267">
        <f t="shared" si="127"/>
        <v>-8.3311679708437794</v>
      </c>
      <c r="L312" s="1267"/>
      <c r="M312" s="1269">
        <f t="shared" si="128"/>
        <v>0</v>
      </c>
      <c r="N312" s="1260">
        <f t="shared" si="129"/>
        <v>0</v>
      </c>
      <c r="O312" s="1260"/>
      <c r="P312" s="1261">
        <f t="shared" si="130"/>
        <v>9.2610555239266272</v>
      </c>
      <c r="Q312" s="1248"/>
      <c r="R312" s="1248"/>
      <c r="S312" s="1270">
        <f t="shared" si="131"/>
        <v>9.2610555239266272</v>
      </c>
      <c r="T312" s="1251">
        <f t="shared" si="132"/>
        <v>843</v>
      </c>
      <c r="U312" s="1251"/>
      <c r="V312" s="1263">
        <f t="shared" si="133"/>
        <v>-158.89655172413794</v>
      </c>
      <c r="W312" s="1257">
        <f t="shared" si="134"/>
        <v>-5.0985865046338777E-4</v>
      </c>
      <c r="X312" s="1271">
        <f t="shared" si="135"/>
        <v>-8.3311679708437794</v>
      </c>
      <c r="Y312" s="1272"/>
      <c r="Z312" s="1273">
        <f t="shared" si="136"/>
        <v>0</v>
      </c>
      <c r="AA312" s="1258">
        <f t="shared" si="137"/>
        <v>9.2610555239266272</v>
      </c>
      <c r="AB312" s="1399"/>
      <c r="AS312" s="1399"/>
    </row>
    <row r="313" spans="1:45" hidden="1">
      <c r="A313" s="212" t="s">
        <v>493</v>
      </c>
      <c r="C313" s="1164" t="str">
        <f t="shared" si="123"/>
        <v>gezondheid overig</v>
      </c>
      <c r="E313" s="1248"/>
      <c r="F313" s="1267">
        <f t="shared" si="124"/>
        <v>745</v>
      </c>
      <c r="G313" s="1268">
        <f t="shared" si="125"/>
        <v>-254.23448275862074</v>
      </c>
      <c r="H313" s="1257">
        <f t="shared" si="138"/>
        <v>-5.1121696916997604E-4</v>
      </c>
      <c r="I313" s="1257"/>
      <c r="J313" s="1258">
        <f t="shared" si="126"/>
        <v>9.2610555239266272</v>
      </c>
      <c r="K313" s="1267">
        <f t="shared" si="127"/>
        <v>-104.06915571245978</v>
      </c>
      <c r="L313" s="1267"/>
      <c r="M313" s="1269">
        <f t="shared" si="128"/>
        <v>0</v>
      </c>
      <c r="N313" s="1260">
        <f t="shared" si="129"/>
        <v>0</v>
      </c>
      <c r="O313" s="1260"/>
      <c r="P313" s="1261">
        <f t="shared" si="130"/>
        <v>9.2610555239266272</v>
      </c>
      <c r="Q313" s="1248"/>
      <c r="R313" s="1248"/>
      <c r="S313" s="1270">
        <f t="shared" si="131"/>
        <v>9.2610555239266272</v>
      </c>
      <c r="T313" s="1251">
        <f t="shared" si="132"/>
        <v>745</v>
      </c>
      <c r="U313" s="1251"/>
      <c r="V313" s="1263">
        <f t="shared" si="133"/>
        <v>-254.23448275862074</v>
      </c>
      <c r="W313" s="1257">
        <f t="shared" si="134"/>
        <v>-5.1121696916997604E-4</v>
      </c>
      <c r="X313" s="1271">
        <f t="shared" si="135"/>
        <v>-104.06915571245978</v>
      </c>
      <c r="Y313" s="1272"/>
      <c r="Z313" s="1273">
        <f t="shared" si="136"/>
        <v>0</v>
      </c>
      <c r="AA313" s="1258">
        <f t="shared" si="137"/>
        <v>9.2610555239266272</v>
      </c>
      <c r="AB313" s="1399"/>
      <c r="AS313" s="1399"/>
    </row>
    <row r="314" spans="1:45" hidden="1">
      <c r="A314" s="212" t="s">
        <v>493</v>
      </c>
      <c r="C314" s="1164" t="str">
        <f t="shared" si="123"/>
        <v>gezondheid bedgebied</v>
      </c>
      <c r="E314" s="1248"/>
      <c r="F314" s="1267">
        <f t="shared" si="124"/>
        <v>1476</v>
      </c>
      <c r="G314" s="1268">
        <f t="shared" si="125"/>
        <v>-317.79310344827587</v>
      </c>
      <c r="H314" s="1257">
        <f t="shared" si="138"/>
        <v>-2.8477399248776877E-4</v>
      </c>
      <c r="I314" s="1257"/>
      <c r="J314" s="1258">
        <f t="shared" si="126"/>
        <v>9.2610555239266272</v>
      </c>
      <c r="K314" s="1267">
        <f t="shared" si="127"/>
        <v>-48.221213486260353</v>
      </c>
      <c r="L314" s="1267"/>
      <c r="M314" s="1269">
        <f t="shared" si="128"/>
        <v>0</v>
      </c>
      <c r="N314" s="1260">
        <f t="shared" si="129"/>
        <v>0</v>
      </c>
      <c r="O314" s="1260"/>
      <c r="P314" s="1261">
        <f t="shared" si="130"/>
        <v>9.2610555239266272</v>
      </c>
      <c r="Q314" s="1248"/>
      <c r="R314" s="1248"/>
      <c r="S314" s="1270">
        <f t="shared" si="131"/>
        <v>9.2610555239266272</v>
      </c>
      <c r="T314" s="1251">
        <f t="shared" si="132"/>
        <v>1476</v>
      </c>
      <c r="U314" s="1251"/>
      <c r="V314" s="1263">
        <f t="shared" si="133"/>
        <v>-317.79310344827587</v>
      </c>
      <c r="W314" s="1257">
        <f t="shared" si="134"/>
        <v>-2.8477399248776877E-4</v>
      </c>
      <c r="X314" s="1271">
        <f t="shared" si="135"/>
        <v>-48.221213486260353</v>
      </c>
      <c r="Y314" s="1272"/>
      <c r="Z314" s="1273">
        <f t="shared" si="136"/>
        <v>0</v>
      </c>
      <c r="AA314" s="1258">
        <f t="shared" si="137"/>
        <v>9.2610555239266272</v>
      </c>
      <c r="AB314" s="1399"/>
      <c r="AS314" s="1399"/>
    </row>
    <row r="315" spans="1:45" hidden="1">
      <c r="A315" s="212" t="s">
        <v>493</v>
      </c>
      <c r="C315" s="1164" t="str">
        <f t="shared" si="123"/>
        <v>winkel</v>
      </c>
      <c r="E315" s="1248"/>
      <c r="F315" s="1267">
        <f t="shared" si="124"/>
        <v>1498</v>
      </c>
      <c r="G315" s="1268">
        <f t="shared" si="125"/>
        <v>-254.23448275862074</v>
      </c>
      <c r="H315" s="1257">
        <f t="shared" si="138"/>
        <v>-2.9152811954811847E-4</v>
      </c>
      <c r="I315" s="1257"/>
      <c r="J315" s="1258">
        <f t="shared" si="126"/>
        <v>9.2610555239266272</v>
      </c>
      <c r="K315" s="1267">
        <f t="shared" si="127"/>
        <v>9.0919623402225511</v>
      </c>
      <c r="L315" s="1267"/>
      <c r="M315" s="1269">
        <f t="shared" si="128"/>
        <v>0</v>
      </c>
      <c r="N315" s="1260">
        <f t="shared" si="129"/>
        <v>0</v>
      </c>
      <c r="O315" s="1260"/>
      <c r="P315" s="1261">
        <f t="shared" si="130"/>
        <v>9.2610555239266272</v>
      </c>
      <c r="Q315" s="1248"/>
      <c r="R315" s="1248"/>
      <c r="S315" s="1270">
        <f t="shared" si="131"/>
        <v>9.2610555239266272</v>
      </c>
      <c r="T315" s="1251">
        <f t="shared" si="132"/>
        <v>1498</v>
      </c>
      <c r="U315" s="1251"/>
      <c r="V315" s="1263">
        <f t="shared" si="133"/>
        <v>-254.23448275862074</v>
      </c>
      <c r="W315" s="1257">
        <f t="shared" si="134"/>
        <v>-2.9152811954811847E-4</v>
      </c>
      <c r="X315" s="1271">
        <f t="shared" si="135"/>
        <v>9.0919623402225511</v>
      </c>
      <c r="Y315" s="1272"/>
      <c r="Z315" s="1273">
        <f t="shared" si="136"/>
        <v>0</v>
      </c>
      <c r="AA315" s="1258">
        <f t="shared" si="137"/>
        <v>9.2610555239266272</v>
      </c>
      <c r="AB315" s="1399"/>
      <c r="AS315" s="1399"/>
    </row>
    <row r="316" spans="1:45" hidden="1">
      <c r="A316" s="212" t="s">
        <v>493</v>
      </c>
      <c r="C316" s="1164" t="str">
        <f t="shared" si="123"/>
        <v>sport</v>
      </c>
      <c r="E316" s="1248"/>
      <c r="F316" s="1267">
        <f t="shared" si="124"/>
        <v>755</v>
      </c>
      <c r="G316" s="1268">
        <f t="shared" si="125"/>
        <v>-95.337931034482764</v>
      </c>
      <c r="H316" s="1257">
        <f t="shared" si="138"/>
        <v>-6.0073249131029982E-4</v>
      </c>
      <c r="I316" s="1257"/>
      <c r="J316" s="1258">
        <f t="shared" si="126"/>
        <v>9.2610555239266272</v>
      </c>
      <c r="K316" s="1267">
        <f t="shared" si="127"/>
        <v>32.451167237053383</v>
      </c>
      <c r="L316" s="1267"/>
      <c r="M316" s="1269">
        <f t="shared" si="128"/>
        <v>0</v>
      </c>
      <c r="N316" s="1260">
        <f t="shared" si="129"/>
        <v>0</v>
      </c>
      <c r="O316" s="1260"/>
      <c r="P316" s="1261">
        <f t="shared" si="130"/>
        <v>9.2610555239266272</v>
      </c>
      <c r="Q316" s="1248"/>
      <c r="R316" s="1248"/>
      <c r="S316" s="1270">
        <f t="shared" si="131"/>
        <v>9.2610555239266272</v>
      </c>
      <c r="T316" s="1251">
        <f t="shared" si="132"/>
        <v>755</v>
      </c>
      <c r="U316" s="1251"/>
      <c r="V316" s="1263">
        <f t="shared" si="133"/>
        <v>-95.337931034482764</v>
      </c>
      <c r="W316" s="1257">
        <f t="shared" si="134"/>
        <v>-6.0073249131029982E-4</v>
      </c>
      <c r="X316" s="1271">
        <f t="shared" si="135"/>
        <v>32.451167237053383</v>
      </c>
      <c r="Y316" s="1272"/>
      <c r="Z316" s="1273">
        <f t="shared" si="136"/>
        <v>0</v>
      </c>
      <c r="AA316" s="1258">
        <f t="shared" si="137"/>
        <v>9.2610555239266272</v>
      </c>
      <c r="AB316" s="1399"/>
      <c r="AS316" s="1399"/>
    </row>
    <row r="317" spans="1:45" hidden="1">
      <c r="A317" s="212" t="s">
        <v>493</v>
      </c>
      <c r="C317" s="1164" t="str">
        <f t="shared" si="123"/>
        <v>logies in logiesgebouw</v>
      </c>
      <c r="E317" s="1248"/>
      <c r="F317" s="1267">
        <f t="shared" si="124"/>
        <v>885</v>
      </c>
      <c r="G317" s="1268">
        <f t="shared" si="125"/>
        <v>-158.89655172413794</v>
      </c>
      <c r="H317" s="1257">
        <f t="shared" si="138"/>
        <v>-4.8934506290138839E-4</v>
      </c>
      <c r="I317" s="1257"/>
      <c r="J317" s="1258">
        <f t="shared" si="126"/>
        <v>9.2610555239266272</v>
      </c>
      <c r="K317" s="1267">
        <f t="shared" si="127"/>
        <v>-2.0193924619292432</v>
      </c>
      <c r="L317" s="1267"/>
      <c r="M317" s="1269">
        <f t="shared" si="128"/>
        <v>0</v>
      </c>
      <c r="N317" s="1260">
        <f t="shared" si="129"/>
        <v>0</v>
      </c>
      <c r="O317" s="1260"/>
      <c r="P317" s="1261">
        <f t="shared" si="130"/>
        <v>9.2610555239266272</v>
      </c>
      <c r="Q317" s="1248"/>
      <c r="R317" s="1248"/>
      <c r="S317" s="1270">
        <f t="shared" si="131"/>
        <v>9.2610555239266272</v>
      </c>
      <c r="T317" s="1251">
        <f t="shared" si="132"/>
        <v>885</v>
      </c>
      <c r="U317" s="1251"/>
      <c r="V317" s="1263">
        <f t="shared" si="133"/>
        <v>-158.89655172413794</v>
      </c>
      <c r="W317" s="1257">
        <f t="shared" si="134"/>
        <v>-4.8934506290138839E-4</v>
      </c>
      <c r="X317" s="1271">
        <f t="shared" si="135"/>
        <v>-2.0193924619292432</v>
      </c>
      <c r="Y317" s="1272"/>
      <c r="Z317" s="1273">
        <f t="shared" si="136"/>
        <v>0</v>
      </c>
      <c r="AA317" s="1258">
        <f t="shared" si="137"/>
        <v>9.2610555239266272</v>
      </c>
      <c r="AB317" s="1399"/>
      <c r="AS317" s="1399"/>
    </row>
    <row r="318" spans="1:45" hidden="1">
      <c r="A318" s="212" t="s">
        <v>493</v>
      </c>
      <c r="C318" s="1164" t="str">
        <f t="shared" si="123"/>
        <v>cel</v>
      </c>
      <c r="E318" s="1248"/>
      <c r="F318" s="1274">
        <f t="shared" si="124"/>
        <v>926</v>
      </c>
      <c r="G318" s="1275">
        <f t="shared" si="125"/>
        <v>-158.89655172413794</v>
      </c>
      <c r="H318" s="1257">
        <f t="shared" si="138"/>
        <v>-4.7085191943340321E-4</v>
      </c>
      <c r="I318" s="1257"/>
      <c r="J318" s="1258">
        <f t="shared" si="126"/>
        <v>9.2610555239266272</v>
      </c>
      <c r="K318" s="1274">
        <f t="shared" si="127"/>
        <v>4.1421026777254326</v>
      </c>
      <c r="L318" s="1274"/>
      <c r="M318" s="1276">
        <f t="shared" si="128"/>
        <v>0</v>
      </c>
      <c r="N318" s="1260">
        <f t="shared" si="129"/>
        <v>0</v>
      </c>
      <c r="O318" s="1260"/>
      <c r="P318" s="1261">
        <f t="shared" si="130"/>
        <v>9.2610555239266272</v>
      </c>
      <c r="Q318" s="1248"/>
      <c r="R318" s="1248"/>
      <c r="S318" s="1277">
        <f t="shared" si="131"/>
        <v>9.2610555239266272</v>
      </c>
      <c r="T318" s="1251">
        <f t="shared" si="132"/>
        <v>926</v>
      </c>
      <c r="U318" s="1251"/>
      <c r="V318" s="1263">
        <f t="shared" si="133"/>
        <v>-158.89655172413794</v>
      </c>
      <c r="W318" s="1257">
        <f t="shared" si="134"/>
        <v>-4.7085191943340321E-4</v>
      </c>
      <c r="X318" s="1278">
        <f t="shared" si="135"/>
        <v>4.1421026777254326</v>
      </c>
      <c r="Y318" s="1279"/>
      <c r="Z318" s="1280">
        <f t="shared" si="136"/>
        <v>0</v>
      </c>
      <c r="AA318" s="1258">
        <f t="shared" si="137"/>
        <v>9.2610555239266272</v>
      </c>
      <c r="AB318" s="1399"/>
      <c r="AS318" s="1399"/>
    </row>
    <row r="319" spans="1:45" hidden="1">
      <c r="A319" s="212" t="s">
        <v>493</v>
      </c>
      <c r="C319" s="1164"/>
      <c r="E319" s="1248"/>
      <c r="F319" s="906" t="s">
        <v>1411</v>
      </c>
      <c r="G319" s="1247"/>
      <c r="H319" s="1247"/>
      <c r="I319" s="1247"/>
      <c r="J319" s="1248"/>
      <c r="K319" s="1248" t="s">
        <v>1412</v>
      </c>
      <c r="L319" s="1248"/>
      <c r="M319" s="1248"/>
      <c r="N319" s="1248"/>
      <c r="O319" s="1248"/>
      <c r="P319" s="1281"/>
      <c r="Q319" s="1248"/>
      <c r="R319" s="1248"/>
      <c r="S319" s="1248"/>
      <c r="T319" s="1247"/>
      <c r="U319" s="1247"/>
      <c r="V319" s="1247"/>
      <c r="W319" s="1247"/>
      <c r="X319" s="1247"/>
      <c r="Y319" s="1247"/>
      <c r="Z319" s="1248"/>
      <c r="AA319" s="1248"/>
      <c r="AB319" s="16"/>
      <c r="AS319" s="16"/>
    </row>
    <row r="320" spans="1:45" hidden="1">
      <c r="A320" s="212" t="s">
        <v>493</v>
      </c>
      <c r="C320" s="1164" t="s">
        <v>1597</v>
      </c>
      <c r="E320" s="1248"/>
      <c r="F320" s="1282">
        <f>IF(SUM($M$44:$M$55)=0,0,SUMPRODUCT($M$44:$M$55,F$307:F$318)/SUM($M$44:$M$55))</f>
        <v>958.33333333333337</v>
      </c>
      <c r="G320" s="1283">
        <f>IF(SUM($M$44:$M$55)=0,0,SUMPRODUCT($M$44:$M$55,G$307:G$318)/SUM($M$44:$M$55))</f>
        <v>-169.48965517241379</v>
      </c>
      <c r="H320" s="1284">
        <f>(LN(6/10)/(F320-G320))</f>
        <v>-4.5293067172073133E-4</v>
      </c>
      <c r="I320" s="1284"/>
      <c r="J320" s="1285">
        <f>IF(F$320-G$320=0,0,10*EXP( (H320) *(J$35-G$320)))</f>
        <v>9.2610555239266272</v>
      </c>
      <c r="K320" s="1258">
        <f>IFERROR(LN(J320/10)/H320+G320,0)</f>
        <v>3.1263880373444408E-13</v>
      </c>
      <c r="L320" s="1258"/>
      <c r="M320" s="1286">
        <f>SUM(M307:M318)</f>
        <v>8.9130480773746967E-11</v>
      </c>
      <c r="N320" s="1260">
        <f>SUM(N307:N318)</f>
        <v>1</v>
      </c>
      <c r="O320" s="1260"/>
      <c r="P320" s="1261">
        <f>10*EXP(H320*(K320-G320))</f>
        <v>9.2610555239266272</v>
      </c>
      <c r="Q320" s="1248"/>
      <c r="R320" s="1248"/>
      <c r="S320" s="1258">
        <f>J$320</f>
        <v>9.2610555239266272</v>
      </c>
      <c r="T320" s="1287">
        <f>IF(SUM($M$44:$M$55)=0,0,SUMPRODUCT($M$44:$M$55,T$307:T$318)/SUM($M$44:$M$55))</f>
        <v>958.33333333333337</v>
      </c>
      <c r="U320" s="1287"/>
      <c r="V320" s="1251">
        <f>IF(SUM($M$44:$M$55)=0,0,SUMPRODUCT($M$44:$M$55,V$307:V$318)/SUM($M$44:$M$55))</f>
        <v>-169.48965517241379</v>
      </c>
      <c r="W320" s="1257">
        <f>(LN(6/10)/(T320-V320))</f>
        <v>-4.5293067172073133E-4</v>
      </c>
      <c r="X320" s="1288">
        <f>IFERROR(LN(S320/10)/W320+V320,"")</f>
        <v>3.1263880373444408E-13</v>
      </c>
      <c r="Y320" s="1288"/>
      <c r="Z320" s="1286">
        <f>SUM(Z307:Z318)</f>
        <v>8.9130480773746967E-11</v>
      </c>
      <c r="AA320" s="1261">
        <f>10*EXP(W320*(X320-V320))</f>
        <v>9.2610555239266272</v>
      </c>
      <c r="AB320" s="16"/>
      <c r="AS320" s="16"/>
    </row>
    <row r="321" spans="1:61" hidden="1">
      <c r="A321" s="212" t="s">
        <v>493</v>
      </c>
      <c r="B321" s="943"/>
      <c r="C321" s="1092"/>
      <c r="D321" s="943"/>
      <c r="E321" s="1244"/>
      <c r="F321" s="1245"/>
      <c r="G321" s="1244"/>
      <c r="H321" s="1244"/>
      <c r="I321" s="1244"/>
      <c r="J321" s="1244"/>
      <c r="K321" s="1244"/>
      <c r="L321" s="1244"/>
      <c r="M321" s="1244"/>
      <c r="N321" s="1244"/>
      <c r="O321" s="1244"/>
      <c r="P321" s="1244"/>
      <c r="Q321" s="1244"/>
      <c r="R321" s="1244"/>
      <c r="S321" s="1244"/>
      <c r="T321" s="1244"/>
      <c r="U321" s="1244"/>
      <c r="V321" s="1244"/>
      <c r="W321" s="1244"/>
      <c r="X321" s="1244"/>
      <c r="Y321" s="1244"/>
      <c r="Z321" s="1244"/>
      <c r="AA321" s="1244"/>
      <c r="AB321" s="16"/>
      <c r="AC321" s="995"/>
      <c r="AD321" s="1428"/>
      <c r="AE321" s="1406"/>
      <c r="AF321" s="1406"/>
      <c r="AG321" s="1406"/>
      <c r="AH321" s="1406"/>
      <c r="AI321" s="1406"/>
      <c r="AJ321" s="1406"/>
      <c r="AK321" s="1406"/>
      <c r="AL321" s="1407"/>
      <c r="AM321" s="1407"/>
      <c r="AN321" s="995"/>
      <c r="AO321" s="995"/>
      <c r="AP321" s="995"/>
      <c r="AQ321" s="995"/>
      <c r="AR321" s="995"/>
      <c r="AS321" s="16"/>
      <c r="AT321" s="995"/>
      <c r="AU321" s="995"/>
      <c r="AV321" s="995"/>
      <c r="AW321" s="995"/>
      <c r="AX321" s="995"/>
      <c r="AY321" s="995"/>
      <c r="AZ321" s="995"/>
      <c r="BA321" s="995"/>
      <c r="BB321" s="995"/>
      <c r="BC321" s="995"/>
      <c r="BD321" s="995"/>
      <c r="BE321" s="995"/>
      <c r="BF321" s="995"/>
      <c r="BG321" s="995"/>
      <c r="BH321" s="995"/>
      <c r="BI321" s="995"/>
    </row>
    <row r="322" spans="1:61" hidden="1">
      <c r="A322" s="212" t="s">
        <v>493</v>
      </c>
      <c r="B322" s="943"/>
      <c r="C322" s="1092"/>
      <c r="D322" s="943"/>
      <c r="E322" s="1244"/>
      <c r="F322" s="1245"/>
      <c r="G322" s="1244"/>
      <c r="H322" s="1244"/>
      <c r="I322" s="1244"/>
      <c r="J322" s="1244"/>
      <c r="K322" s="1244"/>
      <c r="L322" s="1244"/>
      <c r="M322" s="1244"/>
      <c r="N322" s="1244"/>
      <c r="O322" s="1244"/>
      <c r="P322" s="1244"/>
      <c r="Q322" s="1244"/>
      <c r="R322" s="1244"/>
      <c r="S322" s="1244"/>
      <c r="T322" s="1244"/>
      <c r="U322" s="1244"/>
      <c r="V322" s="1244"/>
      <c r="W322" s="1244"/>
      <c r="X322" s="1244"/>
      <c r="Y322" s="1244"/>
      <c r="Z322" s="1244"/>
      <c r="AA322" s="1244"/>
      <c r="AB322" s="16"/>
      <c r="AC322" s="995"/>
      <c r="AD322" s="1428"/>
      <c r="AE322" s="1406"/>
      <c r="AF322" s="1406"/>
      <c r="AG322" s="1406"/>
      <c r="AH322" s="1406"/>
      <c r="AI322" s="1406"/>
      <c r="AJ322" s="1406"/>
      <c r="AK322" s="1406"/>
      <c r="AL322" s="1407"/>
      <c r="AM322" s="1407"/>
      <c r="AN322" s="995"/>
      <c r="AO322" s="995"/>
      <c r="AP322" s="995"/>
      <c r="AQ322" s="995"/>
      <c r="AR322" s="995"/>
      <c r="AS322" s="16"/>
      <c r="AT322" s="995"/>
      <c r="AU322" s="995"/>
      <c r="AV322" s="995"/>
      <c r="AW322" s="995"/>
      <c r="AX322" s="995"/>
      <c r="AY322" s="995"/>
      <c r="AZ322" s="995"/>
      <c r="BA322" s="995"/>
      <c r="BB322" s="995"/>
      <c r="BC322" s="995"/>
      <c r="BD322" s="995"/>
      <c r="BE322" s="995"/>
      <c r="BF322" s="995"/>
      <c r="BG322" s="995"/>
      <c r="BH322" s="995"/>
      <c r="BI322" s="995"/>
    </row>
    <row r="323" spans="1:61" s="1309" customFormat="1" ht="25.5" hidden="1" customHeight="1">
      <c r="A323" s="212" t="s">
        <v>493</v>
      </c>
      <c r="B323" s="1300"/>
      <c r="C323" s="1301"/>
      <c r="D323" s="1300"/>
      <c r="E323" s="1302"/>
      <c r="F323" s="1303" t="s">
        <v>1643</v>
      </c>
      <c r="G323" s="1304"/>
      <c r="H323" s="1305"/>
      <c r="I323" s="1306"/>
      <c r="J323" s="1304"/>
      <c r="K323" s="1307"/>
      <c r="L323" s="1308"/>
      <c r="M323" s="1303"/>
      <c r="N323" s="1303"/>
      <c r="O323" s="1308"/>
      <c r="P323" s="1308"/>
      <c r="Q323" s="1303"/>
      <c r="R323" s="1303"/>
      <c r="S323" s="1303"/>
      <c r="T323" s="1302"/>
      <c r="U323" s="1302"/>
      <c r="V323" s="1302"/>
      <c r="W323" s="1302"/>
      <c r="X323" s="1302"/>
      <c r="Y323" s="1302"/>
      <c r="Z323" s="1302"/>
      <c r="AA323" s="1302"/>
      <c r="AB323" s="1302"/>
      <c r="AC323" s="1302"/>
      <c r="AD323" s="1323"/>
      <c r="AE323" s="1317"/>
      <c r="AF323" s="1317"/>
      <c r="AG323" s="1317"/>
      <c r="AH323" s="1317"/>
      <c r="AI323" s="1317"/>
      <c r="AJ323" s="1317"/>
      <c r="AK323" s="1317"/>
      <c r="AL323" s="1317"/>
      <c r="AM323" s="1317"/>
      <c r="AN323" s="1302"/>
      <c r="AO323" s="1302"/>
      <c r="AP323" s="1302"/>
      <c r="AQ323" s="1302"/>
      <c r="AR323" s="1302"/>
      <c r="AS323" s="1302"/>
      <c r="AT323" s="1302"/>
      <c r="AU323" s="1302"/>
      <c r="AV323" s="1302"/>
      <c r="AW323" s="1302"/>
      <c r="AX323" s="1302"/>
      <c r="AY323" s="1302"/>
      <c r="AZ323" s="1302"/>
      <c r="BA323" s="1302"/>
      <c r="BB323" s="1302"/>
      <c r="BC323" s="1302"/>
      <c r="BD323" s="1302"/>
      <c r="BE323" s="1302"/>
      <c r="BF323" s="1302"/>
      <c r="BG323" s="1302"/>
      <c r="BH323" s="1302"/>
      <c r="BI323" s="1302"/>
    </row>
    <row r="324" spans="1:61" hidden="1">
      <c r="A324" s="212" t="s">
        <v>493</v>
      </c>
      <c r="B324" s="943"/>
      <c r="C324" s="1092"/>
      <c r="D324" s="943"/>
      <c r="E324" s="14"/>
      <c r="F324" s="1226"/>
      <c r="G324" s="1227"/>
      <c r="H324" s="1227"/>
      <c r="I324" s="1227"/>
      <c r="J324" s="1227"/>
      <c r="K324" s="1227"/>
      <c r="L324" s="1227"/>
      <c r="M324" s="1227"/>
      <c r="N324" s="1227"/>
      <c r="O324" s="1227"/>
      <c r="P324" s="1227"/>
      <c r="Q324" s="1227"/>
      <c r="R324" s="1227"/>
      <c r="S324" s="1227"/>
      <c r="T324" s="1175"/>
      <c r="U324" s="1175"/>
      <c r="V324" s="1175"/>
      <c r="W324" s="1175"/>
      <c r="X324" s="1175"/>
      <c r="Y324" s="1175"/>
      <c r="Z324" s="1175"/>
      <c r="AA324" s="1175"/>
      <c r="AB324" s="1396"/>
      <c r="AC324" s="995"/>
      <c r="AD324" s="1428"/>
      <c r="AE324" s="1406"/>
      <c r="AF324" s="1406"/>
      <c r="AG324" s="1406"/>
      <c r="AH324" s="1406"/>
      <c r="AI324" s="1406"/>
      <c r="AJ324" s="1406"/>
      <c r="AK324" s="1406"/>
      <c r="AL324" s="1407"/>
      <c r="AM324" s="1407"/>
      <c r="AN324" s="995"/>
      <c r="AO324" s="995"/>
      <c r="AP324" s="995"/>
      <c r="AQ324" s="995"/>
      <c r="AR324" s="995"/>
      <c r="AS324" s="1396"/>
      <c r="AT324" s="995"/>
      <c r="AU324" s="995"/>
      <c r="AV324" s="995"/>
      <c r="AW324" s="995"/>
      <c r="AX324" s="995"/>
      <c r="AY324" s="995"/>
      <c r="AZ324" s="995"/>
      <c r="BA324" s="995"/>
      <c r="BB324" s="995"/>
      <c r="BC324" s="995"/>
      <c r="BD324" s="995"/>
      <c r="BE324" s="995"/>
      <c r="BF324" s="995"/>
      <c r="BG324" s="995"/>
      <c r="BH324" s="995"/>
      <c r="BI324" s="995"/>
    </row>
    <row r="325" spans="1:61" hidden="1">
      <c r="A325" s="212" t="s">
        <v>493</v>
      </c>
      <c r="E325" s="14"/>
      <c r="F325" s="1228" t="str">
        <f>"CO2 bij bronmethode "&amp;EP_bronmethode</f>
        <v>CO2 bij bronmethode GPR 4.4 | ISSO 75.3</v>
      </c>
      <c r="G325" s="1229"/>
      <c r="H325" s="1229"/>
      <c r="I325" s="1229"/>
      <c r="J325" s="1228"/>
      <c r="K325" s="1230" t="s">
        <v>518</v>
      </c>
      <c r="L325" s="1230"/>
      <c r="M325" s="1228" t="str">
        <f>"CO2 bij doelmethode "&amp;EP_doelmethode</f>
        <v>CO2 bij doelmethode GPR 4.4 | ISSO 75.3</v>
      </c>
      <c r="N325" s="1229"/>
      <c r="O325" s="1229"/>
      <c r="P325" s="1229"/>
      <c r="Q325" s="1228"/>
      <c r="R325" s="1228"/>
      <c r="S325" s="1230" t="s">
        <v>518</v>
      </c>
      <c r="T325" s="1175"/>
      <c r="U325" s="1175"/>
      <c r="V325" s="1175"/>
      <c r="W325" s="1175"/>
      <c r="X325" s="1175"/>
      <c r="Y325" s="1175"/>
      <c r="Z325" s="1175"/>
      <c r="AA325" s="1175"/>
      <c r="AB325" s="1396"/>
      <c r="AS325" s="1396"/>
    </row>
    <row r="326" spans="1:61" ht="32" hidden="1">
      <c r="A326" s="212" t="s">
        <v>493</v>
      </c>
      <c r="E326" s="14"/>
      <c r="F326" s="1231" t="s">
        <v>523</v>
      </c>
      <c r="G326" s="1231" t="s">
        <v>540</v>
      </c>
      <c r="H326" s="1231" t="s">
        <v>541</v>
      </c>
      <c r="I326" s="1231"/>
      <c r="J326" s="1231" t="s">
        <v>542</v>
      </c>
      <c r="K326" s="1231" t="s">
        <v>543</v>
      </c>
      <c r="L326" s="1230"/>
      <c r="M326" s="1231" t="s">
        <v>523</v>
      </c>
      <c r="N326" s="1231" t="s">
        <v>540</v>
      </c>
      <c r="O326" s="1231"/>
      <c r="P326" s="1231" t="s">
        <v>541</v>
      </c>
      <c r="Q326" s="1231" t="s">
        <v>542</v>
      </c>
      <c r="R326" s="1231"/>
      <c r="S326" s="1231" t="s">
        <v>543</v>
      </c>
      <c r="T326" s="1175"/>
      <c r="U326" s="1175"/>
      <c r="V326" s="1175"/>
      <c r="W326" s="1175"/>
      <c r="X326" s="1175"/>
      <c r="Y326" s="1175"/>
      <c r="Z326" s="1175"/>
      <c r="AA326" s="1175"/>
      <c r="AB326" s="1396"/>
      <c r="AS326" s="1396"/>
    </row>
    <row r="327" spans="1:61" hidden="1">
      <c r="A327" s="212" t="s">
        <v>493</v>
      </c>
      <c r="E327" s="14"/>
      <c r="F327" s="1327" t="s">
        <v>552</v>
      </c>
      <c r="G327" s="1327" t="s">
        <v>468</v>
      </c>
      <c r="H327" s="1327" t="s">
        <v>132</v>
      </c>
      <c r="I327" s="1327"/>
      <c r="J327" s="1327" t="s">
        <v>468</v>
      </c>
      <c r="K327" s="1327"/>
      <c r="L327" s="1327"/>
      <c r="M327" s="1327" t="s">
        <v>552</v>
      </c>
      <c r="N327" s="1327" t="s">
        <v>468</v>
      </c>
      <c r="O327" s="1327"/>
      <c r="P327" s="1327" t="s">
        <v>132</v>
      </c>
      <c r="Q327" s="1327" t="s">
        <v>468</v>
      </c>
      <c r="R327" s="1327"/>
      <c r="S327" s="1327"/>
      <c r="T327" s="1175"/>
      <c r="U327" s="1175"/>
      <c r="V327" s="1175"/>
      <c r="W327" s="1175"/>
      <c r="X327" s="1175"/>
      <c r="Y327" s="1175"/>
      <c r="Z327" s="1175"/>
      <c r="AA327" s="1175"/>
      <c r="AB327" s="1396"/>
      <c r="AS327" s="1396"/>
    </row>
    <row r="328" spans="1:61" hidden="1">
      <c r="A328" s="212" t="s">
        <v>493</v>
      </c>
      <c r="E328" s="14"/>
      <c r="F328" s="1232" t="s">
        <v>1421</v>
      </c>
      <c r="G328" s="1233"/>
      <c r="H328" s="1233"/>
      <c r="I328" s="1233"/>
      <c r="J328" s="1233"/>
      <c r="K328" s="1233"/>
      <c r="L328" s="1233"/>
      <c r="M328" s="1232" t="s">
        <v>1424</v>
      </c>
      <c r="N328" s="1233"/>
      <c r="O328" s="1233"/>
      <c r="P328" s="1233"/>
      <c r="Q328" s="1233"/>
      <c r="R328" s="1233"/>
      <c r="S328" s="1233"/>
      <c r="T328" s="1175"/>
      <c r="U328" s="1175"/>
      <c r="V328" s="1175"/>
      <c r="W328" s="1175"/>
      <c r="X328" s="1175"/>
      <c r="Y328" s="1175"/>
      <c r="Z328" s="1175"/>
      <c r="AA328" s="1175"/>
      <c r="AB328" s="1396"/>
      <c r="AS328" s="1396"/>
    </row>
    <row r="329" spans="1:61" hidden="1">
      <c r="A329" s="212" t="s">
        <v>493</v>
      </c>
      <c r="E329" s="14"/>
      <c r="F329" s="1234">
        <f t="shared" ref="F329:F340" si="139">INDEX(CO2_GPR_score_6,MATCH($F44,Gebruiksfuncties,0),MATCH(EP_bronmethode,GPR_Versie_En_EP_Methode,0))</f>
        <v>0</v>
      </c>
      <c r="G329" s="1235">
        <f t="shared" ref="G329:G340" si="140">F329*$M44</f>
        <v>0</v>
      </c>
      <c r="H329" s="1236">
        <f t="shared" ref="H329:H340" si="141">G329/G$342</f>
        <v>0</v>
      </c>
      <c r="I329" s="1236"/>
      <c r="J329" s="1235" t="str">
        <f t="shared" ref="J329:J340" si="142">IF(OR($H329=0,ISNUMBER(J$342)=FALSE),"",$H329*J$342)</f>
        <v/>
      </c>
      <c r="K329" s="1237" t="str">
        <f t="shared" ref="K329:K340" si="143">IFERROR(1-(J329/J44)/F329,"")</f>
        <v/>
      </c>
      <c r="L329" s="1230"/>
      <c r="M329" s="1238">
        <f t="shared" ref="M329:M340" si="144">INDEX(CO2_GPR_score_6,MATCH($F44,Gebruiksfuncties,0),MATCH(EP_doelmethode,GPR_Versie_En_EP_Methode,0))</f>
        <v>0</v>
      </c>
      <c r="N329" s="1235">
        <f t="shared" ref="N329:N340" si="145">M329*$M44</f>
        <v>0</v>
      </c>
      <c r="O329" s="1235"/>
      <c r="P329" s="1236">
        <f t="shared" ref="P329:P340" si="146">N329/N$342</f>
        <v>0</v>
      </c>
      <c r="Q329" s="1235" t="str">
        <f t="shared" ref="Q329:Q340" si="147">IF(OR($P329=0,ISNUMBER(Q$342)=FALSE),"",$P329*Q$342)</f>
        <v/>
      </c>
      <c r="R329" s="1235"/>
      <c r="S329" s="1237" t="str">
        <f t="shared" ref="S329:S340" si="148">IFERROR(1-(Q329/M44)/M329,"")</f>
        <v/>
      </c>
      <c r="T329" s="1175"/>
      <c r="U329" s="1175"/>
      <c r="V329" s="1175"/>
      <c r="W329" s="1175"/>
      <c r="X329" s="1175"/>
      <c r="Y329" s="1175"/>
      <c r="Z329" s="1175"/>
      <c r="AA329" s="1175"/>
      <c r="AB329" s="1396"/>
      <c r="AS329" s="1396"/>
    </row>
    <row r="330" spans="1:61" hidden="1">
      <c r="A330" s="212" t="s">
        <v>493</v>
      </c>
      <c r="E330" s="14"/>
      <c r="F330" s="1239">
        <f t="shared" si="139"/>
        <v>0</v>
      </c>
      <c r="G330" s="1235">
        <f t="shared" si="140"/>
        <v>0</v>
      </c>
      <c r="H330" s="1236">
        <f t="shared" si="141"/>
        <v>0</v>
      </c>
      <c r="I330" s="1236"/>
      <c r="J330" s="1235" t="str">
        <f t="shared" si="142"/>
        <v/>
      </c>
      <c r="K330" s="1237" t="str">
        <f t="shared" si="143"/>
        <v/>
      </c>
      <c r="L330" s="1230"/>
      <c r="M330" s="1238">
        <f t="shared" si="144"/>
        <v>0</v>
      </c>
      <c r="N330" s="1235">
        <f t="shared" si="145"/>
        <v>0</v>
      </c>
      <c r="O330" s="1235"/>
      <c r="P330" s="1236">
        <f t="shared" si="146"/>
        <v>0</v>
      </c>
      <c r="Q330" s="1235" t="str">
        <f t="shared" si="147"/>
        <v/>
      </c>
      <c r="R330" s="1235"/>
      <c r="S330" s="1237" t="str">
        <f t="shared" si="148"/>
        <v/>
      </c>
      <c r="T330" s="1175"/>
      <c r="U330" s="1175"/>
      <c r="V330" s="1175"/>
      <c r="W330" s="1175"/>
      <c r="X330" s="1175"/>
      <c r="Y330" s="1175"/>
      <c r="Z330" s="1175"/>
      <c r="AA330" s="1175"/>
      <c r="AB330" s="1396"/>
      <c r="AS330" s="1396"/>
    </row>
    <row r="331" spans="1:61" hidden="1">
      <c r="A331" s="212" t="s">
        <v>493</v>
      </c>
      <c r="E331" s="14"/>
      <c r="F331" s="1239">
        <f t="shared" si="139"/>
        <v>37.9</v>
      </c>
      <c r="G331" s="1235">
        <f t="shared" si="140"/>
        <v>3790</v>
      </c>
      <c r="H331" s="1236">
        <f t="shared" si="141"/>
        <v>0.2312385600976205</v>
      </c>
      <c r="I331" s="1236"/>
      <c r="J331" s="1235">
        <f t="shared" si="142"/>
        <v>0</v>
      </c>
      <c r="K331" s="1237">
        <f t="shared" si="143"/>
        <v>1</v>
      </c>
      <c r="L331" s="1230"/>
      <c r="M331" s="1238">
        <f t="shared" si="144"/>
        <v>37.9</v>
      </c>
      <c r="N331" s="1235">
        <f t="shared" si="145"/>
        <v>3790</v>
      </c>
      <c r="O331" s="1235"/>
      <c r="P331" s="1236">
        <f t="shared" si="146"/>
        <v>0.2312385600976205</v>
      </c>
      <c r="Q331" s="1235">
        <f t="shared" si="147"/>
        <v>0</v>
      </c>
      <c r="R331" s="1235"/>
      <c r="S331" s="1237">
        <f t="shared" si="148"/>
        <v>1</v>
      </c>
      <c r="T331" s="1175"/>
      <c r="U331" s="1175"/>
      <c r="V331" s="1175"/>
      <c r="W331" s="1175"/>
      <c r="X331" s="1175"/>
      <c r="Y331" s="1175"/>
      <c r="Z331" s="1175"/>
      <c r="AA331" s="1175"/>
      <c r="AB331" s="1396"/>
      <c r="AS331" s="1396"/>
    </row>
    <row r="332" spans="1:61" hidden="1">
      <c r="A332" s="212" t="s">
        <v>493</v>
      </c>
      <c r="E332" s="14"/>
      <c r="F332" s="1239">
        <f t="shared" si="139"/>
        <v>65.8</v>
      </c>
      <c r="G332" s="1235">
        <f t="shared" si="140"/>
        <v>6580</v>
      </c>
      <c r="H332" s="1236">
        <f t="shared" si="141"/>
        <v>0.40146430750457596</v>
      </c>
      <c r="I332" s="1236"/>
      <c r="J332" s="1235">
        <f t="shared" si="142"/>
        <v>0</v>
      </c>
      <c r="K332" s="1237">
        <f t="shared" si="143"/>
        <v>1</v>
      </c>
      <c r="L332" s="1230"/>
      <c r="M332" s="1238">
        <f t="shared" si="144"/>
        <v>65.8</v>
      </c>
      <c r="N332" s="1235">
        <f t="shared" si="145"/>
        <v>6580</v>
      </c>
      <c r="O332" s="1235"/>
      <c r="P332" s="1236">
        <f t="shared" si="146"/>
        <v>0.40146430750457596</v>
      </c>
      <c r="Q332" s="1235">
        <f t="shared" si="147"/>
        <v>0</v>
      </c>
      <c r="R332" s="1235"/>
      <c r="S332" s="1237">
        <f t="shared" si="148"/>
        <v>1</v>
      </c>
      <c r="T332" s="1175"/>
      <c r="U332" s="1175"/>
      <c r="V332" s="1175"/>
      <c r="W332" s="1175"/>
      <c r="X332" s="1175"/>
      <c r="Y332" s="1175"/>
      <c r="Z332" s="1175"/>
      <c r="AA332" s="1175"/>
      <c r="AB332" s="1396"/>
      <c r="AS332" s="1396"/>
    </row>
    <row r="333" spans="1:61" hidden="1">
      <c r="A333" s="212" t="s">
        <v>493</v>
      </c>
      <c r="E333" s="14"/>
      <c r="F333" s="1239">
        <f t="shared" si="139"/>
        <v>60.2</v>
      </c>
      <c r="G333" s="1235">
        <f t="shared" si="140"/>
        <v>6020</v>
      </c>
      <c r="H333" s="1236">
        <f t="shared" si="141"/>
        <v>0.36729713239780354</v>
      </c>
      <c r="I333" s="1236"/>
      <c r="J333" s="1235">
        <f t="shared" si="142"/>
        <v>0</v>
      </c>
      <c r="K333" s="1237">
        <f t="shared" si="143"/>
        <v>1</v>
      </c>
      <c r="L333" s="1230"/>
      <c r="M333" s="1238">
        <f t="shared" si="144"/>
        <v>60.2</v>
      </c>
      <c r="N333" s="1235">
        <f t="shared" si="145"/>
        <v>6020</v>
      </c>
      <c r="O333" s="1235"/>
      <c r="P333" s="1236">
        <f t="shared" si="146"/>
        <v>0.36729713239780354</v>
      </c>
      <c r="Q333" s="1235">
        <f t="shared" si="147"/>
        <v>0</v>
      </c>
      <c r="R333" s="1235"/>
      <c r="S333" s="1237">
        <f t="shared" si="148"/>
        <v>1</v>
      </c>
      <c r="T333" s="1175"/>
      <c r="U333" s="1175"/>
      <c r="V333" s="1175"/>
      <c r="W333" s="1175"/>
      <c r="X333" s="1175"/>
      <c r="Y333" s="1175"/>
      <c r="Z333" s="1175"/>
      <c r="AA333" s="1175"/>
      <c r="AB333" s="1396"/>
      <c r="AS333" s="1396"/>
    </row>
    <row r="334" spans="1:61" hidden="1">
      <c r="A334" s="212" t="s">
        <v>493</v>
      </c>
      <c r="E334" s="14"/>
      <c r="F334" s="1239">
        <f t="shared" si="139"/>
        <v>48.1</v>
      </c>
      <c r="G334" s="1235">
        <f t="shared" si="140"/>
        <v>0</v>
      </c>
      <c r="H334" s="1236">
        <f t="shared" si="141"/>
        <v>0</v>
      </c>
      <c r="I334" s="1236"/>
      <c r="J334" s="1235" t="str">
        <f t="shared" si="142"/>
        <v/>
      </c>
      <c r="K334" s="1237" t="str">
        <f t="shared" si="143"/>
        <v/>
      </c>
      <c r="L334" s="1230"/>
      <c r="M334" s="1238">
        <f t="shared" si="144"/>
        <v>48.1</v>
      </c>
      <c r="N334" s="1235">
        <f t="shared" si="145"/>
        <v>0</v>
      </c>
      <c r="O334" s="1235"/>
      <c r="P334" s="1236">
        <f t="shared" si="146"/>
        <v>0</v>
      </c>
      <c r="Q334" s="1235" t="str">
        <f t="shared" si="147"/>
        <v/>
      </c>
      <c r="R334" s="1235"/>
      <c r="S334" s="1237" t="str">
        <f t="shared" si="148"/>
        <v/>
      </c>
      <c r="T334" s="1175"/>
      <c r="U334" s="1175"/>
      <c r="V334" s="1175"/>
      <c r="W334" s="1175"/>
      <c r="X334" s="1175"/>
      <c r="Y334" s="1175"/>
      <c r="Z334" s="1175"/>
      <c r="AA334" s="1175"/>
      <c r="AB334" s="1396"/>
      <c r="AS334" s="1396"/>
    </row>
    <row r="335" spans="1:61" hidden="1">
      <c r="A335" s="212" t="s">
        <v>493</v>
      </c>
      <c r="E335" s="14"/>
      <c r="F335" s="1239">
        <f t="shared" si="139"/>
        <v>42.5</v>
      </c>
      <c r="G335" s="1235">
        <f t="shared" si="140"/>
        <v>0</v>
      </c>
      <c r="H335" s="1236">
        <f t="shared" si="141"/>
        <v>0</v>
      </c>
      <c r="I335" s="1236"/>
      <c r="J335" s="1235" t="str">
        <f t="shared" si="142"/>
        <v/>
      </c>
      <c r="K335" s="1237" t="str">
        <f t="shared" si="143"/>
        <v/>
      </c>
      <c r="L335" s="1230"/>
      <c r="M335" s="1238">
        <f t="shared" si="144"/>
        <v>42.5</v>
      </c>
      <c r="N335" s="1235">
        <f t="shared" si="145"/>
        <v>0</v>
      </c>
      <c r="O335" s="1235"/>
      <c r="P335" s="1236">
        <f t="shared" si="146"/>
        <v>0</v>
      </c>
      <c r="Q335" s="1235" t="str">
        <f t="shared" si="147"/>
        <v/>
      </c>
      <c r="R335" s="1235"/>
      <c r="S335" s="1237" t="str">
        <f t="shared" si="148"/>
        <v/>
      </c>
      <c r="T335" s="1175"/>
      <c r="U335" s="1175"/>
      <c r="V335" s="1175"/>
      <c r="W335" s="1175"/>
      <c r="X335" s="1175"/>
      <c r="Y335" s="1175"/>
      <c r="Z335" s="1175"/>
      <c r="AA335" s="1175"/>
      <c r="AB335" s="1396"/>
      <c r="AS335" s="1396"/>
    </row>
    <row r="336" spans="1:61" hidden="1">
      <c r="A336" s="212" t="s">
        <v>493</v>
      </c>
      <c r="E336" s="14"/>
      <c r="F336" s="1239">
        <f t="shared" si="139"/>
        <v>84.2</v>
      </c>
      <c r="G336" s="1235">
        <f t="shared" si="140"/>
        <v>0</v>
      </c>
      <c r="H336" s="1236">
        <f t="shared" si="141"/>
        <v>0</v>
      </c>
      <c r="I336" s="1236"/>
      <c r="J336" s="1235" t="str">
        <f t="shared" si="142"/>
        <v/>
      </c>
      <c r="K336" s="1237" t="str">
        <f t="shared" si="143"/>
        <v/>
      </c>
      <c r="L336" s="1230"/>
      <c r="M336" s="1238">
        <f t="shared" si="144"/>
        <v>84.2</v>
      </c>
      <c r="N336" s="1235">
        <f t="shared" si="145"/>
        <v>0</v>
      </c>
      <c r="O336" s="1235"/>
      <c r="P336" s="1236">
        <f t="shared" si="146"/>
        <v>0</v>
      </c>
      <c r="Q336" s="1235" t="str">
        <f t="shared" si="147"/>
        <v/>
      </c>
      <c r="R336" s="1235"/>
      <c r="S336" s="1237" t="str">
        <f t="shared" si="148"/>
        <v/>
      </c>
      <c r="T336" s="1175"/>
      <c r="U336" s="1175"/>
      <c r="V336" s="1175"/>
      <c r="W336" s="1175"/>
      <c r="X336" s="1175"/>
      <c r="Y336" s="1175"/>
      <c r="Z336" s="1175"/>
      <c r="AA336" s="1175"/>
      <c r="AB336" s="1396"/>
      <c r="AS336" s="1396"/>
    </row>
    <row r="337" spans="1:61" hidden="1">
      <c r="A337" s="212" t="s">
        <v>493</v>
      </c>
      <c r="E337" s="14"/>
      <c r="F337" s="1239">
        <f t="shared" si="139"/>
        <v>85.4</v>
      </c>
      <c r="G337" s="1235">
        <f t="shared" si="140"/>
        <v>0</v>
      </c>
      <c r="H337" s="1236">
        <f t="shared" si="141"/>
        <v>0</v>
      </c>
      <c r="I337" s="1236"/>
      <c r="J337" s="1235" t="str">
        <f t="shared" si="142"/>
        <v/>
      </c>
      <c r="K337" s="1237" t="str">
        <f t="shared" si="143"/>
        <v/>
      </c>
      <c r="L337" s="1230"/>
      <c r="M337" s="1238">
        <f t="shared" si="144"/>
        <v>85.4</v>
      </c>
      <c r="N337" s="1235">
        <f t="shared" si="145"/>
        <v>0</v>
      </c>
      <c r="O337" s="1235"/>
      <c r="P337" s="1236">
        <f t="shared" si="146"/>
        <v>0</v>
      </c>
      <c r="Q337" s="1235" t="str">
        <f t="shared" si="147"/>
        <v/>
      </c>
      <c r="R337" s="1235"/>
      <c r="S337" s="1237" t="str">
        <f t="shared" si="148"/>
        <v/>
      </c>
      <c r="T337" s="1175"/>
      <c r="U337" s="1175"/>
      <c r="V337" s="1175"/>
      <c r="W337" s="1175"/>
      <c r="X337" s="1175"/>
      <c r="Y337" s="1175"/>
      <c r="Z337" s="1175"/>
      <c r="AA337" s="1175"/>
      <c r="AB337" s="1396"/>
      <c r="AS337" s="1396"/>
    </row>
    <row r="338" spans="1:61" hidden="1">
      <c r="A338" s="212" t="s">
        <v>493</v>
      </c>
      <c r="E338" s="14"/>
      <c r="F338" s="1239">
        <f t="shared" si="139"/>
        <v>43.1</v>
      </c>
      <c r="G338" s="1235">
        <f t="shared" si="140"/>
        <v>0</v>
      </c>
      <c r="H338" s="1236">
        <f t="shared" si="141"/>
        <v>0</v>
      </c>
      <c r="I338" s="1236"/>
      <c r="J338" s="1235" t="str">
        <f t="shared" si="142"/>
        <v/>
      </c>
      <c r="K338" s="1237" t="str">
        <f t="shared" si="143"/>
        <v/>
      </c>
      <c r="L338" s="1230"/>
      <c r="M338" s="1238">
        <f t="shared" si="144"/>
        <v>43.1</v>
      </c>
      <c r="N338" s="1235">
        <f t="shared" si="145"/>
        <v>0</v>
      </c>
      <c r="O338" s="1235"/>
      <c r="P338" s="1236">
        <f t="shared" si="146"/>
        <v>0</v>
      </c>
      <c r="Q338" s="1235" t="str">
        <f t="shared" si="147"/>
        <v/>
      </c>
      <c r="R338" s="1235"/>
      <c r="S338" s="1237" t="str">
        <f t="shared" si="148"/>
        <v/>
      </c>
      <c r="T338" s="1175"/>
      <c r="U338" s="1175"/>
      <c r="V338" s="1175"/>
      <c r="W338" s="1175"/>
      <c r="X338" s="1175"/>
      <c r="Y338" s="1175"/>
      <c r="Z338" s="1175"/>
      <c r="AA338" s="1175"/>
      <c r="AB338" s="1396"/>
      <c r="AS338" s="1396"/>
    </row>
    <row r="339" spans="1:61" hidden="1">
      <c r="A339" s="212" t="s">
        <v>493</v>
      </c>
      <c r="E339" s="14"/>
      <c r="F339" s="1239">
        <f t="shared" si="139"/>
        <v>50.5</v>
      </c>
      <c r="G339" s="1235">
        <f t="shared" si="140"/>
        <v>0</v>
      </c>
      <c r="H339" s="1236">
        <f t="shared" si="141"/>
        <v>0</v>
      </c>
      <c r="I339" s="1236"/>
      <c r="J339" s="1235" t="str">
        <f t="shared" si="142"/>
        <v/>
      </c>
      <c r="K339" s="1237" t="str">
        <f t="shared" si="143"/>
        <v/>
      </c>
      <c r="L339" s="1230"/>
      <c r="M339" s="1238">
        <f t="shared" si="144"/>
        <v>50.5</v>
      </c>
      <c r="N339" s="1235">
        <f t="shared" si="145"/>
        <v>0</v>
      </c>
      <c r="O339" s="1235"/>
      <c r="P339" s="1236">
        <f t="shared" si="146"/>
        <v>0</v>
      </c>
      <c r="Q339" s="1235" t="str">
        <f t="shared" si="147"/>
        <v/>
      </c>
      <c r="R339" s="1235"/>
      <c r="S339" s="1237" t="str">
        <f t="shared" si="148"/>
        <v/>
      </c>
      <c r="T339" s="1175"/>
      <c r="U339" s="1175"/>
      <c r="V339" s="1175"/>
      <c r="W339" s="1175"/>
      <c r="X339" s="1175"/>
      <c r="Y339" s="1175"/>
      <c r="Z339" s="1175"/>
      <c r="AA339" s="1175"/>
      <c r="AB339" s="1396"/>
      <c r="AS339" s="1396"/>
    </row>
    <row r="340" spans="1:61" hidden="1">
      <c r="A340" s="212" t="s">
        <v>493</v>
      </c>
      <c r="E340" s="14"/>
      <c r="F340" s="1240">
        <f t="shared" si="139"/>
        <v>52.8</v>
      </c>
      <c r="G340" s="1235">
        <f t="shared" si="140"/>
        <v>0</v>
      </c>
      <c r="H340" s="1236">
        <f t="shared" si="141"/>
        <v>0</v>
      </c>
      <c r="I340" s="1236"/>
      <c r="J340" s="1235" t="str">
        <f t="shared" si="142"/>
        <v/>
      </c>
      <c r="K340" s="1237" t="str">
        <f t="shared" si="143"/>
        <v/>
      </c>
      <c r="L340" s="1230"/>
      <c r="M340" s="1238">
        <f t="shared" si="144"/>
        <v>52.8</v>
      </c>
      <c r="N340" s="1235">
        <f t="shared" si="145"/>
        <v>0</v>
      </c>
      <c r="O340" s="1235"/>
      <c r="P340" s="1236">
        <f t="shared" si="146"/>
        <v>0</v>
      </c>
      <c r="Q340" s="1235" t="str">
        <f t="shared" si="147"/>
        <v/>
      </c>
      <c r="R340" s="1235"/>
      <c r="S340" s="1237" t="str">
        <f t="shared" si="148"/>
        <v/>
      </c>
      <c r="T340" s="1175"/>
      <c r="U340" s="1175"/>
      <c r="V340" s="1175"/>
      <c r="W340" s="1175"/>
      <c r="X340" s="1175"/>
      <c r="Y340" s="1175"/>
      <c r="Z340" s="1175"/>
      <c r="AA340" s="1175"/>
      <c r="AB340" s="1396"/>
      <c r="AS340" s="1396"/>
    </row>
    <row r="341" spans="1:61" hidden="1">
      <c r="A341" s="212" t="s">
        <v>493</v>
      </c>
      <c r="E341" s="14"/>
      <c r="F341" s="1230"/>
      <c r="G341" s="1241" t="s">
        <v>1422</v>
      </c>
      <c r="H341" s="1230"/>
      <c r="I341" s="1230"/>
      <c r="J341" s="1227"/>
      <c r="K341" s="1228" t="s">
        <v>1423</v>
      </c>
      <c r="L341" s="1230"/>
      <c r="M341" s="1230"/>
      <c r="N341" s="1230"/>
      <c r="O341" s="1230"/>
      <c r="P341" s="1230"/>
      <c r="Q341" s="1227"/>
      <c r="R341" s="1227"/>
      <c r="S341" s="1230"/>
      <c r="T341" s="1175"/>
      <c r="U341" s="1175"/>
      <c r="V341" s="1175"/>
      <c r="W341" s="1175"/>
      <c r="X341" s="1175"/>
      <c r="Y341" s="1175"/>
      <c r="Z341" s="1175"/>
      <c r="AA341" s="1175"/>
      <c r="AB341" s="1396"/>
      <c r="AS341" s="1396"/>
    </row>
    <row r="342" spans="1:61" hidden="1">
      <c r="A342" s="212" t="s">
        <v>493</v>
      </c>
      <c r="E342" s="14"/>
      <c r="F342" s="1333">
        <f>SUMPRODUCT(F329:F340,M44:M55)/M58</f>
        <v>54.633333333333333</v>
      </c>
      <c r="G342" s="1242">
        <f>SUM(G329:G340)</f>
        <v>16390</v>
      </c>
      <c r="H342" s="1230"/>
      <c r="I342" s="1230"/>
      <c r="J342" s="1235">
        <f>$J$39</f>
        <v>0</v>
      </c>
      <c r="K342" s="1243">
        <f>1-J39/G342</f>
        <v>1</v>
      </c>
      <c r="L342" s="1230"/>
      <c r="M342" s="1333">
        <f>SUMPRODUCT(M329:M340,M44:M55)/M58</f>
        <v>54.633333333333333</v>
      </c>
      <c r="N342" s="1235">
        <f>SUM(N329:N340)</f>
        <v>16390</v>
      </c>
      <c r="O342" s="1235"/>
      <c r="P342" s="1230"/>
      <c r="Q342" s="1235">
        <f>N342*(1-J40)</f>
        <v>0</v>
      </c>
      <c r="R342" s="1235"/>
      <c r="S342" s="1237">
        <f>IFERROR(1-(Q342/M58)/M342,"")</f>
        <v>1</v>
      </c>
      <c r="T342" s="1175"/>
      <c r="U342" s="1175"/>
      <c r="V342" s="1175"/>
      <c r="W342" s="1175"/>
      <c r="X342" s="1175"/>
      <c r="Y342" s="1175"/>
      <c r="Z342" s="1175"/>
      <c r="AA342" s="1175"/>
      <c r="AB342" s="1396"/>
      <c r="AS342" s="1396"/>
    </row>
    <row r="343" spans="1:61" hidden="1">
      <c r="A343" s="212" t="s">
        <v>493</v>
      </c>
      <c r="E343" s="1175"/>
      <c r="F343" s="1175"/>
      <c r="G343" s="1175"/>
      <c r="H343" s="1175"/>
      <c r="I343" s="1175"/>
      <c r="J343" s="1175"/>
      <c r="K343" s="1175"/>
      <c r="L343" s="1175"/>
      <c r="M343" s="1175"/>
      <c r="N343" s="1175"/>
      <c r="O343" s="1175"/>
      <c r="P343" s="1175"/>
      <c r="Q343" s="1175"/>
      <c r="R343" s="1175"/>
      <c r="S343" s="1175"/>
      <c r="T343" s="1175"/>
      <c r="U343" s="1175"/>
      <c r="V343" s="1175"/>
      <c r="W343" s="1175"/>
      <c r="X343" s="1175"/>
      <c r="Y343" s="1175"/>
      <c r="Z343" s="1175"/>
      <c r="AA343" s="1175"/>
      <c r="AB343" s="1396"/>
      <c r="AS343" s="1396"/>
    </row>
    <row r="344" spans="1:61" s="1309" customFormat="1" ht="25.5" hidden="1" customHeight="1">
      <c r="A344" s="212" t="s">
        <v>493</v>
      </c>
      <c r="B344" s="1300"/>
      <c r="C344" s="1301"/>
      <c r="D344" s="1300"/>
      <c r="E344" s="1302"/>
      <c r="F344" s="1302" t="s">
        <v>1644</v>
      </c>
      <c r="G344" s="1310"/>
      <c r="H344" s="1311"/>
      <c r="I344" s="1312"/>
      <c r="J344" s="1310"/>
      <c r="K344" s="1313"/>
      <c r="L344" s="1314"/>
      <c r="M344" s="1302"/>
      <c r="N344" s="1302"/>
      <c r="O344" s="1314"/>
      <c r="P344" s="1314"/>
      <c r="Q344" s="1302"/>
      <c r="R344" s="1302"/>
      <c r="S344" s="1302"/>
      <c r="T344" s="1302"/>
      <c r="U344" s="1302"/>
      <c r="V344" s="1302"/>
      <c r="W344" s="1302"/>
      <c r="X344" s="1302"/>
      <c r="Y344" s="1302"/>
      <c r="Z344" s="1302"/>
      <c r="AA344" s="1302"/>
      <c r="AB344" s="1302"/>
      <c r="AC344" s="1302"/>
      <c r="AD344" s="1323"/>
      <c r="AE344" s="1317"/>
      <c r="AF344" s="1317"/>
      <c r="AG344" s="1317"/>
      <c r="AH344" s="1317"/>
      <c r="AI344" s="1317"/>
      <c r="AJ344" s="1317"/>
      <c r="AK344" s="1317"/>
      <c r="AL344" s="1317"/>
      <c r="AM344" s="1317"/>
      <c r="AN344" s="1302"/>
      <c r="AO344" s="1302"/>
      <c r="AP344" s="1302"/>
      <c r="AQ344" s="1302"/>
      <c r="AR344" s="1302"/>
      <c r="AS344" s="1302"/>
      <c r="AT344" s="1302"/>
      <c r="AU344" s="1302"/>
      <c r="AV344" s="1302"/>
      <c r="AW344" s="1302"/>
      <c r="AX344" s="1302"/>
      <c r="AY344" s="1302"/>
      <c r="AZ344" s="1302"/>
      <c r="BA344" s="1302"/>
      <c r="BB344" s="1302"/>
      <c r="BC344" s="1302"/>
      <c r="BD344" s="1302"/>
      <c r="BE344" s="1302"/>
      <c r="BF344" s="1302"/>
      <c r="BG344" s="1302"/>
      <c r="BH344" s="1302"/>
      <c r="BI344" s="1302"/>
    </row>
    <row r="345" spans="1:61" hidden="1">
      <c r="A345" s="212" t="s">
        <v>493</v>
      </c>
      <c r="B345" s="943"/>
      <c r="C345" s="1092"/>
      <c r="D345" s="943"/>
      <c r="E345" s="14"/>
      <c r="F345" s="147"/>
      <c r="G345" s="14"/>
      <c r="H345" s="14"/>
      <c r="I345" s="14"/>
      <c r="J345" s="14"/>
      <c r="K345" s="14"/>
      <c r="L345" s="14"/>
      <c r="M345" s="14"/>
      <c r="N345" s="14"/>
      <c r="O345" s="14"/>
      <c r="P345" s="1175"/>
      <c r="Q345" s="1175"/>
      <c r="R345" s="1175"/>
      <c r="S345" s="1175"/>
      <c r="T345" s="1175"/>
      <c r="U345" s="1175"/>
      <c r="V345" s="1175"/>
      <c r="W345" s="1175"/>
      <c r="X345" s="1175"/>
      <c r="Y345" s="1175"/>
      <c r="Z345" s="1175"/>
      <c r="AA345" s="1175"/>
      <c r="AB345" s="1396"/>
      <c r="AC345" s="995"/>
      <c r="AD345" s="1428"/>
      <c r="AE345" s="1406"/>
      <c r="AF345" s="1406"/>
      <c r="AG345" s="1406"/>
      <c r="AH345" s="1406"/>
      <c r="AI345" s="1406"/>
      <c r="AJ345" s="1406"/>
      <c r="AK345" s="1406"/>
      <c r="AL345" s="1407"/>
      <c r="AM345" s="1407"/>
      <c r="AN345" s="995"/>
      <c r="AO345" s="995"/>
      <c r="AP345" s="995"/>
      <c r="AQ345" s="995"/>
      <c r="AR345" s="995"/>
      <c r="AS345" s="1396"/>
      <c r="AT345" s="995"/>
      <c r="AU345" s="995"/>
      <c r="AV345" s="995"/>
      <c r="AW345" s="995"/>
      <c r="AX345" s="995"/>
      <c r="AY345" s="995"/>
      <c r="AZ345" s="995"/>
      <c r="BA345" s="995"/>
      <c r="BB345" s="995"/>
      <c r="BC345" s="995"/>
      <c r="BD345" s="995"/>
      <c r="BE345" s="995"/>
      <c r="BF345" s="995"/>
      <c r="BG345" s="995"/>
      <c r="BH345" s="995"/>
      <c r="BI345" s="995"/>
    </row>
    <row r="346" spans="1:61" ht="21" hidden="1">
      <c r="A346" s="212" t="s">
        <v>493</v>
      </c>
      <c r="C346" s="1163"/>
      <c r="E346" s="14"/>
      <c r="F346" s="1172" t="s">
        <v>1642</v>
      </c>
      <c r="G346" s="13"/>
      <c r="H346" s="13"/>
      <c r="I346" s="13"/>
      <c r="J346" s="13"/>
      <c r="K346" s="13"/>
      <c r="L346" s="13"/>
      <c r="M346" s="13"/>
      <c r="N346" s="13"/>
      <c r="O346" s="13"/>
      <c r="P346" s="1175"/>
      <c r="Q346" s="1175"/>
      <c r="R346" s="1175"/>
      <c r="S346" s="1175"/>
      <c r="T346" s="1175"/>
      <c r="U346" s="1175"/>
      <c r="V346" s="1175"/>
      <c r="W346" s="1175"/>
      <c r="X346" s="1175"/>
      <c r="Y346" s="1175"/>
      <c r="Z346" s="1175"/>
      <c r="AA346" s="1175"/>
      <c r="AB346" s="1396"/>
      <c r="AS346" s="1396"/>
    </row>
    <row r="347" spans="1:61" s="422" customFormat="1" ht="32" hidden="1">
      <c r="A347" s="212" t="s">
        <v>493</v>
      </c>
      <c r="B347" s="781"/>
      <c r="C347" s="1164" t="s">
        <v>1638</v>
      </c>
      <c r="D347" s="781"/>
      <c r="E347" s="14"/>
      <c r="F347" s="1174" t="s">
        <v>1444</v>
      </c>
      <c r="G347" s="1174" t="s">
        <v>1445</v>
      </c>
      <c r="H347" s="1174"/>
      <c r="I347" s="1174"/>
      <c r="J347" s="1174" t="s">
        <v>531</v>
      </c>
      <c r="K347" s="1174" t="s">
        <v>532</v>
      </c>
      <c r="L347" s="1174"/>
      <c r="M347" s="1174" t="s">
        <v>431</v>
      </c>
      <c r="N347" s="1174" t="s">
        <v>533</v>
      </c>
      <c r="O347" s="1175"/>
      <c r="P347" s="1175"/>
      <c r="Q347" s="1175"/>
      <c r="R347" s="1175"/>
      <c r="S347" s="1175"/>
      <c r="T347" s="1175"/>
      <c r="U347" s="1175"/>
      <c r="V347" s="1175"/>
      <c r="W347" s="1175"/>
      <c r="X347" s="1175"/>
      <c r="Y347" s="1175"/>
      <c r="Z347" s="1175"/>
      <c r="AA347" s="1175"/>
      <c r="AB347" s="1396"/>
      <c r="AD347" s="1439"/>
      <c r="AE347" s="1086"/>
      <c r="AF347" s="1086"/>
      <c r="AG347" s="1086"/>
      <c r="AH347" s="1086"/>
      <c r="AI347" s="1086"/>
      <c r="AJ347" s="1086"/>
      <c r="AK347" s="1086"/>
      <c r="AL347" s="1425"/>
      <c r="AM347" s="1425"/>
      <c r="AS347" s="1396"/>
    </row>
    <row r="348" spans="1:61" hidden="1">
      <c r="A348" s="212" t="s">
        <v>493</v>
      </c>
      <c r="C348" s="1164" t="s">
        <v>204</v>
      </c>
      <c r="E348" s="14"/>
      <c r="F348" s="1331" t="s">
        <v>132</v>
      </c>
      <c r="G348" s="1331" t="s">
        <v>132</v>
      </c>
      <c r="H348" s="1331"/>
      <c r="I348" s="1331"/>
      <c r="J348" s="1331" t="s">
        <v>551</v>
      </c>
      <c r="K348" s="1331" t="s">
        <v>132</v>
      </c>
      <c r="L348" s="1331"/>
      <c r="M348" s="1331" t="s">
        <v>440</v>
      </c>
      <c r="N348" s="1331"/>
      <c r="O348" s="1175"/>
      <c r="P348" s="1175"/>
      <c r="Q348" s="1175"/>
      <c r="R348" s="1175"/>
      <c r="S348" s="1175"/>
      <c r="T348" s="1175"/>
      <c r="U348" s="1175"/>
      <c r="V348" s="1175"/>
      <c r="W348" s="1175"/>
      <c r="X348" s="1175"/>
      <c r="Y348" s="1175"/>
      <c r="Z348" s="1175"/>
      <c r="AA348" s="1175"/>
      <c r="AB348" s="1396"/>
      <c r="AS348" s="1396"/>
    </row>
    <row r="349" spans="1:61" hidden="1">
      <c r="A349" s="212" t="s">
        <v>493</v>
      </c>
      <c r="C349" s="1164" t="s">
        <v>1639</v>
      </c>
      <c r="E349" s="14"/>
      <c r="F349" s="1175"/>
      <c r="G349" s="1175"/>
      <c r="H349" s="1175"/>
      <c r="I349" s="1175"/>
      <c r="J349" s="1175"/>
      <c r="K349" s="1175"/>
      <c r="L349" s="1175"/>
      <c r="M349" s="1175"/>
      <c r="N349" s="1176" t="s">
        <v>1412</v>
      </c>
      <c r="O349" s="1175"/>
      <c r="P349" s="1175"/>
      <c r="Q349" s="1175"/>
      <c r="R349" s="1175"/>
      <c r="S349" s="1175"/>
      <c r="T349" s="1175"/>
      <c r="U349" s="1175"/>
      <c r="V349" s="1175"/>
      <c r="W349" s="1175"/>
      <c r="X349" s="1175"/>
      <c r="Y349" s="1175"/>
      <c r="Z349" s="1175"/>
      <c r="AA349" s="1175"/>
      <c r="AB349" s="1396"/>
      <c r="AS349" s="1396"/>
    </row>
    <row r="350" spans="1:61" hidden="1">
      <c r="A350" s="212" t="s">
        <v>493</v>
      </c>
      <c r="C350" s="1164" t="str">
        <f t="shared" ref="C350:C361" si="149">F44</f>
        <v>woning</v>
      </c>
      <c r="E350" s="14"/>
      <c r="F350" s="1177">
        <f t="shared" ref="F350:F361" si="150">INDEX(MPG_factor_a,MATCH($F44,Gebruiksfuncties,0),MATCH(EP_bronmethode,GPR_Versie_En_EP_Methode,0))</f>
        <v>0</v>
      </c>
      <c r="G350" s="1177">
        <f t="shared" ref="G350:G361" si="151">INDEX(MPG_factor_b,MATCH($F44,Gebruiksfuncties,0),MATCH(EP_bronmethode,GPR_Versie_En_EP_Methode,0))</f>
        <v>3.6139999999999999</v>
      </c>
      <c r="H350" s="1177"/>
      <c r="I350" s="1177"/>
      <c r="J350" s="1178">
        <f t="shared" ref="J350:J361" si="152">F372*$M44/$M$58*$J$275</f>
        <v>0</v>
      </c>
      <c r="K350" s="1179">
        <f t="shared" ref="K350:K361" si="153">IF($BA$273=1,J350/J$363,M44/$M$58)</f>
        <v>0</v>
      </c>
      <c r="L350" s="1179"/>
      <c r="M350" s="1177" t="str">
        <f t="shared" ref="M350:M361" si="154">IF(OR($K350=0,ISNUMBER(M$363)=FALSE),"",$K350*M$363/IF(M44="",1,$M44))</f>
        <v/>
      </c>
      <c r="N350" s="1180" t="str">
        <f t="shared" ref="N350:N361" si="155">IFERROR(F350*LN(M350)+G350,"")</f>
        <v/>
      </c>
      <c r="O350" s="1175"/>
      <c r="P350" s="1374" t="e">
        <f>EXP((N350-G350)/F350)</f>
        <v>#VALUE!</v>
      </c>
      <c r="Q350" s="1175"/>
      <c r="R350" s="1175"/>
      <c r="S350" s="1175"/>
      <c r="T350" s="1175"/>
      <c r="U350" s="1175"/>
      <c r="V350" s="1175"/>
      <c r="W350" s="1175"/>
      <c r="X350" s="1175"/>
      <c r="Y350" s="1175"/>
      <c r="Z350" s="1175"/>
      <c r="AA350" s="1175"/>
      <c r="AB350" s="1396"/>
      <c r="AS350" s="1396"/>
    </row>
    <row r="351" spans="1:61" hidden="1">
      <c r="A351" s="212" t="s">
        <v>493</v>
      </c>
      <c r="C351" s="1164" t="str">
        <f t="shared" si="149"/>
        <v>woongebouw</v>
      </c>
      <c r="E351" s="14"/>
      <c r="F351" s="1177">
        <f t="shared" si="150"/>
        <v>0</v>
      </c>
      <c r="G351" s="1177">
        <f t="shared" si="151"/>
        <v>3.6139999999999999</v>
      </c>
      <c r="H351" s="1177"/>
      <c r="I351" s="1177"/>
      <c r="J351" s="1178">
        <f t="shared" si="152"/>
        <v>0</v>
      </c>
      <c r="K351" s="1179">
        <f t="shared" si="153"/>
        <v>0</v>
      </c>
      <c r="L351" s="1179"/>
      <c r="M351" s="1177" t="str">
        <f t="shared" si="154"/>
        <v/>
      </c>
      <c r="N351" s="1180" t="str">
        <f t="shared" si="155"/>
        <v/>
      </c>
      <c r="O351" s="1175"/>
      <c r="P351" s="1175"/>
      <c r="Q351" s="1175"/>
      <c r="R351" s="1175"/>
      <c r="S351" s="1175"/>
      <c r="T351" s="1175"/>
      <c r="U351" s="1175"/>
      <c r="V351" s="1175"/>
      <c r="W351" s="1175"/>
      <c r="X351" s="1175"/>
      <c r="Y351" s="1175"/>
      <c r="Z351" s="1175"/>
      <c r="AA351" s="1175"/>
      <c r="AB351" s="1396"/>
      <c r="AS351" s="1396"/>
    </row>
    <row r="352" spans="1:61" hidden="1">
      <c r="A352" s="212" t="s">
        <v>493</v>
      </c>
      <c r="C352" s="1164" t="str">
        <f t="shared" si="149"/>
        <v>kantoor</v>
      </c>
      <c r="E352" s="14"/>
      <c r="F352" s="1177">
        <f t="shared" si="150"/>
        <v>-9.4329999999999998</v>
      </c>
      <c r="G352" s="1177">
        <f t="shared" si="151"/>
        <v>4.0190999999999999</v>
      </c>
      <c r="H352" s="1177"/>
      <c r="I352" s="1177"/>
      <c r="J352" s="1178">
        <f t="shared" si="152"/>
        <v>1.1621736289360729</v>
      </c>
      <c r="K352" s="1179">
        <f t="shared" si="153"/>
        <v>0.33333333333333331</v>
      </c>
      <c r="L352" s="1179"/>
      <c r="M352" s="1177">
        <f t="shared" si="154"/>
        <v>0</v>
      </c>
      <c r="N352" s="1180" t="str">
        <f t="shared" si="155"/>
        <v/>
      </c>
      <c r="O352" s="1175"/>
      <c r="P352" s="1175"/>
      <c r="Q352" s="1175"/>
      <c r="R352" s="1175"/>
      <c r="S352" s="1175"/>
      <c r="T352" s="1175"/>
      <c r="U352" s="1175"/>
      <c r="V352" s="1175"/>
      <c r="W352" s="1175"/>
      <c r="X352" s="1175"/>
      <c r="Y352" s="1175"/>
      <c r="Z352" s="1175"/>
      <c r="AA352" s="1175"/>
      <c r="AB352" s="1396"/>
      <c r="AS352" s="1396"/>
    </row>
    <row r="353" spans="1:61" hidden="1">
      <c r="A353" s="212" t="s">
        <v>493</v>
      </c>
      <c r="C353" s="1164" t="str">
        <f t="shared" si="149"/>
        <v>bijeenkomst overig</v>
      </c>
      <c r="E353" s="14"/>
      <c r="F353" s="1177">
        <f t="shared" si="150"/>
        <v>-6.6280000000000001</v>
      </c>
      <c r="G353" s="1177">
        <f t="shared" si="151"/>
        <v>5.5023</v>
      </c>
      <c r="H353" s="1177"/>
      <c r="I353" s="1177"/>
      <c r="J353" s="1178">
        <f t="shared" si="152"/>
        <v>1.9672739006185691</v>
      </c>
      <c r="K353" s="1179">
        <f t="shared" si="153"/>
        <v>0.33333333333333331</v>
      </c>
      <c r="L353" s="1179"/>
      <c r="M353" s="1177">
        <f t="shared" si="154"/>
        <v>0</v>
      </c>
      <c r="N353" s="1180" t="str">
        <f t="shared" si="155"/>
        <v/>
      </c>
      <c r="O353" s="1175"/>
      <c r="P353" s="1175"/>
      <c r="Q353" s="1175"/>
      <c r="R353" s="1175"/>
      <c r="S353" s="1175"/>
      <c r="T353" s="1175"/>
      <c r="U353" s="1175"/>
      <c r="V353" s="1175"/>
      <c r="W353" s="1175"/>
      <c r="X353" s="1175"/>
      <c r="Y353" s="1175"/>
      <c r="Z353" s="1175"/>
      <c r="AA353" s="1175"/>
      <c r="AB353" s="1396"/>
      <c r="AS353" s="1396"/>
    </row>
    <row r="354" spans="1:61" hidden="1">
      <c r="A354" s="212" t="s">
        <v>493</v>
      </c>
      <c r="C354" s="1164" t="str">
        <f t="shared" si="149"/>
        <v>bijeenkomst kinderdagverblijf</v>
      </c>
      <c r="E354" s="14"/>
      <c r="F354" s="1177">
        <f t="shared" si="150"/>
        <v>-8.84</v>
      </c>
      <c r="G354" s="1177">
        <f t="shared" si="151"/>
        <v>4.5613000000000001</v>
      </c>
      <c r="H354" s="1177"/>
      <c r="I354" s="1177"/>
      <c r="J354" s="1178">
        <f t="shared" si="152"/>
        <v>2.4757303738617793</v>
      </c>
      <c r="K354" s="1179">
        <f t="shared" si="153"/>
        <v>0.33333333333333331</v>
      </c>
      <c r="L354" s="1179"/>
      <c r="M354" s="1177">
        <f t="shared" si="154"/>
        <v>0</v>
      </c>
      <c r="N354" s="1180" t="str">
        <f t="shared" si="155"/>
        <v/>
      </c>
      <c r="O354" s="1175"/>
      <c r="P354" s="1175"/>
      <c r="Q354" s="1175"/>
      <c r="R354" s="1175"/>
      <c r="S354" s="1175"/>
      <c r="T354" s="1175"/>
      <c r="U354" s="1175"/>
      <c r="V354" s="1175"/>
      <c r="W354" s="1175"/>
      <c r="X354" s="1175"/>
      <c r="Y354" s="1175"/>
      <c r="Z354" s="1175"/>
      <c r="AA354" s="1175"/>
      <c r="AB354" s="1396"/>
      <c r="AS354" s="1396"/>
    </row>
    <row r="355" spans="1:61" hidden="1">
      <c r="A355" s="212" t="s">
        <v>493</v>
      </c>
      <c r="C355" s="1164" t="str">
        <f t="shared" si="149"/>
        <v>onderwijs</v>
      </c>
      <c r="E355" s="14"/>
      <c r="F355" s="1177">
        <f t="shared" si="150"/>
        <v>-8.84</v>
      </c>
      <c r="G355" s="1177">
        <f t="shared" si="151"/>
        <v>4.5613000000000001</v>
      </c>
      <c r="H355" s="1177"/>
      <c r="I355" s="1177"/>
      <c r="J355" s="1178">
        <f t="shared" si="152"/>
        <v>0</v>
      </c>
      <c r="K355" s="1179">
        <f t="shared" si="153"/>
        <v>0</v>
      </c>
      <c r="L355" s="1179"/>
      <c r="M355" s="1177" t="str">
        <f t="shared" si="154"/>
        <v/>
      </c>
      <c r="N355" s="1180" t="str">
        <f t="shared" si="155"/>
        <v/>
      </c>
      <c r="O355" s="1175"/>
      <c r="P355" s="1175"/>
      <c r="Q355" s="1175"/>
      <c r="R355" s="1175"/>
      <c r="S355" s="1175"/>
      <c r="T355" s="1175"/>
      <c r="U355" s="1175"/>
      <c r="V355" s="1175"/>
      <c r="W355" s="1175"/>
      <c r="X355" s="1175"/>
      <c r="Y355" s="1175"/>
      <c r="Z355" s="1175"/>
      <c r="AA355" s="1175"/>
      <c r="AB355" s="1396"/>
      <c r="AS355" s="1396"/>
    </row>
    <row r="356" spans="1:61" hidden="1">
      <c r="A356" s="212" t="s">
        <v>493</v>
      </c>
      <c r="C356" s="1164" t="str">
        <f t="shared" si="149"/>
        <v>gezondheid overig</v>
      </c>
      <c r="E356" s="14"/>
      <c r="F356" s="1177" t="str">
        <f t="shared" si="150"/>
        <v>#N/B</v>
      </c>
      <c r="G356" s="1177" t="str">
        <f t="shared" si="151"/>
        <v>#N/B</v>
      </c>
      <c r="H356" s="1177"/>
      <c r="I356" s="1177"/>
      <c r="J356" s="1178">
        <f t="shared" si="152"/>
        <v>0</v>
      </c>
      <c r="K356" s="1179">
        <f t="shared" si="153"/>
        <v>0</v>
      </c>
      <c r="L356" s="1179"/>
      <c r="M356" s="1177" t="str">
        <f t="shared" si="154"/>
        <v/>
      </c>
      <c r="N356" s="1180" t="str">
        <f t="shared" si="155"/>
        <v/>
      </c>
      <c r="O356" s="1175"/>
      <c r="P356" s="1175"/>
      <c r="Q356" s="1175"/>
      <c r="R356" s="1175"/>
      <c r="S356" s="1175"/>
      <c r="T356" s="1175"/>
      <c r="U356" s="1175"/>
      <c r="V356" s="1175"/>
      <c r="W356" s="1175"/>
      <c r="X356" s="1175"/>
      <c r="Y356" s="1175"/>
      <c r="Z356" s="1175"/>
      <c r="AA356" s="1175"/>
      <c r="AB356" s="1396"/>
      <c r="AS356" s="1396"/>
    </row>
    <row r="357" spans="1:61" hidden="1">
      <c r="A357" s="212" t="s">
        <v>493</v>
      </c>
      <c r="C357" s="1164" t="str">
        <f t="shared" si="149"/>
        <v>gezondheid bedgebied</v>
      </c>
      <c r="E357" s="14"/>
      <c r="F357" s="1177" t="str">
        <f t="shared" si="150"/>
        <v>#N/B</v>
      </c>
      <c r="G357" s="1177" t="str">
        <f t="shared" si="151"/>
        <v>#N/B</v>
      </c>
      <c r="H357" s="1177"/>
      <c r="I357" s="1177"/>
      <c r="J357" s="1178">
        <f t="shared" si="152"/>
        <v>0</v>
      </c>
      <c r="K357" s="1179">
        <f t="shared" si="153"/>
        <v>0</v>
      </c>
      <c r="L357" s="1179"/>
      <c r="M357" s="1177" t="str">
        <f t="shared" si="154"/>
        <v/>
      </c>
      <c r="N357" s="1180" t="str">
        <f t="shared" si="155"/>
        <v/>
      </c>
      <c r="O357" s="1175"/>
      <c r="P357" s="1175"/>
      <c r="Q357" s="1175"/>
      <c r="R357" s="1175"/>
      <c r="S357" s="1175"/>
      <c r="T357" s="1175"/>
      <c r="U357" s="1175"/>
      <c r="V357" s="1175"/>
      <c r="W357" s="1175"/>
      <c r="X357" s="1175"/>
      <c r="Y357" s="1175"/>
      <c r="Z357" s="1175"/>
      <c r="AA357" s="1175"/>
      <c r="AB357" s="1396"/>
      <c r="AS357" s="1396"/>
    </row>
    <row r="358" spans="1:61" hidden="1">
      <c r="A358" s="212" t="s">
        <v>493</v>
      </c>
      <c r="C358" s="1164" t="str">
        <f t="shared" si="149"/>
        <v>winkel</v>
      </c>
      <c r="E358" s="14"/>
      <c r="F358" s="1177">
        <f t="shared" si="150"/>
        <v>-8.02</v>
      </c>
      <c r="G358" s="1177">
        <f t="shared" si="151"/>
        <v>5.0240999999999998</v>
      </c>
      <c r="H358" s="1177"/>
      <c r="I358" s="1177"/>
      <c r="J358" s="1178">
        <f t="shared" si="152"/>
        <v>0</v>
      </c>
      <c r="K358" s="1179">
        <f t="shared" si="153"/>
        <v>0</v>
      </c>
      <c r="L358" s="1179"/>
      <c r="M358" s="1177" t="str">
        <f t="shared" si="154"/>
        <v/>
      </c>
      <c r="N358" s="1180" t="str">
        <f t="shared" si="155"/>
        <v/>
      </c>
      <c r="O358" s="1175"/>
      <c r="P358" s="1175"/>
      <c r="Q358" s="1175"/>
      <c r="R358" s="1175"/>
      <c r="S358" s="1175"/>
      <c r="T358" s="1175"/>
      <c r="U358" s="1175"/>
      <c r="V358" s="1175"/>
      <c r="W358" s="1175"/>
      <c r="X358" s="1175"/>
      <c r="Y358" s="1175"/>
      <c r="Z358" s="1175"/>
      <c r="AA358" s="1175"/>
      <c r="AB358" s="1396"/>
      <c r="AS358" s="1396"/>
    </row>
    <row r="359" spans="1:61" hidden="1">
      <c r="A359" s="212" t="s">
        <v>493</v>
      </c>
      <c r="C359" s="1164" t="str">
        <f t="shared" si="149"/>
        <v>sport</v>
      </c>
      <c r="E359" s="14"/>
      <c r="F359" s="1177">
        <f t="shared" si="150"/>
        <v>-5.4290000000000003</v>
      </c>
      <c r="G359" s="1177">
        <f t="shared" si="151"/>
        <v>6.5660999999999996</v>
      </c>
      <c r="H359" s="1177"/>
      <c r="I359" s="1177"/>
      <c r="J359" s="1178">
        <f t="shared" si="152"/>
        <v>0</v>
      </c>
      <c r="K359" s="1179">
        <f t="shared" si="153"/>
        <v>0</v>
      </c>
      <c r="L359" s="1179"/>
      <c r="M359" s="1177" t="str">
        <f t="shared" si="154"/>
        <v/>
      </c>
      <c r="N359" s="1180" t="str">
        <f t="shared" si="155"/>
        <v/>
      </c>
      <c r="O359" s="1175"/>
      <c r="P359" s="1175"/>
      <c r="Q359" s="1175"/>
      <c r="R359" s="1175"/>
      <c r="S359" s="1175"/>
      <c r="T359" s="1175"/>
      <c r="U359" s="1175"/>
      <c r="V359" s="1175"/>
      <c r="W359" s="1175"/>
      <c r="X359" s="1175"/>
      <c r="Y359" s="1175"/>
      <c r="Z359" s="1175"/>
      <c r="AA359" s="1175"/>
      <c r="AB359" s="1396"/>
      <c r="AS359" s="1396"/>
    </row>
    <row r="360" spans="1:61" hidden="1">
      <c r="A360" s="212" t="s">
        <v>493</v>
      </c>
      <c r="C360" s="1164" t="str">
        <f t="shared" si="149"/>
        <v>logies in logiesgebouw</v>
      </c>
      <c r="E360" s="14"/>
      <c r="F360" s="1177">
        <f t="shared" si="150"/>
        <v>-8.2200000000000006</v>
      </c>
      <c r="G360" s="1177">
        <f t="shared" si="151"/>
        <v>3.9643999999999999</v>
      </c>
      <c r="H360" s="1177"/>
      <c r="I360" s="1177"/>
      <c r="J360" s="1178">
        <f t="shared" si="152"/>
        <v>0</v>
      </c>
      <c r="K360" s="1179">
        <f t="shared" si="153"/>
        <v>0</v>
      </c>
      <c r="L360" s="1179"/>
      <c r="M360" s="1177" t="str">
        <f t="shared" si="154"/>
        <v/>
      </c>
      <c r="N360" s="1180" t="str">
        <f t="shared" si="155"/>
        <v/>
      </c>
      <c r="O360" s="1175"/>
      <c r="P360" s="1175"/>
      <c r="Q360" s="1175"/>
      <c r="R360" s="1175"/>
      <c r="S360" s="1175"/>
      <c r="T360" s="1175"/>
      <c r="U360" s="1175"/>
      <c r="V360" s="1175"/>
      <c r="W360" s="1175"/>
      <c r="X360" s="1175"/>
      <c r="Y360" s="1175"/>
      <c r="Z360" s="1175"/>
      <c r="AA360" s="1175"/>
      <c r="AB360" s="1396"/>
      <c r="AS360" s="1396"/>
    </row>
    <row r="361" spans="1:61" hidden="1">
      <c r="A361" s="212" t="s">
        <v>493</v>
      </c>
      <c r="C361" s="1164" t="str">
        <f t="shared" si="149"/>
        <v>cel</v>
      </c>
      <c r="E361" s="14"/>
      <c r="F361" s="1177" t="str">
        <f t="shared" si="150"/>
        <v>#N/B</v>
      </c>
      <c r="G361" s="1177" t="str">
        <f t="shared" si="151"/>
        <v>#N/B</v>
      </c>
      <c r="H361" s="1177"/>
      <c r="I361" s="1177"/>
      <c r="J361" s="1178">
        <f t="shared" si="152"/>
        <v>0</v>
      </c>
      <c r="K361" s="1179">
        <f t="shared" si="153"/>
        <v>0</v>
      </c>
      <c r="L361" s="1179"/>
      <c r="M361" s="1177" t="str">
        <f t="shared" si="154"/>
        <v/>
      </c>
      <c r="N361" s="1180" t="str">
        <f t="shared" si="155"/>
        <v/>
      </c>
      <c r="O361" s="1175"/>
      <c r="P361" s="1175"/>
      <c r="Q361" s="1175"/>
      <c r="R361" s="1175"/>
      <c r="S361" s="1175"/>
      <c r="T361" s="1175"/>
      <c r="U361" s="1175"/>
      <c r="V361" s="1175"/>
      <c r="W361" s="1175"/>
      <c r="X361" s="1175"/>
      <c r="Y361" s="1175"/>
      <c r="Z361" s="1175"/>
      <c r="AA361" s="1175"/>
      <c r="AB361" s="1396"/>
      <c r="AS361" s="1396"/>
    </row>
    <row r="362" spans="1:61" hidden="1">
      <c r="A362" s="212" t="s">
        <v>493</v>
      </c>
      <c r="C362" s="1164"/>
      <c r="E362" s="14"/>
      <c r="F362" s="1175"/>
      <c r="G362" s="1175"/>
      <c r="H362" s="1175"/>
      <c r="I362" s="1175"/>
      <c r="J362" s="1175"/>
      <c r="K362" s="1175"/>
      <c r="L362" s="1175"/>
      <c r="M362" s="1181"/>
      <c r="N362" s="1182"/>
      <c r="O362" s="1175"/>
      <c r="P362" s="1175"/>
      <c r="Q362" s="1175"/>
      <c r="R362" s="1175"/>
      <c r="S362" s="1175"/>
      <c r="T362" s="1175"/>
      <c r="U362" s="1175"/>
      <c r="V362" s="1175"/>
      <c r="W362" s="1175"/>
      <c r="X362" s="1175"/>
      <c r="Y362" s="1175"/>
      <c r="Z362" s="1175"/>
      <c r="AA362" s="1175"/>
      <c r="AB362" s="1396"/>
      <c r="AS362" s="1396"/>
    </row>
    <row r="363" spans="1:61" hidden="1">
      <c r="A363" s="212" t="s">
        <v>493</v>
      </c>
      <c r="C363" s="1164" t="s">
        <v>1597</v>
      </c>
      <c r="E363" s="14"/>
      <c r="F363" s="1183"/>
      <c r="G363" s="1179"/>
      <c r="H363" s="1179"/>
      <c r="I363" s="1179"/>
      <c r="J363" s="1183">
        <f>SUM(J350:J361)</f>
        <v>5.6051779034164211</v>
      </c>
      <c r="K363" s="1179">
        <f>IF($BA$273=1,J363/J$363,$M$58/$M$58)</f>
        <v>1</v>
      </c>
      <c r="L363" s="1179"/>
      <c r="M363" s="1177">
        <f>$J$272*$M$58</f>
        <v>0</v>
      </c>
      <c r="N363" s="1180">
        <f>SUMPRODUCT(N350:N361,M44:M55)/$M$58</f>
        <v>0</v>
      </c>
      <c r="O363" s="1175"/>
      <c r="P363" s="1175"/>
      <c r="Q363" s="1175"/>
      <c r="R363" s="1175"/>
      <c r="S363" s="1175"/>
      <c r="T363" s="1175"/>
      <c r="U363" s="1175"/>
      <c r="V363" s="1175"/>
      <c r="W363" s="1175"/>
      <c r="X363" s="1175"/>
      <c r="Y363" s="1175"/>
      <c r="Z363" s="1175"/>
      <c r="AA363" s="1175"/>
      <c r="AB363" s="1396"/>
      <c r="AS363" s="1396"/>
    </row>
    <row r="364" spans="1:61" hidden="1">
      <c r="A364" s="212" t="s">
        <v>493</v>
      </c>
      <c r="E364" s="14"/>
      <c r="F364" s="13"/>
      <c r="G364" s="13"/>
      <c r="H364" s="13"/>
      <c r="I364" s="13"/>
      <c r="J364" s="13"/>
      <c r="K364" s="13"/>
      <c r="L364" s="13"/>
      <c r="M364" s="13"/>
      <c r="N364" s="13"/>
      <c r="O364" s="13"/>
      <c r="P364" s="1175"/>
      <c r="Q364" s="1175"/>
      <c r="R364" s="1175"/>
      <c r="S364" s="1175"/>
      <c r="T364" s="1175"/>
      <c r="U364" s="1175"/>
      <c r="V364" s="1175"/>
      <c r="W364" s="1175"/>
      <c r="X364" s="1175"/>
      <c r="Y364" s="1175"/>
      <c r="Z364" s="1175"/>
      <c r="AA364" s="1175"/>
      <c r="AB364" s="1396"/>
      <c r="AS364" s="1396"/>
    </row>
    <row r="365" spans="1:61" hidden="1">
      <c r="A365" s="212" t="s">
        <v>493</v>
      </c>
      <c r="E365" s="14"/>
      <c r="F365" s="13"/>
      <c r="G365" s="13"/>
      <c r="H365" s="13"/>
      <c r="I365" s="13"/>
      <c r="J365" s="13"/>
      <c r="K365" s="13"/>
      <c r="L365" s="13"/>
      <c r="M365" s="13"/>
      <c r="N365" s="13"/>
      <c r="O365" s="13"/>
      <c r="P365" s="1175"/>
      <c r="Q365" s="1175"/>
      <c r="R365" s="1175"/>
      <c r="S365" s="1175"/>
      <c r="T365" s="1175"/>
      <c r="U365" s="1175"/>
      <c r="V365" s="1175"/>
      <c r="W365" s="1175"/>
      <c r="X365" s="1175"/>
      <c r="Y365" s="1175"/>
      <c r="Z365" s="1175"/>
      <c r="AA365" s="1175"/>
      <c r="AB365" s="1396"/>
      <c r="AS365" s="1396"/>
    </row>
    <row r="366" spans="1:61" s="1324" customFormat="1" ht="25.5" hidden="1" customHeight="1">
      <c r="A366" s="212" t="s">
        <v>493</v>
      </c>
      <c r="B366" s="1315"/>
      <c r="C366" s="1316"/>
      <c r="D366" s="1315"/>
      <c r="E366" s="1317"/>
      <c r="F366" s="1318" t="s">
        <v>1641</v>
      </c>
      <c r="G366" s="1319"/>
      <c r="H366" s="1320"/>
      <c r="I366" s="1321"/>
      <c r="J366" s="1319"/>
      <c r="K366" s="1322"/>
      <c r="L366" s="1323"/>
      <c r="M366" s="1318"/>
      <c r="N366" s="1318"/>
      <c r="O366" s="1323"/>
      <c r="P366" s="1323"/>
      <c r="Q366" s="1318"/>
      <c r="R366" s="1318"/>
      <c r="S366" s="1318"/>
      <c r="T366" s="1318"/>
      <c r="U366" s="1318"/>
      <c r="V366" s="1318"/>
      <c r="W366" s="1318"/>
      <c r="X366" s="1317"/>
      <c r="Y366" s="1317"/>
      <c r="Z366" s="1317"/>
      <c r="AA366" s="1317"/>
      <c r="AB366" s="1317"/>
      <c r="AC366" s="1317"/>
      <c r="AD366" s="1323"/>
      <c r="AE366" s="1317"/>
      <c r="AF366" s="1317"/>
      <c r="AG366" s="1317"/>
      <c r="AH366" s="1317"/>
      <c r="AI366" s="1317"/>
      <c r="AJ366" s="1317"/>
      <c r="AK366" s="1317"/>
      <c r="AL366" s="1317"/>
      <c r="AM366" s="1317"/>
      <c r="AN366" s="1317"/>
      <c r="AO366" s="1317"/>
      <c r="AP366" s="1317"/>
      <c r="AQ366" s="1317"/>
      <c r="AR366" s="1317"/>
      <c r="AS366" s="1317"/>
      <c r="AT366" s="1317"/>
      <c r="AU366" s="1317"/>
      <c r="AV366" s="1317"/>
      <c r="AW366" s="1317"/>
      <c r="AX366" s="1317"/>
      <c r="AY366" s="1317"/>
      <c r="AZ366" s="1317"/>
      <c r="BA366" s="1317"/>
      <c r="BB366" s="1317"/>
      <c r="BC366" s="1317"/>
      <c r="BD366" s="1317"/>
      <c r="BE366" s="1317"/>
      <c r="BF366" s="1317"/>
      <c r="BG366" s="1317"/>
      <c r="BH366" s="1317"/>
      <c r="BI366" s="1317"/>
    </row>
    <row r="367" spans="1:61" s="995" customFormat="1" hidden="1">
      <c r="A367" s="212" t="s">
        <v>493</v>
      </c>
      <c r="B367" s="943"/>
      <c r="C367" s="1092"/>
      <c r="D367" s="943"/>
      <c r="E367" s="14"/>
      <c r="F367" s="1201"/>
      <c r="G367" s="1202"/>
      <c r="H367" s="1202"/>
      <c r="I367" s="1202"/>
      <c r="J367" s="1202"/>
      <c r="K367" s="1202"/>
      <c r="L367" s="1202"/>
      <c r="M367" s="1202"/>
      <c r="N367" s="1202"/>
      <c r="O367" s="1202"/>
      <c r="P367" s="1202"/>
      <c r="Q367" s="1202"/>
      <c r="R367" s="1202"/>
      <c r="S367" s="1202"/>
      <c r="T367" s="1202"/>
      <c r="U367" s="1202"/>
      <c r="V367" s="1202"/>
      <c r="W367" s="1202"/>
      <c r="X367" s="14"/>
      <c r="Y367" s="14"/>
      <c r="Z367" s="14"/>
      <c r="AA367" s="14"/>
      <c r="AB367" s="16"/>
      <c r="AD367" s="1428"/>
      <c r="AE367" s="1406"/>
      <c r="AF367" s="1406"/>
      <c r="AG367" s="1406"/>
      <c r="AH367" s="1406"/>
      <c r="AI367" s="1406"/>
      <c r="AJ367" s="1406"/>
      <c r="AK367" s="1406"/>
      <c r="AL367" s="1407"/>
      <c r="AM367" s="1407"/>
      <c r="AS367" s="16"/>
    </row>
    <row r="368" spans="1:61" s="1167" customFormat="1" ht="21" hidden="1">
      <c r="A368" s="212" t="s">
        <v>493</v>
      </c>
      <c r="B368" s="1168"/>
      <c r="C368" s="1173"/>
      <c r="D368" s="1168"/>
      <c r="E368" s="1169"/>
      <c r="F368" s="1170" t="str">
        <f>"DPG bij bronmethode "&amp;EP_bronmethode</f>
        <v>DPG bij bronmethode GPR 4.4 | ISSO 75.3</v>
      </c>
      <c r="G368" s="1203"/>
      <c r="H368" s="1203"/>
      <c r="I368" s="1203"/>
      <c r="J368" s="1203"/>
      <c r="K368" s="1203"/>
      <c r="L368" s="1203"/>
      <c r="M368" s="1203"/>
      <c r="N368" s="1203"/>
      <c r="O368" s="1203"/>
      <c r="P368" s="1203"/>
      <c r="Q368" s="1203"/>
      <c r="R368" s="1203"/>
      <c r="S368" s="1203" t="s">
        <v>518</v>
      </c>
      <c r="T368" s="1203" t="s">
        <v>518</v>
      </c>
      <c r="U368" s="1203"/>
      <c r="V368" s="1204"/>
      <c r="W368" s="1204"/>
      <c r="X368" s="1169"/>
      <c r="Y368" s="1169"/>
      <c r="Z368" s="1169"/>
      <c r="AA368" s="1169"/>
      <c r="AB368" s="1400"/>
      <c r="AD368" s="1440"/>
      <c r="AE368" s="1426"/>
      <c r="AF368" s="1426"/>
      <c r="AG368" s="1426"/>
      <c r="AH368" s="1426"/>
      <c r="AI368" s="1426"/>
      <c r="AJ368" s="1426"/>
      <c r="AK368" s="1426"/>
      <c r="AL368" s="1427"/>
      <c r="AM368" s="1427"/>
      <c r="AS368" s="1400"/>
    </row>
    <row r="369" spans="1:45" s="211" customFormat="1" ht="80" hidden="1">
      <c r="A369" s="212" t="s">
        <v>493</v>
      </c>
      <c r="B369" s="1163"/>
      <c r="C369" s="1164" t="s">
        <v>1638</v>
      </c>
      <c r="D369" s="1163"/>
      <c r="E369" s="14"/>
      <c r="F369" s="1205" t="s">
        <v>523</v>
      </c>
      <c r="G369" s="1205" t="s">
        <v>524</v>
      </c>
      <c r="H369" s="1205" t="s">
        <v>525</v>
      </c>
      <c r="I369" s="1205"/>
      <c r="J369" s="1205" t="s">
        <v>534</v>
      </c>
      <c r="K369" s="1205" t="s">
        <v>535</v>
      </c>
      <c r="L369" s="1205"/>
      <c r="M369" s="1205" t="s">
        <v>536</v>
      </c>
      <c r="N369" s="1205" t="s">
        <v>537</v>
      </c>
      <c r="O369" s="1205"/>
      <c r="P369" s="1205" t="s">
        <v>431</v>
      </c>
      <c r="Q369" s="1205" t="s">
        <v>538</v>
      </c>
      <c r="R369" s="1205"/>
      <c r="S369" s="1205" t="s">
        <v>539</v>
      </c>
      <c r="T369" s="1205" t="s">
        <v>484</v>
      </c>
      <c r="U369" s="1205"/>
      <c r="V369" s="1202"/>
      <c r="W369" s="1202"/>
      <c r="X369" s="14"/>
      <c r="Y369" s="14"/>
      <c r="Z369" s="14"/>
      <c r="AA369" s="14"/>
      <c r="AB369" s="16"/>
      <c r="AD369" s="1438"/>
      <c r="AE369" s="1423"/>
      <c r="AF369" s="1423"/>
      <c r="AG369" s="1423"/>
      <c r="AH369" s="1423"/>
      <c r="AI369" s="1423"/>
      <c r="AJ369" s="1423"/>
      <c r="AK369" s="1423"/>
      <c r="AL369" s="1424"/>
      <c r="AM369" s="1424"/>
      <c r="AS369" s="16"/>
    </row>
    <row r="370" spans="1:45" hidden="1">
      <c r="A370" s="212" t="s">
        <v>493</v>
      </c>
      <c r="C370" s="1164" t="s">
        <v>204</v>
      </c>
      <c r="E370" s="14"/>
      <c r="F370" s="1332" t="s">
        <v>457</v>
      </c>
      <c r="G370" s="1332" t="s">
        <v>457</v>
      </c>
      <c r="H370" s="1332"/>
      <c r="I370" s="1332"/>
      <c r="J370" s="1332" t="s">
        <v>440</v>
      </c>
      <c r="K370" s="1332" t="s">
        <v>440</v>
      </c>
      <c r="L370" s="1332"/>
      <c r="M370" s="1332"/>
      <c r="N370" s="1332" t="s">
        <v>440</v>
      </c>
      <c r="O370" s="1332"/>
      <c r="P370" s="1332" t="s">
        <v>440</v>
      </c>
      <c r="Q370" s="1332" t="s">
        <v>440</v>
      </c>
      <c r="R370" s="1332"/>
      <c r="S370" s="1332" t="s">
        <v>440</v>
      </c>
      <c r="T370" s="1332"/>
      <c r="U370" s="1332"/>
      <c r="V370" s="1202"/>
      <c r="W370" s="1202"/>
      <c r="X370" s="14"/>
      <c r="Y370" s="14"/>
      <c r="Z370" s="14"/>
      <c r="AA370" s="14"/>
      <c r="AB370" s="16"/>
      <c r="AS370" s="16"/>
    </row>
    <row r="371" spans="1:45" hidden="1">
      <c r="A371" s="212" t="s">
        <v>493</v>
      </c>
      <c r="C371" s="1164" t="s">
        <v>1639</v>
      </c>
      <c r="E371" s="14"/>
      <c r="F371" s="907" t="s">
        <v>1418</v>
      </c>
      <c r="G371" s="1207"/>
      <c r="H371" s="1208"/>
      <c r="I371" s="1208"/>
      <c r="J371" s="1208"/>
      <c r="K371" s="1208"/>
      <c r="L371" s="1208"/>
      <c r="M371" s="1208"/>
      <c r="N371" s="907" t="s">
        <v>1420</v>
      </c>
      <c r="O371" s="907"/>
      <c r="P371" s="907"/>
      <c r="Q371" s="1209"/>
      <c r="R371" s="1209"/>
      <c r="S371" s="1208"/>
      <c r="T371" s="1209" t="s">
        <v>1412</v>
      </c>
      <c r="U371" s="1209"/>
      <c r="V371" s="1202"/>
      <c r="W371" s="1202"/>
      <c r="X371" s="14"/>
      <c r="Y371" s="14"/>
      <c r="Z371" s="14"/>
      <c r="AA371" s="14"/>
      <c r="AB371" s="16"/>
      <c r="AS371" s="16"/>
    </row>
    <row r="372" spans="1:45" hidden="1">
      <c r="A372" s="212" t="s">
        <v>493</v>
      </c>
      <c r="C372" s="1164" t="str">
        <f t="shared" ref="C372:C383" si="156">F44</f>
        <v>woning</v>
      </c>
      <c r="E372" s="14"/>
      <c r="F372" s="1210">
        <f t="shared" ref="F372:F383" si="157">INDEX(Energie_DPG_Score_6,MATCH($F44,Gebruiksfuncties,0),MATCH(EP_bronmethode,GPR_Versie_En_EP_Methode,0))</f>
        <v>0.6</v>
      </c>
      <c r="G372" s="1211">
        <f t="shared" ref="G372:G383" si="158">INDEX(Energie_DPG_Score_10,MATCH($F44,Gebruiksfuncties,0),MATCH(EP_bronmethode,GPR_Versie_En_EP_Methode,0))</f>
        <v>-0.1</v>
      </c>
      <c r="H372" s="1186">
        <f t="shared" ref="H372:H383" si="159">(LN(6/10)/(F372-G372))</f>
        <v>-0.72975089109427249</v>
      </c>
      <c r="I372" s="1162"/>
      <c r="J372" s="1162"/>
      <c r="K372" s="1162"/>
      <c r="L372" s="1162"/>
      <c r="M372" s="1185">
        <f t="shared" ref="M372:M383" si="160">M$385</f>
        <v>9.9640728305742385</v>
      </c>
      <c r="N372" s="1212">
        <f t="shared" ref="N372:N383" si="161">IFERROR(LN(M372/10)/H372+G372,0)</f>
        <v>-9.506792483080366E-2</v>
      </c>
      <c r="O372" s="1213"/>
      <c r="P372" s="1213" t="str">
        <f t="shared" ref="P372:P383" si="162">$M350</f>
        <v/>
      </c>
      <c r="Q372" s="1186" t="str">
        <f t="shared" ref="Q372:Q383" si="163">IFERROR(N372-P372,"")</f>
        <v/>
      </c>
      <c r="R372" s="1186"/>
      <c r="S372" s="1191" t="str">
        <f t="shared" ref="S372:S383" si="164">IFERROR(Q372+M350,"")</f>
        <v/>
      </c>
      <c r="T372" s="1191" t="str">
        <f t="shared" ref="T372:T383" si="165">IFERROR(10*EXP(H372*(S372-G372)),"")</f>
        <v/>
      </c>
      <c r="U372" s="1191"/>
      <c r="V372" s="1202"/>
      <c r="W372" s="1202"/>
      <c r="X372" s="14"/>
      <c r="Y372" s="14"/>
      <c r="Z372" s="14"/>
      <c r="AA372" s="14"/>
      <c r="AB372" s="16"/>
      <c r="AS372" s="16"/>
    </row>
    <row r="373" spans="1:45" hidden="1">
      <c r="A373" s="212" t="s">
        <v>493</v>
      </c>
      <c r="C373" s="1164" t="str">
        <f t="shared" si="156"/>
        <v>woongebouw</v>
      </c>
      <c r="E373" s="14"/>
      <c r="F373" s="1214">
        <f t="shared" si="157"/>
        <v>0.6</v>
      </c>
      <c r="G373" s="1215">
        <f t="shared" si="158"/>
        <v>-0.1</v>
      </c>
      <c r="H373" s="1186">
        <f t="shared" si="159"/>
        <v>-0.72975089109427249</v>
      </c>
      <c r="I373" s="1162"/>
      <c r="J373" s="1162"/>
      <c r="K373" s="1162"/>
      <c r="L373" s="1162"/>
      <c r="M373" s="1185">
        <f t="shared" si="160"/>
        <v>9.9640728305742385</v>
      </c>
      <c r="N373" s="1216">
        <f t="shared" si="161"/>
        <v>-9.506792483080366E-2</v>
      </c>
      <c r="O373" s="1213"/>
      <c r="P373" s="1213" t="str">
        <f t="shared" si="162"/>
        <v/>
      </c>
      <c r="Q373" s="1186" t="str">
        <f t="shared" si="163"/>
        <v/>
      </c>
      <c r="R373" s="1186"/>
      <c r="S373" s="1191" t="str">
        <f t="shared" si="164"/>
        <v/>
      </c>
      <c r="T373" s="1191" t="str">
        <f t="shared" si="165"/>
        <v/>
      </c>
      <c r="U373" s="1191"/>
      <c r="V373" s="1202"/>
      <c r="W373" s="1202"/>
      <c r="X373" s="14"/>
      <c r="Y373" s="14"/>
      <c r="Z373" s="14"/>
      <c r="AA373" s="14"/>
      <c r="AB373" s="16"/>
      <c r="AS373" s="16"/>
    </row>
    <row r="374" spans="1:45" hidden="1">
      <c r="A374" s="212" t="s">
        <v>493</v>
      </c>
      <c r="C374" s="1164" t="str">
        <f t="shared" si="156"/>
        <v>kantoor</v>
      </c>
      <c r="E374" s="14"/>
      <c r="F374" s="1214">
        <f t="shared" si="157"/>
        <v>3.4865208868082185</v>
      </c>
      <c r="G374" s="1215">
        <f t="shared" si="158"/>
        <v>-0.5305607399933423</v>
      </c>
      <c r="H374" s="1186">
        <f t="shared" si="159"/>
        <v>-0.12716336664851766</v>
      </c>
      <c r="I374" s="1162"/>
      <c r="J374" s="1162"/>
      <c r="K374" s="1162"/>
      <c r="L374" s="1162"/>
      <c r="M374" s="1185">
        <f t="shared" si="160"/>
        <v>9.9640728305742385</v>
      </c>
      <c r="N374" s="1216">
        <f t="shared" si="161"/>
        <v>-0.5022570992159382</v>
      </c>
      <c r="O374" s="1213"/>
      <c r="P374" s="1213">
        <f t="shared" si="162"/>
        <v>0</v>
      </c>
      <c r="Q374" s="1186">
        <f t="shared" si="163"/>
        <v>-0.5022570992159382</v>
      </c>
      <c r="R374" s="1186"/>
      <c r="S374" s="1191">
        <f t="shared" si="164"/>
        <v>-0.5022570992159382</v>
      </c>
      <c r="T374" s="1191">
        <f t="shared" si="165"/>
        <v>9.9640728305742385</v>
      </c>
      <c r="U374" s="1191"/>
      <c r="V374" s="1202"/>
      <c r="W374" s="1202"/>
      <c r="X374" s="14"/>
      <c r="Y374" s="14"/>
      <c r="Z374" s="14"/>
      <c r="AA374" s="14"/>
      <c r="AB374" s="16"/>
      <c r="AS374" s="16"/>
    </row>
    <row r="375" spans="1:45" hidden="1">
      <c r="A375" s="212" t="s">
        <v>493</v>
      </c>
      <c r="C375" s="1164" t="str">
        <f t="shared" si="156"/>
        <v>bijeenkomst overig</v>
      </c>
      <c r="E375" s="14"/>
      <c r="F375" s="1214">
        <f t="shared" si="157"/>
        <v>5.9018217018557069</v>
      </c>
      <c r="G375" s="1215">
        <f t="shared" si="158"/>
        <v>0.18902985498063157</v>
      </c>
      <c r="H375" s="1186">
        <f t="shared" si="159"/>
        <v>-8.941786038387077E-2</v>
      </c>
      <c r="I375" s="1162"/>
      <c r="J375" s="1162"/>
      <c r="K375" s="1162"/>
      <c r="L375" s="1162"/>
      <c r="M375" s="1185">
        <f t="shared" si="160"/>
        <v>9.9640728305742385</v>
      </c>
      <c r="N375" s="1216">
        <f t="shared" si="161"/>
        <v>0.22928116757314571</v>
      </c>
      <c r="O375" s="1213"/>
      <c r="P375" s="1213">
        <f t="shared" si="162"/>
        <v>0</v>
      </c>
      <c r="Q375" s="1186">
        <f t="shared" si="163"/>
        <v>0.22928116757314571</v>
      </c>
      <c r="R375" s="1186"/>
      <c r="S375" s="1191">
        <f t="shared" si="164"/>
        <v>0.22928116757314571</v>
      </c>
      <c r="T375" s="1191">
        <f t="shared" si="165"/>
        <v>9.9640728305742385</v>
      </c>
      <c r="U375" s="1191"/>
      <c r="V375" s="1202"/>
      <c r="W375" s="1202"/>
      <c r="X375" s="14"/>
      <c r="Y375" s="14"/>
      <c r="Z375" s="14"/>
      <c r="AA375" s="14"/>
      <c r="AB375" s="16"/>
      <c r="AS375" s="16"/>
    </row>
    <row r="376" spans="1:45" hidden="1">
      <c r="A376" s="212" t="s">
        <v>493</v>
      </c>
      <c r="C376" s="1164" t="str">
        <f t="shared" si="156"/>
        <v>bijeenkomst kinderdagverblijf</v>
      </c>
      <c r="E376" s="14"/>
      <c r="F376" s="1214">
        <f t="shared" si="157"/>
        <v>7.4271911215853379</v>
      </c>
      <c r="G376" s="1215">
        <f t="shared" si="158"/>
        <v>0.22221092604712483</v>
      </c>
      <c r="H376" s="1186">
        <f t="shared" si="159"/>
        <v>-7.0898962925994832E-2</v>
      </c>
      <c r="I376" s="1162"/>
      <c r="J376" s="1162"/>
      <c r="K376" s="1162"/>
      <c r="L376" s="1162"/>
      <c r="M376" s="1185">
        <f t="shared" si="160"/>
        <v>9.9640728305742385</v>
      </c>
      <c r="N376" s="1216">
        <f t="shared" si="161"/>
        <v>0.27297593164278977</v>
      </c>
      <c r="O376" s="1213"/>
      <c r="P376" s="1213">
        <f t="shared" si="162"/>
        <v>0</v>
      </c>
      <c r="Q376" s="1186">
        <f t="shared" si="163"/>
        <v>0.27297593164278977</v>
      </c>
      <c r="R376" s="1186"/>
      <c r="S376" s="1191">
        <f t="shared" si="164"/>
        <v>0.27297593164278977</v>
      </c>
      <c r="T376" s="1191">
        <f t="shared" si="165"/>
        <v>9.9640728305742385</v>
      </c>
      <c r="U376" s="1191"/>
      <c r="V376" s="1202"/>
      <c r="W376" s="1202"/>
      <c r="X376" s="14"/>
      <c r="Y376" s="14"/>
      <c r="Z376" s="14"/>
      <c r="AA376" s="14"/>
      <c r="AB376" s="16"/>
      <c r="AS376" s="16"/>
    </row>
    <row r="377" spans="1:45" hidden="1">
      <c r="A377" s="212" t="s">
        <v>493</v>
      </c>
      <c r="C377" s="1164" t="str">
        <f t="shared" si="156"/>
        <v>onderwijs</v>
      </c>
      <c r="E377" s="14"/>
      <c r="F377" s="1214">
        <f t="shared" si="157"/>
        <v>4.4834429891712473</v>
      </c>
      <c r="G377" s="1215">
        <f t="shared" si="158"/>
        <v>1.0009891564366158E-2</v>
      </c>
      <c r="H377" s="1186">
        <f t="shared" si="159"/>
        <v>-0.11419096086163964</v>
      </c>
      <c r="I377" s="1162"/>
      <c r="J377" s="1162"/>
      <c r="K377" s="1162"/>
      <c r="L377" s="1162"/>
      <c r="M377" s="1185">
        <f t="shared" si="160"/>
        <v>9.9640728305742385</v>
      </c>
      <c r="N377" s="1216">
        <f t="shared" si="161"/>
        <v>4.1528903424034709E-2</v>
      </c>
      <c r="O377" s="1213"/>
      <c r="P377" s="1213" t="str">
        <f t="shared" si="162"/>
        <v/>
      </c>
      <c r="Q377" s="1186" t="str">
        <f t="shared" si="163"/>
        <v/>
      </c>
      <c r="R377" s="1186"/>
      <c r="S377" s="1191" t="str">
        <f t="shared" si="164"/>
        <v/>
      </c>
      <c r="T377" s="1191" t="str">
        <f t="shared" si="165"/>
        <v/>
      </c>
      <c r="U377" s="1191"/>
      <c r="V377" s="1202"/>
      <c r="W377" s="1202"/>
      <c r="X377" s="14"/>
      <c r="Y377" s="14"/>
      <c r="Z377" s="14"/>
      <c r="AA377" s="14"/>
      <c r="AB377" s="16"/>
      <c r="AS377" s="16"/>
    </row>
    <row r="378" spans="1:45" hidden="1">
      <c r="A378" s="212" t="s">
        <v>493</v>
      </c>
      <c r="C378" s="1164" t="str">
        <f t="shared" si="156"/>
        <v>gezondheid overig</v>
      </c>
      <c r="E378" s="14"/>
      <c r="F378" s="1214">
        <f t="shared" si="157"/>
        <v>0</v>
      </c>
      <c r="G378" s="1215">
        <f t="shared" si="158"/>
        <v>-0.8488041379310346</v>
      </c>
      <c r="H378" s="1186">
        <f t="shared" si="159"/>
        <v>-0.60181801777160437</v>
      </c>
      <c r="I378" s="1162"/>
      <c r="J378" s="1162"/>
      <c r="K378" s="1162"/>
      <c r="L378" s="1162"/>
      <c r="M378" s="1185">
        <f t="shared" si="160"/>
        <v>9.9640728305742385</v>
      </c>
      <c r="N378" s="1216">
        <f t="shared" si="161"/>
        <v>-0.84282361534217631</v>
      </c>
      <c r="O378" s="1213"/>
      <c r="P378" s="1213" t="str">
        <f t="shared" si="162"/>
        <v/>
      </c>
      <c r="Q378" s="1186" t="str">
        <f t="shared" si="163"/>
        <v/>
      </c>
      <c r="R378" s="1186"/>
      <c r="S378" s="1191" t="str">
        <f t="shared" si="164"/>
        <v/>
      </c>
      <c r="T378" s="1191" t="str">
        <f t="shared" si="165"/>
        <v/>
      </c>
      <c r="U378" s="1191"/>
      <c r="V378" s="1202"/>
      <c r="W378" s="1202"/>
      <c r="X378" s="14"/>
      <c r="Y378" s="14"/>
      <c r="Z378" s="14"/>
      <c r="AA378" s="14"/>
      <c r="AB378" s="16"/>
      <c r="AS378" s="16"/>
    </row>
    <row r="379" spans="1:45" hidden="1">
      <c r="A379" s="212" t="s">
        <v>493</v>
      </c>
      <c r="C379" s="1164" t="str">
        <f t="shared" si="156"/>
        <v>gezondheid bedgebied</v>
      </c>
      <c r="E379" s="14"/>
      <c r="F379" s="1214">
        <f t="shared" si="157"/>
        <v>0</v>
      </c>
      <c r="G379" s="1215">
        <f t="shared" si="158"/>
        <v>-1.0610051724137932</v>
      </c>
      <c r="H379" s="1186">
        <f t="shared" si="159"/>
        <v>-0.48145441421728352</v>
      </c>
      <c r="I379" s="1162"/>
      <c r="J379" s="1162"/>
      <c r="K379" s="1162"/>
      <c r="L379" s="1162"/>
      <c r="M379" s="1185">
        <f t="shared" si="160"/>
        <v>9.9640728305742385</v>
      </c>
      <c r="N379" s="1216">
        <f t="shared" si="161"/>
        <v>-1.0535295191777205</v>
      </c>
      <c r="O379" s="1213"/>
      <c r="P379" s="1213" t="str">
        <f t="shared" si="162"/>
        <v/>
      </c>
      <c r="Q379" s="1186" t="str">
        <f t="shared" si="163"/>
        <v/>
      </c>
      <c r="R379" s="1186"/>
      <c r="S379" s="1191" t="str">
        <f t="shared" si="164"/>
        <v/>
      </c>
      <c r="T379" s="1191" t="str">
        <f t="shared" si="165"/>
        <v/>
      </c>
      <c r="U379" s="1191"/>
      <c r="V379" s="1202"/>
      <c r="W379" s="1202"/>
      <c r="X379" s="14"/>
      <c r="Y379" s="14"/>
      <c r="Z379" s="14"/>
      <c r="AA379" s="14"/>
      <c r="AB379" s="16"/>
      <c r="AS379" s="16"/>
    </row>
    <row r="380" spans="1:45" hidden="1">
      <c r="A380" s="212" t="s">
        <v>493</v>
      </c>
      <c r="C380" s="1164" t="str">
        <f t="shared" si="156"/>
        <v>winkel</v>
      </c>
      <c r="E380" s="14"/>
      <c r="F380" s="1214">
        <f t="shared" si="157"/>
        <v>8.6727219756132818</v>
      </c>
      <c r="G380" s="1215">
        <f t="shared" si="158"/>
        <v>-0.31109441289929285</v>
      </c>
      <c r="H380" s="1186">
        <f t="shared" si="159"/>
        <v>-5.6860648267385919E-2</v>
      </c>
      <c r="I380" s="1162"/>
      <c r="J380" s="1162"/>
      <c r="K380" s="1162"/>
      <c r="L380" s="1162"/>
      <c r="M380" s="1185">
        <f t="shared" si="160"/>
        <v>9.9640728305742385</v>
      </c>
      <c r="N380" s="1216">
        <f t="shared" si="161"/>
        <v>-0.24779604470728991</v>
      </c>
      <c r="O380" s="1213"/>
      <c r="P380" s="1213" t="str">
        <f t="shared" si="162"/>
        <v/>
      </c>
      <c r="Q380" s="1186" t="str">
        <f t="shared" si="163"/>
        <v/>
      </c>
      <c r="R380" s="1186"/>
      <c r="S380" s="1191" t="str">
        <f t="shared" si="164"/>
        <v/>
      </c>
      <c r="T380" s="1191" t="str">
        <f t="shared" si="165"/>
        <v/>
      </c>
      <c r="U380" s="1191"/>
      <c r="V380" s="1202"/>
      <c r="W380" s="1202"/>
      <c r="X380" s="14"/>
      <c r="Y380" s="14"/>
      <c r="Z380" s="14"/>
      <c r="AA380" s="14"/>
      <c r="AB380" s="16"/>
      <c r="AS380" s="16"/>
    </row>
    <row r="381" spans="1:45" hidden="1">
      <c r="A381" s="212" t="s">
        <v>493</v>
      </c>
      <c r="C381" s="1164" t="str">
        <f t="shared" si="156"/>
        <v>sport</v>
      </c>
      <c r="E381" s="14"/>
      <c r="F381" s="1214">
        <f t="shared" si="157"/>
        <v>4.1479943547830072</v>
      </c>
      <c r="G381" s="1215">
        <f t="shared" si="158"/>
        <v>0.21295480603468026</v>
      </c>
      <c r="H381" s="1186">
        <f t="shared" si="159"/>
        <v>-0.12981460985023038</v>
      </c>
      <c r="I381" s="1162"/>
      <c r="J381" s="1162"/>
      <c r="K381" s="1162"/>
      <c r="L381" s="1162"/>
      <c r="M381" s="1185">
        <f t="shared" si="160"/>
        <v>9.9640728305742385</v>
      </c>
      <c r="N381" s="1216">
        <f t="shared" si="161"/>
        <v>0.24068039296066199</v>
      </c>
      <c r="O381" s="1213"/>
      <c r="P381" s="1213" t="str">
        <f t="shared" si="162"/>
        <v/>
      </c>
      <c r="Q381" s="1186" t="str">
        <f t="shared" si="163"/>
        <v/>
      </c>
      <c r="R381" s="1186"/>
      <c r="S381" s="1191" t="str">
        <f t="shared" si="164"/>
        <v/>
      </c>
      <c r="T381" s="1191" t="str">
        <f t="shared" si="165"/>
        <v/>
      </c>
      <c r="U381" s="1191"/>
      <c r="V381" s="1202"/>
      <c r="W381" s="1202"/>
      <c r="X381" s="14"/>
      <c r="Y381" s="14"/>
      <c r="Z381" s="14"/>
      <c r="AA381" s="14"/>
      <c r="AB381" s="16"/>
      <c r="AS381" s="16"/>
    </row>
    <row r="382" spans="1:45" hidden="1">
      <c r="A382" s="212" t="s">
        <v>493</v>
      </c>
      <c r="C382" s="1164" t="str">
        <f t="shared" si="156"/>
        <v>logies in logiesgebouw</v>
      </c>
      <c r="E382" s="14"/>
      <c r="F382" s="1214">
        <f t="shared" si="157"/>
        <v>4.341846481628469</v>
      </c>
      <c r="G382" s="1215">
        <f t="shared" si="158"/>
        <v>-5.0641157782819524E-2</v>
      </c>
      <c r="H382" s="1186">
        <f t="shared" si="159"/>
        <v>-0.11629528998161395</v>
      </c>
      <c r="I382" s="1162"/>
      <c r="J382" s="1162"/>
      <c r="K382" s="1162"/>
      <c r="L382" s="1162"/>
      <c r="M382" s="1185">
        <f t="shared" si="160"/>
        <v>9.9640728305742385</v>
      </c>
      <c r="N382" s="1216">
        <f t="shared" si="161"/>
        <v>-1.9692473186616259E-2</v>
      </c>
      <c r="O382" s="1213"/>
      <c r="P382" s="1213" t="str">
        <f t="shared" si="162"/>
        <v/>
      </c>
      <c r="Q382" s="1186" t="str">
        <f t="shared" si="163"/>
        <v/>
      </c>
      <c r="R382" s="1186"/>
      <c r="S382" s="1191" t="str">
        <f t="shared" si="164"/>
        <v/>
      </c>
      <c r="T382" s="1191" t="str">
        <f t="shared" si="165"/>
        <v/>
      </c>
      <c r="U382" s="1191"/>
      <c r="V382" s="1202"/>
      <c r="W382" s="1202"/>
      <c r="X382" s="14"/>
      <c r="Y382" s="14"/>
      <c r="Z382" s="14"/>
      <c r="AA382" s="14"/>
      <c r="AB382" s="16"/>
      <c r="AS382" s="16"/>
    </row>
    <row r="383" spans="1:45" hidden="1">
      <c r="A383" s="212" t="s">
        <v>493</v>
      </c>
      <c r="C383" s="1164" t="str">
        <f t="shared" si="156"/>
        <v>cel</v>
      </c>
      <c r="E383" s="14"/>
      <c r="F383" s="1217">
        <f t="shared" si="157"/>
        <v>0</v>
      </c>
      <c r="G383" s="1218">
        <f t="shared" si="158"/>
        <v>-0.53050258620689661</v>
      </c>
      <c r="H383" s="1186">
        <f t="shared" si="159"/>
        <v>-0.96290882843456704</v>
      </c>
      <c r="I383" s="1162"/>
      <c r="J383" s="1162"/>
      <c r="K383" s="1162"/>
      <c r="L383" s="1162"/>
      <c r="M383" s="1185">
        <f t="shared" si="160"/>
        <v>9.9640728305742385</v>
      </c>
      <c r="N383" s="1219">
        <f t="shared" si="161"/>
        <v>-0.52676475958886027</v>
      </c>
      <c r="O383" s="1213"/>
      <c r="P383" s="1213" t="str">
        <f t="shared" si="162"/>
        <v/>
      </c>
      <c r="Q383" s="1186" t="str">
        <f t="shared" si="163"/>
        <v/>
      </c>
      <c r="R383" s="1186"/>
      <c r="S383" s="1191" t="str">
        <f t="shared" si="164"/>
        <v/>
      </c>
      <c r="T383" s="1191" t="str">
        <f t="shared" si="165"/>
        <v/>
      </c>
      <c r="U383" s="1191"/>
      <c r="V383" s="1202"/>
      <c r="W383" s="1202"/>
      <c r="X383" s="14"/>
      <c r="Y383" s="14"/>
      <c r="Z383" s="14"/>
      <c r="AA383" s="14"/>
      <c r="AB383" s="16"/>
      <c r="AS383" s="16"/>
    </row>
    <row r="384" spans="1:45" hidden="1">
      <c r="A384" s="212" t="s">
        <v>493</v>
      </c>
      <c r="C384" s="1164"/>
      <c r="E384" s="14"/>
      <c r="F384" s="908" t="s">
        <v>1419</v>
      </c>
      <c r="G384" s="1198"/>
      <c r="H384" s="1162"/>
      <c r="I384" s="1162"/>
      <c r="J384" s="1162"/>
      <c r="K384" s="1162"/>
      <c r="L384" s="1162"/>
      <c r="M384" s="1198"/>
      <c r="N384" s="1162"/>
      <c r="O384" s="1162"/>
      <c r="P384" s="1220"/>
      <c r="Q384" s="1198"/>
      <c r="R384" s="1198"/>
      <c r="S384" s="1198"/>
      <c r="T384" s="1198"/>
      <c r="U384" s="1198"/>
      <c r="V384" s="1202"/>
      <c r="W384" s="1202"/>
      <c r="X384" s="14"/>
      <c r="Y384" s="14"/>
      <c r="Z384" s="14"/>
      <c r="AA384" s="14"/>
      <c r="AB384" s="16"/>
      <c r="AS384" s="16"/>
    </row>
    <row r="385" spans="1:45" hidden="1">
      <c r="A385" s="212" t="s">
        <v>493</v>
      </c>
      <c r="C385" s="1164" t="e">
        <f>#REF!</f>
        <v>#REF!</v>
      </c>
      <c r="E385" s="14"/>
      <c r="F385" s="1221">
        <f>IF(SUM($M$44:$M$55)=0,0,SUMPRODUCT($M$44:$M$55,F$372:F$383)/SUM($M$44:$M$55))</f>
        <v>5.605177903416422</v>
      </c>
      <c r="G385" s="1200">
        <f>IF(SUM($M$44:$M$55)=0,0,SUMPRODUCT($M$44:$M$55,G$372:G$383)/SUM($M$44:$M$55))</f>
        <v>-3.9773319655195288E-2</v>
      </c>
      <c r="H385" s="1222">
        <f>(LN(6/10)/(F385-G385))</f>
        <v>-9.0492477893906853E-2</v>
      </c>
      <c r="I385" s="1222"/>
      <c r="J385" s="1200">
        <f>IF(OR($M$58="",$M$58=0),"",SUMPRODUCT($G$227:$M$227,G233:M233)/$J$275)</f>
        <v>0</v>
      </c>
      <c r="K385" s="1200">
        <f>J385+$J$272</f>
        <v>0</v>
      </c>
      <c r="L385" s="1200"/>
      <c r="M385" s="1223">
        <f>IFERROR(10*EXP(H385*(K385-G385)),"")</f>
        <v>9.9640728305742385</v>
      </c>
      <c r="N385" s="1162"/>
      <c r="O385" s="1162"/>
      <c r="P385" s="1213">
        <f>$J$272</f>
        <v>0</v>
      </c>
      <c r="Q385" s="1190">
        <f>J385*$J$275</f>
        <v>0</v>
      </c>
      <c r="R385" s="1224" t="s">
        <v>551</v>
      </c>
      <c r="S385" s="1224"/>
      <c r="T385" s="1198"/>
      <c r="U385" s="1198"/>
      <c r="V385" s="1202"/>
      <c r="W385" s="1202"/>
      <c r="X385" s="14"/>
      <c r="Y385" s="14"/>
      <c r="Z385" s="14"/>
      <c r="AA385" s="14"/>
      <c r="AB385" s="16"/>
      <c r="AS385" s="16"/>
    </row>
    <row r="386" spans="1:45" s="995" customFormat="1" hidden="1">
      <c r="A386" s="212" t="s">
        <v>493</v>
      </c>
      <c r="B386" s="943"/>
      <c r="C386" s="1092"/>
      <c r="D386" s="943"/>
      <c r="E386" s="14"/>
      <c r="F386" s="1201"/>
      <c r="G386" s="1202"/>
      <c r="H386" s="1202"/>
      <c r="I386" s="1202"/>
      <c r="J386" s="1202"/>
      <c r="K386" s="1202"/>
      <c r="L386" s="1202"/>
      <c r="M386" s="1202"/>
      <c r="N386" s="1202"/>
      <c r="O386" s="1202"/>
      <c r="P386" s="1202"/>
      <c r="Q386" s="1202"/>
      <c r="R386" s="1202"/>
      <c r="S386" s="1202"/>
      <c r="T386" s="1202"/>
      <c r="U386" s="1202"/>
      <c r="V386" s="1202"/>
      <c r="W386" s="1202"/>
      <c r="X386" s="14"/>
      <c r="Y386" s="14"/>
      <c r="Z386" s="14"/>
      <c r="AA386" s="14"/>
      <c r="AB386" s="16"/>
      <c r="AD386" s="1428"/>
      <c r="AE386" s="1406"/>
      <c r="AF386" s="1406"/>
      <c r="AG386" s="1406"/>
      <c r="AH386" s="1406"/>
      <c r="AI386" s="1406"/>
      <c r="AJ386" s="1406"/>
      <c r="AK386" s="1406"/>
      <c r="AL386" s="1407"/>
      <c r="AM386" s="1407"/>
      <c r="AS386" s="16"/>
    </row>
    <row r="387" spans="1:45" s="1167" customFormat="1" ht="21" hidden="1">
      <c r="A387" s="212" t="s">
        <v>493</v>
      </c>
      <c r="B387" s="1168"/>
      <c r="C387" s="1173"/>
      <c r="D387" s="1168"/>
      <c r="E387" s="1169"/>
      <c r="F387" s="1170" t="str">
        <f>"DPG bij doelmethode "&amp;EP_doelmethode</f>
        <v>DPG bij doelmethode GPR 4.4 | ISSO 75.3</v>
      </c>
      <c r="G387" s="1203"/>
      <c r="H387" s="1203"/>
      <c r="I387" s="1203"/>
      <c r="J387" s="1203"/>
      <c r="K387" s="1203"/>
      <c r="L387" s="1203"/>
      <c r="M387" s="1203"/>
      <c r="N387" s="1203"/>
      <c r="O387" s="1203"/>
      <c r="P387" s="1203"/>
      <c r="Q387" s="1203"/>
      <c r="R387" s="1203"/>
      <c r="S387" s="1203"/>
      <c r="T387" s="1203"/>
      <c r="U387" s="1203"/>
      <c r="V387" s="1204"/>
      <c r="W387" s="1204"/>
      <c r="X387" s="1175"/>
      <c r="Y387" s="1175"/>
      <c r="Z387" s="1175"/>
      <c r="AA387" s="1175"/>
      <c r="AB387" s="1396"/>
      <c r="AD387" s="1440"/>
      <c r="AE387" s="1426"/>
      <c r="AF387" s="1426"/>
      <c r="AG387" s="1426"/>
      <c r="AH387" s="1426"/>
      <c r="AI387" s="1426"/>
      <c r="AJ387" s="1426"/>
      <c r="AK387" s="1426"/>
      <c r="AL387" s="1427"/>
      <c r="AM387" s="1427"/>
      <c r="AS387" s="1396"/>
    </row>
    <row r="388" spans="1:45" s="211" customFormat="1" ht="64" hidden="1">
      <c r="A388" s="212" t="s">
        <v>493</v>
      </c>
      <c r="B388" s="1163"/>
      <c r="C388" s="1164" t="s">
        <v>1638</v>
      </c>
      <c r="D388" s="1163"/>
      <c r="E388" s="14"/>
      <c r="F388" s="1205" t="s">
        <v>484</v>
      </c>
      <c r="G388" s="1205" t="s">
        <v>523</v>
      </c>
      <c r="H388" s="1205" t="s">
        <v>524</v>
      </c>
      <c r="I388" s="1205"/>
      <c r="J388" s="1205" t="s">
        <v>525</v>
      </c>
      <c r="K388" s="1205" t="s">
        <v>537</v>
      </c>
      <c r="L388" s="1205"/>
      <c r="M388" s="1205" t="s">
        <v>431</v>
      </c>
      <c r="N388" s="1205" t="s">
        <v>544</v>
      </c>
      <c r="O388" s="1205"/>
      <c r="P388" s="1205" t="s">
        <v>545</v>
      </c>
      <c r="Q388" s="1205" t="s">
        <v>546</v>
      </c>
      <c r="R388" s="1205"/>
      <c r="S388" s="1205" t="s">
        <v>547</v>
      </c>
      <c r="T388" s="1205" t="s">
        <v>548</v>
      </c>
      <c r="U388" s="1205"/>
      <c r="V388" s="1205" t="s">
        <v>549</v>
      </c>
      <c r="W388" s="1205" t="s">
        <v>550</v>
      </c>
      <c r="X388" s="1175"/>
      <c r="Y388" s="1175"/>
      <c r="Z388" s="1175"/>
      <c r="AA388" s="1175"/>
      <c r="AB388" s="1396"/>
      <c r="AD388" s="1438"/>
      <c r="AE388" s="1423"/>
      <c r="AF388" s="1423"/>
      <c r="AG388" s="1423"/>
      <c r="AH388" s="1423"/>
      <c r="AI388" s="1423"/>
      <c r="AJ388" s="1423"/>
      <c r="AK388" s="1423"/>
      <c r="AL388" s="1424"/>
      <c r="AM388" s="1424"/>
      <c r="AS388" s="1396"/>
    </row>
    <row r="389" spans="1:45" hidden="1">
      <c r="A389" s="212" t="s">
        <v>493</v>
      </c>
      <c r="C389" s="1164" t="s">
        <v>204</v>
      </c>
      <c r="E389" s="14"/>
      <c r="F389" s="1206"/>
      <c r="G389" s="1206" t="s">
        <v>457</v>
      </c>
      <c r="H389" s="1206" t="s">
        <v>457</v>
      </c>
      <c r="I389" s="1206"/>
      <c r="J389" s="1206"/>
      <c r="K389" s="1206" t="s">
        <v>457</v>
      </c>
      <c r="L389" s="1206"/>
      <c r="M389" s="1206" t="s">
        <v>457</v>
      </c>
      <c r="N389" s="1206" t="s">
        <v>457</v>
      </c>
      <c r="O389" s="1206"/>
      <c r="P389" s="1206" t="s">
        <v>551</v>
      </c>
      <c r="Q389" s="1206" t="s">
        <v>132</v>
      </c>
      <c r="R389" s="1206"/>
      <c r="S389" s="1206"/>
      <c r="T389" s="1206" t="s">
        <v>457</v>
      </c>
      <c r="U389" s="1206"/>
      <c r="V389" s="1206" t="s">
        <v>457</v>
      </c>
      <c r="W389" s="1206"/>
      <c r="X389" s="1175"/>
      <c r="Y389" s="1175"/>
      <c r="Z389" s="1175"/>
      <c r="AA389" s="1175"/>
      <c r="AB389" s="1396"/>
      <c r="AS389" s="1396"/>
    </row>
    <row r="390" spans="1:45" hidden="1">
      <c r="A390" s="212" t="s">
        <v>493</v>
      </c>
      <c r="C390" s="1164" t="s">
        <v>1639</v>
      </c>
      <c r="E390" s="14"/>
      <c r="F390" s="907" t="s">
        <v>1521</v>
      </c>
      <c r="G390" s="907"/>
      <c r="H390" s="907"/>
      <c r="I390" s="907"/>
      <c r="J390" s="907"/>
      <c r="K390" s="982" t="s">
        <v>1522</v>
      </c>
      <c r="L390" s="982"/>
      <c r="M390" s="907"/>
      <c r="N390" s="907" t="s">
        <v>1524</v>
      </c>
      <c r="O390" s="907"/>
      <c r="P390" s="1208"/>
      <c r="Q390" s="1208"/>
      <c r="R390" s="1208"/>
      <c r="S390" s="1208"/>
      <c r="T390" s="1208"/>
      <c r="U390" s="1208"/>
      <c r="V390" s="1209" t="s">
        <v>1412</v>
      </c>
      <c r="W390" s="1209" t="s">
        <v>1412</v>
      </c>
      <c r="X390" s="1175"/>
      <c r="Y390" s="1175"/>
      <c r="Z390" s="1175"/>
      <c r="AA390" s="1175"/>
      <c r="AB390" s="1396"/>
      <c r="AS390" s="1396"/>
    </row>
    <row r="391" spans="1:45" hidden="1">
      <c r="A391" s="212" t="s">
        <v>493</v>
      </c>
      <c r="C391" s="1164" t="str">
        <f t="shared" ref="C391:C402" si="166">F44</f>
        <v>woning</v>
      </c>
      <c r="E391" s="14"/>
      <c r="F391" s="1184">
        <f t="shared" ref="F391:F402" si="167">$AG$220</f>
        <v>9.9640728305742385</v>
      </c>
      <c r="G391" s="1185">
        <f t="shared" ref="G391:G402" si="168">INDEX(Energie_DPG_Score_6,MATCH($F44,Gebruiksfuncties,0),MATCH(EP_doelmethode,GPR_Versie_En_EP_Methode,0))</f>
        <v>0.6</v>
      </c>
      <c r="H391" s="1185">
        <f t="shared" ref="H391:H402" si="169">INDEX(Energie_DPG_Score_10,MATCH($F44,Gebruiksfuncties,0),MATCH(EP_doelmethode,GPR_Versie_En_EP_Methode,0))</f>
        <v>-0.1</v>
      </c>
      <c r="I391" s="1185"/>
      <c r="J391" s="1186">
        <f t="shared" ref="J391:J402" si="170">(LN(6/10)/(G391-H391))</f>
        <v>-0.72975089109427249</v>
      </c>
      <c r="K391" s="1187">
        <f t="shared" ref="K391:K402" si="171">IFERROR(LN(F391/10)/J391+H391,0)</f>
        <v>-9.506792483080366E-2</v>
      </c>
      <c r="L391" s="1188"/>
      <c r="M391" s="1188" t="str">
        <f t="shared" ref="M391:M402" si="172">$M350</f>
        <v/>
      </c>
      <c r="N391" s="1189" t="str">
        <f t="shared" ref="N391:N402" si="173">IFERROR(K391-M391,"")</f>
        <v/>
      </c>
      <c r="O391" s="1188"/>
      <c r="P391" s="1190" t="str">
        <f t="shared" ref="P391:P402" si="174">IFERROR(N391*M44/$M$58*$J$275,"")</f>
        <v/>
      </c>
      <c r="Q391" s="1191" t="str">
        <f t="shared" ref="Q391:Q402" si="175">IFERROR(P391/IF(EP_bronmethode=EP_doelmethode,$P$404,$Q$385),"")</f>
        <v/>
      </c>
      <c r="R391" s="1191"/>
      <c r="S391" s="1191" t="str">
        <f t="shared" ref="S391:S402" si="176">IFERROR($N391/$Q372*$Q391,"")</f>
        <v/>
      </c>
      <c r="T391" s="1191" t="str">
        <f t="shared" ref="T391:T402" si="177">IF(OR(M44="",M44=0),"",SUMPRODUCT($G$227:$M$227,$G236:$M236)/($M44/$M$58*$J$275))</f>
        <v/>
      </c>
      <c r="U391" s="1191"/>
      <c r="V391" s="1191" t="str">
        <f t="shared" ref="V391:V402" si="178">IF(M350="","",M391+T391)</f>
        <v/>
      </c>
      <c r="W391" s="1191" t="str">
        <f t="shared" ref="W391:W402" si="179">IFERROR(10*EXP(J391*(V391-H391)),"")</f>
        <v/>
      </c>
      <c r="X391" s="1182" t="b">
        <f>W391=T372</f>
        <v>1</v>
      </c>
      <c r="Y391" s="1175"/>
      <c r="Z391" s="1175"/>
      <c r="AA391" s="1175"/>
      <c r="AB391" s="1396"/>
      <c r="AS391" s="1396"/>
    </row>
    <row r="392" spans="1:45" hidden="1">
      <c r="A392" s="212" t="s">
        <v>493</v>
      </c>
      <c r="C392" s="1164" t="str">
        <f t="shared" si="166"/>
        <v>woongebouw</v>
      </c>
      <c r="E392" s="14"/>
      <c r="F392" s="1192">
        <f t="shared" si="167"/>
        <v>9.9640728305742385</v>
      </c>
      <c r="G392" s="1185">
        <f t="shared" si="168"/>
        <v>0.6</v>
      </c>
      <c r="H392" s="1185">
        <f t="shared" si="169"/>
        <v>-0.1</v>
      </c>
      <c r="I392" s="1185"/>
      <c r="J392" s="1186">
        <f t="shared" si="170"/>
        <v>-0.72975089109427249</v>
      </c>
      <c r="K392" s="1193">
        <f t="shared" si="171"/>
        <v>-9.506792483080366E-2</v>
      </c>
      <c r="L392" s="1188"/>
      <c r="M392" s="1188" t="str">
        <f t="shared" si="172"/>
        <v/>
      </c>
      <c r="N392" s="1194" t="str">
        <f t="shared" si="173"/>
        <v/>
      </c>
      <c r="O392" s="1188"/>
      <c r="P392" s="1190" t="str">
        <f t="shared" si="174"/>
        <v/>
      </c>
      <c r="Q392" s="1191" t="str">
        <f t="shared" si="175"/>
        <v/>
      </c>
      <c r="R392" s="1191"/>
      <c r="S392" s="1191" t="str">
        <f t="shared" si="176"/>
        <v/>
      </c>
      <c r="T392" s="1191" t="str">
        <f t="shared" si="177"/>
        <v/>
      </c>
      <c r="U392" s="1191"/>
      <c r="V392" s="1191" t="str">
        <f t="shared" si="178"/>
        <v/>
      </c>
      <c r="W392" s="1191" t="str">
        <f t="shared" si="179"/>
        <v/>
      </c>
      <c r="X392" s="1182" t="b">
        <f t="shared" ref="X392:X402" si="180">W392=T373</f>
        <v>1</v>
      </c>
      <c r="Y392" s="1175"/>
      <c r="Z392" s="1175"/>
      <c r="AA392" s="1175"/>
      <c r="AB392" s="1396"/>
      <c r="AS392" s="1396"/>
    </row>
    <row r="393" spans="1:45" hidden="1">
      <c r="A393" s="212" t="s">
        <v>493</v>
      </c>
      <c r="C393" s="1164" t="str">
        <f t="shared" si="166"/>
        <v>kantoor</v>
      </c>
      <c r="E393" s="14"/>
      <c r="F393" s="1192">
        <f t="shared" si="167"/>
        <v>9.9640728305742385</v>
      </c>
      <c r="G393" s="1185">
        <f t="shared" si="168"/>
        <v>3.4865208868082185</v>
      </c>
      <c r="H393" s="1185">
        <f t="shared" si="169"/>
        <v>-0.5305607399933423</v>
      </c>
      <c r="I393" s="1185"/>
      <c r="J393" s="1186">
        <f t="shared" si="170"/>
        <v>-0.12716336664851766</v>
      </c>
      <c r="K393" s="1193">
        <f t="shared" si="171"/>
        <v>-0.5022570992159382</v>
      </c>
      <c r="L393" s="1188"/>
      <c r="M393" s="1188">
        <f t="shared" si="172"/>
        <v>0</v>
      </c>
      <c r="N393" s="1194">
        <f t="shared" si="173"/>
        <v>-0.5022570992159382</v>
      </c>
      <c r="O393" s="1188"/>
      <c r="P393" s="1190">
        <f t="shared" si="174"/>
        <v>-0.16741903307197939</v>
      </c>
      <c r="Q393" s="1191">
        <f t="shared" si="175"/>
        <v>185597118758817.25</v>
      </c>
      <c r="R393" s="1191"/>
      <c r="S393" s="1191">
        <f t="shared" si="176"/>
        <v>185597118758817.25</v>
      </c>
      <c r="T393" s="1191">
        <f t="shared" si="177"/>
        <v>0</v>
      </c>
      <c r="U393" s="1191"/>
      <c r="V393" s="1191">
        <f t="shared" si="178"/>
        <v>0</v>
      </c>
      <c r="W393" s="1191">
        <f t="shared" si="179"/>
        <v>9.3475773529000428</v>
      </c>
      <c r="X393" s="1182" t="b">
        <f t="shared" si="180"/>
        <v>0</v>
      </c>
      <c r="Y393" s="1175"/>
      <c r="Z393" s="1175"/>
      <c r="AA393" s="1175"/>
      <c r="AB393" s="1396"/>
      <c r="AS393" s="1396"/>
    </row>
    <row r="394" spans="1:45" hidden="1">
      <c r="A394" s="212" t="s">
        <v>493</v>
      </c>
      <c r="C394" s="1164" t="str">
        <f t="shared" si="166"/>
        <v>bijeenkomst overig</v>
      </c>
      <c r="E394" s="14"/>
      <c r="F394" s="1192">
        <f t="shared" si="167"/>
        <v>9.9640728305742385</v>
      </c>
      <c r="G394" s="1185">
        <f t="shared" si="168"/>
        <v>5.9018217018557069</v>
      </c>
      <c r="H394" s="1185">
        <f t="shared" si="169"/>
        <v>0.18902985498063157</v>
      </c>
      <c r="I394" s="1185"/>
      <c r="J394" s="1186">
        <f t="shared" si="170"/>
        <v>-8.941786038387077E-2</v>
      </c>
      <c r="K394" s="1193">
        <f t="shared" si="171"/>
        <v>0.22928116757314571</v>
      </c>
      <c r="L394" s="1188"/>
      <c r="M394" s="1188">
        <f t="shared" si="172"/>
        <v>0</v>
      </c>
      <c r="N394" s="1194">
        <f t="shared" si="173"/>
        <v>0.22928116757314571</v>
      </c>
      <c r="O394" s="1188"/>
      <c r="P394" s="1190">
        <f t="shared" si="174"/>
        <v>7.6427055857715226E-2</v>
      </c>
      <c r="Q394" s="1191">
        <f t="shared" si="175"/>
        <v>-84725380992450.547</v>
      </c>
      <c r="R394" s="1191"/>
      <c r="S394" s="1191">
        <f t="shared" si="176"/>
        <v>-84725380992450.547</v>
      </c>
      <c r="T394" s="1191">
        <f t="shared" si="177"/>
        <v>0</v>
      </c>
      <c r="U394" s="1191"/>
      <c r="V394" s="1191">
        <f t="shared" si="178"/>
        <v>0</v>
      </c>
      <c r="W394" s="1191">
        <f t="shared" si="179"/>
        <v>10.170463031466067</v>
      </c>
      <c r="X394" s="1182" t="b">
        <f t="shared" si="180"/>
        <v>0</v>
      </c>
      <c r="Y394" s="1175"/>
      <c r="Z394" s="1175"/>
      <c r="AA394" s="1175"/>
      <c r="AB394" s="1396"/>
      <c r="AS394" s="1396"/>
    </row>
    <row r="395" spans="1:45" hidden="1">
      <c r="A395" s="212" t="s">
        <v>493</v>
      </c>
      <c r="C395" s="1164" t="str">
        <f t="shared" si="166"/>
        <v>bijeenkomst kinderdagverblijf</v>
      </c>
      <c r="E395" s="14"/>
      <c r="F395" s="1192">
        <f t="shared" si="167"/>
        <v>9.9640728305742385</v>
      </c>
      <c r="G395" s="1185">
        <f t="shared" si="168"/>
        <v>7.4271911215853379</v>
      </c>
      <c r="H395" s="1185">
        <f t="shared" si="169"/>
        <v>0.22221092604712483</v>
      </c>
      <c r="I395" s="1185"/>
      <c r="J395" s="1186">
        <f t="shared" si="170"/>
        <v>-7.0898962925994832E-2</v>
      </c>
      <c r="K395" s="1193">
        <f t="shared" si="171"/>
        <v>0.27297593164278977</v>
      </c>
      <c r="L395" s="1188"/>
      <c r="M395" s="1188">
        <f t="shared" si="172"/>
        <v>0</v>
      </c>
      <c r="N395" s="1194">
        <f t="shared" si="173"/>
        <v>0.27297593164278977</v>
      </c>
      <c r="O395" s="1188"/>
      <c r="P395" s="1190">
        <f t="shared" si="174"/>
        <v>9.0991977214263262E-2</v>
      </c>
      <c r="Q395" s="1191">
        <f t="shared" si="175"/>
        <v>-100871737766365.7</v>
      </c>
      <c r="R395" s="1191"/>
      <c r="S395" s="1191">
        <f t="shared" si="176"/>
        <v>-100871737766365.7</v>
      </c>
      <c r="T395" s="1191">
        <f t="shared" si="177"/>
        <v>0</v>
      </c>
      <c r="U395" s="1191"/>
      <c r="V395" s="1191">
        <f t="shared" si="178"/>
        <v>0</v>
      </c>
      <c r="W395" s="1191">
        <f t="shared" si="179"/>
        <v>10.158792810244515</v>
      </c>
      <c r="X395" s="1182" t="b">
        <f t="shared" si="180"/>
        <v>0</v>
      </c>
      <c r="Y395" s="1175"/>
      <c r="Z395" s="1175"/>
      <c r="AA395" s="1175"/>
      <c r="AB395" s="1396"/>
      <c r="AS395" s="1396"/>
    </row>
    <row r="396" spans="1:45" hidden="1">
      <c r="A396" s="212" t="s">
        <v>493</v>
      </c>
      <c r="C396" s="1164" t="str">
        <f t="shared" si="166"/>
        <v>onderwijs</v>
      </c>
      <c r="E396" s="14"/>
      <c r="F396" s="1192">
        <f t="shared" si="167"/>
        <v>9.9640728305742385</v>
      </c>
      <c r="G396" s="1185">
        <f t="shared" si="168"/>
        <v>4.4834429891712473</v>
      </c>
      <c r="H396" s="1185">
        <f t="shared" si="169"/>
        <v>1.0009891564366158E-2</v>
      </c>
      <c r="I396" s="1185"/>
      <c r="J396" s="1186">
        <f t="shared" si="170"/>
        <v>-0.11419096086163964</v>
      </c>
      <c r="K396" s="1193">
        <f t="shared" si="171"/>
        <v>4.1528903424034709E-2</v>
      </c>
      <c r="L396" s="1188"/>
      <c r="M396" s="1188" t="str">
        <f t="shared" si="172"/>
        <v/>
      </c>
      <c r="N396" s="1194" t="str">
        <f t="shared" si="173"/>
        <v/>
      </c>
      <c r="O396" s="1188"/>
      <c r="P396" s="1190" t="str">
        <f t="shared" si="174"/>
        <v/>
      </c>
      <c r="Q396" s="1191" t="str">
        <f t="shared" si="175"/>
        <v/>
      </c>
      <c r="R396" s="1191"/>
      <c r="S396" s="1191" t="str">
        <f t="shared" si="176"/>
        <v/>
      </c>
      <c r="T396" s="1191" t="str">
        <f t="shared" si="177"/>
        <v/>
      </c>
      <c r="U396" s="1191"/>
      <c r="V396" s="1191" t="str">
        <f t="shared" si="178"/>
        <v/>
      </c>
      <c r="W396" s="1191" t="str">
        <f t="shared" si="179"/>
        <v/>
      </c>
      <c r="X396" s="1182" t="b">
        <f t="shared" si="180"/>
        <v>1</v>
      </c>
      <c r="Y396" s="1175"/>
      <c r="Z396" s="1175"/>
      <c r="AA396" s="1175"/>
      <c r="AB396" s="1396"/>
      <c r="AS396" s="1396"/>
    </row>
    <row r="397" spans="1:45" hidden="1">
      <c r="A397" s="212" t="s">
        <v>493</v>
      </c>
      <c r="C397" s="1164" t="str">
        <f t="shared" si="166"/>
        <v>gezondheid overig</v>
      </c>
      <c r="E397" s="14"/>
      <c r="F397" s="1192">
        <f t="shared" si="167"/>
        <v>9.9640728305742385</v>
      </c>
      <c r="G397" s="1185">
        <f t="shared" si="168"/>
        <v>0</v>
      </c>
      <c r="H397" s="1185">
        <f t="shared" si="169"/>
        <v>-0.8488041379310346</v>
      </c>
      <c r="I397" s="1185"/>
      <c r="J397" s="1186">
        <f t="shared" si="170"/>
        <v>-0.60181801777160437</v>
      </c>
      <c r="K397" s="1193">
        <f t="shared" si="171"/>
        <v>-0.84282361534217631</v>
      </c>
      <c r="L397" s="1188"/>
      <c r="M397" s="1188" t="str">
        <f t="shared" si="172"/>
        <v/>
      </c>
      <c r="N397" s="1194" t="str">
        <f t="shared" si="173"/>
        <v/>
      </c>
      <c r="O397" s="1188"/>
      <c r="P397" s="1190" t="str">
        <f t="shared" si="174"/>
        <v/>
      </c>
      <c r="Q397" s="1191" t="str">
        <f t="shared" si="175"/>
        <v/>
      </c>
      <c r="R397" s="1191"/>
      <c r="S397" s="1191" t="str">
        <f t="shared" si="176"/>
        <v/>
      </c>
      <c r="T397" s="1191" t="str">
        <f t="shared" si="177"/>
        <v/>
      </c>
      <c r="U397" s="1191"/>
      <c r="V397" s="1191" t="str">
        <f t="shared" si="178"/>
        <v/>
      </c>
      <c r="W397" s="1191" t="str">
        <f t="shared" si="179"/>
        <v/>
      </c>
      <c r="X397" s="1182" t="b">
        <f t="shared" si="180"/>
        <v>1</v>
      </c>
      <c r="Y397" s="1175"/>
      <c r="Z397" s="1175"/>
      <c r="AA397" s="1175"/>
      <c r="AB397" s="1396"/>
      <c r="AS397" s="1396"/>
    </row>
    <row r="398" spans="1:45" hidden="1">
      <c r="A398" s="212" t="s">
        <v>493</v>
      </c>
      <c r="C398" s="1164" t="str">
        <f t="shared" si="166"/>
        <v>gezondheid bedgebied</v>
      </c>
      <c r="E398" s="14"/>
      <c r="F398" s="1192">
        <f t="shared" si="167"/>
        <v>9.9640728305742385</v>
      </c>
      <c r="G398" s="1185">
        <f t="shared" si="168"/>
        <v>0</v>
      </c>
      <c r="H398" s="1185">
        <f t="shared" si="169"/>
        <v>-1.0610051724137932</v>
      </c>
      <c r="I398" s="1185"/>
      <c r="J398" s="1186">
        <f t="shared" si="170"/>
        <v>-0.48145441421728352</v>
      </c>
      <c r="K398" s="1193">
        <f t="shared" si="171"/>
        <v>-1.0535295191777205</v>
      </c>
      <c r="L398" s="1188"/>
      <c r="M398" s="1188" t="str">
        <f t="shared" si="172"/>
        <v/>
      </c>
      <c r="N398" s="1194" t="str">
        <f t="shared" si="173"/>
        <v/>
      </c>
      <c r="O398" s="1188"/>
      <c r="P398" s="1190" t="str">
        <f t="shared" si="174"/>
        <v/>
      </c>
      <c r="Q398" s="1191" t="str">
        <f t="shared" si="175"/>
        <v/>
      </c>
      <c r="R398" s="1191"/>
      <c r="S398" s="1191" t="str">
        <f t="shared" si="176"/>
        <v/>
      </c>
      <c r="T398" s="1191" t="str">
        <f t="shared" si="177"/>
        <v/>
      </c>
      <c r="U398" s="1191"/>
      <c r="V398" s="1191" t="str">
        <f t="shared" si="178"/>
        <v/>
      </c>
      <c r="W398" s="1191" t="str">
        <f t="shared" si="179"/>
        <v/>
      </c>
      <c r="X398" s="1182" t="b">
        <f t="shared" si="180"/>
        <v>1</v>
      </c>
      <c r="Y398" s="1175"/>
      <c r="Z398" s="1175"/>
      <c r="AA398" s="1175"/>
      <c r="AB398" s="1396"/>
      <c r="AS398" s="1396"/>
    </row>
    <row r="399" spans="1:45" hidden="1">
      <c r="A399" s="212" t="s">
        <v>493</v>
      </c>
      <c r="C399" s="1164" t="str">
        <f t="shared" si="166"/>
        <v>winkel</v>
      </c>
      <c r="E399" s="14"/>
      <c r="F399" s="1192">
        <f t="shared" si="167"/>
        <v>9.9640728305742385</v>
      </c>
      <c r="G399" s="1185">
        <f t="shared" si="168"/>
        <v>8.6727219756132818</v>
      </c>
      <c r="H399" s="1185">
        <f t="shared" si="169"/>
        <v>-0.31109441289929285</v>
      </c>
      <c r="I399" s="1185"/>
      <c r="J399" s="1186">
        <f t="shared" si="170"/>
        <v>-5.6860648267385919E-2</v>
      </c>
      <c r="K399" s="1193">
        <f t="shared" si="171"/>
        <v>-0.24779604470728991</v>
      </c>
      <c r="L399" s="1188"/>
      <c r="M399" s="1188" t="str">
        <f t="shared" si="172"/>
        <v/>
      </c>
      <c r="N399" s="1194" t="str">
        <f t="shared" si="173"/>
        <v/>
      </c>
      <c r="O399" s="1188"/>
      <c r="P399" s="1190" t="str">
        <f t="shared" si="174"/>
        <v/>
      </c>
      <c r="Q399" s="1191" t="str">
        <f t="shared" si="175"/>
        <v/>
      </c>
      <c r="R399" s="1191"/>
      <c r="S399" s="1191" t="str">
        <f t="shared" si="176"/>
        <v/>
      </c>
      <c r="T399" s="1191" t="str">
        <f t="shared" si="177"/>
        <v/>
      </c>
      <c r="U399" s="1191"/>
      <c r="V399" s="1191" t="str">
        <f t="shared" si="178"/>
        <v/>
      </c>
      <c r="W399" s="1191" t="str">
        <f t="shared" si="179"/>
        <v/>
      </c>
      <c r="X399" s="1182" t="b">
        <f t="shared" si="180"/>
        <v>1</v>
      </c>
      <c r="Y399" s="1175"/>
      <c r="Z399" s="1175"/>
      <c r="AA399" s="1175"/>
      <c r="AB399" s="1396"/>
      <c r="AS399" s="1396"/>
    </row>
    <row r="400" spans="1:45" hidden="1">
      <c r="A400" s="212" t="s">
        <v>493</v>
      </c>
      <c r="C400" s="1164" t="str">
        <f t="shared" si="166"/>
        <v>sport</v>
      </c>
      <c r="E400" s="14"/>
      <c r="F400" s="1192">
        <f t="shared" si="167"/>
        <v>9.9640728305742385</v>
      </c>
      <c r="G400" s="1185">
        <f t="shared" si="168"/>
        <v>4.1479943547830072</v>
      </c>
      <c r="H400" s="1185">
        <f t="shared" si="169"/>
        <v>0.21295480603468026</v>
      </c>
      <c r="I400" s="1185"/>
      <c r="J400" s="1186">
        <f t="shared" si="170"/>
        <v>-0.12981460985023038</v>
      </c>
      <c r="K400" s="1193">
        <f t="shared" si="171"/>
        <v>0.24068039296066199</v>
      </c>
      <c r="L400" s="1188"/>
      <c r="M400" s="1188" t="str">
        <f t="shared" si="172"/>
        <v/>
      </c>
      <c r="N400" s="1194" t="str">
        <f t="shared" si="173"/>
        <v/>
      </c>
      <c r="O400" s="1188"/>
      <c r="P400" s="1190" t="str">
        <f t="shared" si="174"/>
        <v/>
      </c>
      <c r="Q400" s="1191" t="str">
        <f t="shared" si="175"/>
        <v/>
      </c>
      <c r="R400" s="1191"/>
      <c r="S400" s="1191" t="str">
        <f t="shared" si="176"/>
        <v/>
      </c>
      <c r="T400" s="1191" t="str">
        <f t="shared" si="177"/>
        <v/>
      </c>
      <c r="U400" s="1191"/>
      <c r="V400" s="1191" t="str">
        <f t="shared" si="178"/>
        <v/>
      </c>
      <c r="W400" s="1191" t="str">
        <f t="shared" si="179"/>
        <v/>
      </c>
      <c r="X400" s="1182" t="b">
        <f t="shared" si="180"/>
        <v>1</v>
      </c>
      <c r="Y400" s="1175"/>
      <c r="Z400" s="1175"/>
      <c r="AA400" s="1175"/>
      <c r="AB400" s="1396"/>
      <c r="AS400" s="1396"/>
    </row>
    <row r="401" spans="1:61" hidden="1">
      <c r="A401" s="212" t="s">
        <v>493</v>
      </c>
      <c r="C401" s="1164" t="str">
        <f t="shared" si="166"/>
        <v>logies in logiesgebouw</v>
      </c>
      <c r="E401" s="14"/>
      <c r="F401" s="1192">
        <f t="shared" si="167"/>
        <v>9.9640728305742385</v>
      </c>
      <c r="G401" s="1185">
        <f t="shared" si="168"/>
        <v>4.341846481628469</v>
      </c>
      <c r="H401" s="1185">
        <f t="shared" si="169"/>
        <v>-5.0641157782819524E-2</v>
      </c>
      <c r="I401" s="1185"/>
      <c r="J401" s="1186">
        <f t="shared" si="170"/>
        <v>-0.11629528998161395</v>
      </c>
      <c r="K401" s="1193">
        <f t="shared" si="171"/>
        <v>-1.9692473186616259E-2</v>
      </c>
      <c r="L401" s="1188"/>
      <c r="M401" s="1188" t="str">
        <f t="shared" si="172"/>
        <v/>
      </c>
      <c r="N401" s="1194" t="str">
        <f t="shared" si="173"/>
        <v/>
      </c>
      <c r="O401" s="1188"/>
      <c r="P401" s="1190" t="str">
        <f t="shared" si="174"/>
        <v/>
      </c>
      <c r="Q401" s="1191" t="str">
        <f t="shared" si="175"/>
        <v/>
      </c>
      <c r="R401" s="1191"/>
      <c r="S401" s="1191" t="str">
        <f t="shared" si="176"/>
        <v/>
      </c>
      <c r="T401" s="1191" t="str">
        <f t="shared" si="177"/>
        <v/>
      </c>
      <c r="U401" s="1191"/>
      <c r="V401" s="1191" t="str">
        <f t="shared" si="178"/>
        <v/>
      </c>
      <c r="W401" s="1191" t="str">
        <f t="shared" si="179"/>
        <v/>
      </c>
      <c r="X401" s="1182" t="b">
        <f t="shared" si="180"/>
        <v>1</v>
      </c>
      <c r="Y401" s="1175"/>
      <c r="Z401" s="1175"/>
      <c r="AA401" s="1175"/>
      <c r="AB401" s="1396"/>
      <c r="AS401" s="1396"/>
    </row>
    <row r="402" spans="1:61" hidden="1">
      <c r="A402" s="212" t="s">
        <v>493</v>
      </c>
      <c r="C402" s="1164" t="str">
        <f t="shared" si="166"/>
        <v>cel</v>
      </c>
      <c r="E402" s="14"/>
      <c r="F402" s="1195">
        <f t="shared" si="167"/>
        <v>9.9640728305742385</v>
      </c>
      <c r="G402" s="1185">
        <f t="shared" si="168"/>
        <v>0</v>
      </c>
      <c r="H402" s="1185">
        <f t="shared" si="169"/>
        <v>-0.53050258620689661</v>
      </c>
      <c r="I402" s="1185"/>
      <c r="J402" s="1186">
        <f t="shared" si="170"/>
        <v>-0.96290882843456704</v>
      </c>
      <c r="K402" s="1196">
        <f t="shared" si="171"/>
        <v>-0.52676475958886027</v>
      </c>
      <c r="L402" s="1188"/>
      <c r="M402" s="1188" t="str">
        <f t="shared" si="172"/>
        <v/>
      </c>
      <c r="N402" s="1197" t="str">
        <f t="shared" si="173"/>
        <v/>
      </c>
      <c r="O402" s="1188"/>
      <c r="P402" s="1190" t="str">
        <f t="shared" si="174"/>
        <v/>
      </c>
      <c r="Q402" s="1191" t="str">
        <f t="shared" si="175"/>
        <v/>
      </c>
      <c r="R402" s="1191"/>
      <c r="S402" s="1191" t="str">
        <f t="shared" si="176"/>
        <v/>
      </c>
      <c r="T402" s="1191" t="str">
        <f t="shared" si="177"/>
        <v/>
      </c>
      <c r="U402" s="1191"/>
      <c r="V402" s="1191" t="str">
        <f t="shared" si="178"/>
        <v/>
      </c>
      <c r="W402" s="1191" t="str">
        <f t="shared" si="179"/>
        <v/>
      </c>
      <c r="X402" s="1182" t="b">
        <f t="shared" si="180"/>
        <v>1</v>
      </c>
      <c r="Y402" s="1175"/>
      <c r="Z402" s="1175"/>
      <c r="AA402" s="1175"/>
      <c r="AB402" s="1396"/>
      <c r="AS402" s="1396"/>
    </row>
    <row r="403" spans="1:61" hidden="1">
      <c r="A403" s="212" t="s">
        <v>493</v>
      </c>
      <c r="C403" s="1164"/>
      <c r="E403" s="14"/>
      <c r="F403" s="1198"/>
      <c r="G403" s="1198"/>
      <c r="H403" s="1198"/>
      <c r="I403" s="1198"/>
      <c r="J403" s="1162"/>
      <c r="K403" s="982" t="s">
        <v>1523</v>
      </c>
      <c r="L403" s="1162"/>
      <c r="M403" s="1162"/>
      <c r="N403" s="1198"/>
      <c r="O403" s="1198"/>
      <c r="P403" s="1199"/>
      <c r="Q403" s="1198"/>
      <c r="R403" s="1198"/>
      <c r="S403" s="1198"/>
      <c r="T403" s="1198"/>
      <c r="U403" s="1198"/>
      <c r="V403" s="1198"/>
      <c r="W403" s="1198"/>
      <c r="X403" s="1175"/>
      <c r="Y403" s="1175"/>
      <c r="Z403" s="1175"/>
      <c r="AA403" s="1175"/>
      <c r="AB403" s="1396"/>
      <c r="AS403" s="1396"/>
    </row>
    <row r="404" spans="1:61" hidden="1">
      <c r="A404" s="212" t="s">
        <v>493</v>
      </c>
      <c r="C404" s="1164">
        <f>F287</f>
        <v>0</v>
      </c>
      <c r="E404" s="14"/>
      <c r="F404" s="1191">
        <f>M385</f>
        <v>9.9640728305742385</v>
      </c>
      <c r="G404" s="1185">
        <f>SUMPRODUCT(G391:G402,$M44:$M55)/$M$58</f>
        <v>5.605177903416422</v>
      </c>
      <c r="H404" s="1185">
        <f>SUMPRODUCT(H391:H402,$M44:$M55)/$M$58</f>
        <v>-3.9773319655195288E-2</v>
      </c>
      <c r="I404" s="1185"/>
      <c r="J404" s="1186">
        <f>(LN(6/10)/(G404-H404))</f>
        <v>-9.0492477893906853E-2</v>
      </c>
      <c r="K404" s="1225">
        <f>IFERROR(LN(F404/10)/J404+H404,0)</f>
        <v>-9.1593399531575415E-16</v>
      </c>
      <c r="L404" s="1188"/>
      <c r="M404" s="1188">
        <f>$J$272</f>
        <v>0</v>
      </c>
      <c r="N404" s="1191">
        <f>IFERROR(K404-M404,"")</f>
        <v>-9.1593399531575415E-16</v>
      </c>
      <c r="O404" s="1191"/>
      <c r="P404" s="1190">
        <f>SUM(P391:P402)</f>
        <v>-9.0205620750793969E-16</v>
      </c>
      <c r="Q404" s="1191">
        <f>SUM(Q391:Q402)</f>
        <v>1</v>
      </c>
      <c r="R404" s="1191"/>
      <c r="S404" s="1191" t="str">
        <f>IFERROR($N404/$J385*$K363,"")</f>
        <v/>
      </c>
      <c r="T404" s="1191">
        <f>IF(OR($M$58="",$M$58=0),"",SUMPRODUCT($G$227:$M$227,$G249:$M249)/($M$58/$M$58*$J$275))</f>
        <v>0</v>
      </c>
      <c r="U404" s="1191"/>
      <c r="V404" s="1191">
        <f>IF(M363="","",M404+T404)</f>
        <v>0</v>
      </c>
      <c r="W404" s="1191">
        <f>IFERROR(10*EXP(J404*(V404-H404)),"")</f>
        <v>9.9640728305742385</v>
      </c>
      <c r="X404" s="1175"/>
      <c r="Y404" s="1175"/>
      <c r="Z404" s="1175"/>
      <c r="AA404" s="1175"/>
      <c r="AB404" s="1396"/>
      <c r="AS404" s="1396"/>
    </row>
    <row r="405" spans="1:61" s="995" customFormat="1" hidden="1">
      <c r="A405" s="212" t="s">
        <v>493</v>
      </c>
      <c r="B405" s="943"/>
      <c r="C405" s="1092"/>
      <c r="D405" s="943"/>
      <c r="E405" s="14"/>
      <c r="F405" s="147"/>
      <c r="G405" s="14"/>
      <c r="H405" s="14"/>
      <c r="I405" s="14"/>
      <c r="J405" s="14"/>
      <c r="K405" s="14"/>
      <c r="L405" s="14"/>
      <c r="M405" s="14"/>
      <c r="N405" s="14"/>
      <c r="O405" s="14"/>
      <c r="P405" s="14"/>
      <c r="Q405" s="14"/>
      <c r="R405" s="14"/>
      <c r="S405" s="14"/>
      <c r="T405" s="14"/>
      <c r="U405" s="14"/>
      <c r="V405" s="14"/>
      <c r="W405" s="14"/>
      <c r="X405" s="14"/>
      <c r="Y405" s="14"/>
      <c r="Z405" s="14"/>
      <c r="AA405" s="14"/>
      <c r="AB405" s="16"/>
      <c r="AD405" s="1428"/>
      <c r="AE405" s="1406"/>
      <c r="AF405" s="1406"/>
      <c r="AG405" s="1406"/>
      <c r="AH405" s="1406"/>
      <c r="AI405" s="1406"/>
      <c r="AJ405" s="1406"/>
      <c r="AK405" s="1406"/>
      <c r="AL405" s="1407"/>
      <c r="AM405" s="1407"/>
      <c r="AS405" s="16"/>
    </row>
    <row r="406" spans="1:61" s="995" customFormat="1" hidden="1">
      <c r="A406" s="212" t="s">
        <v>493</v>
      </c>
      <c r="B406" s="943"/>
      <c r="C406" s="1092"/>
      <c r="D406" s="943"/>
      <c r="E406" s="14"/>
      <c r="F406" s="147"/>
      <c r="G406" s="14"/>
      <c r="H406" s="14"/>
      <c r="I406" s="14"/>
      <c r="J406" s="14"/>
      <c r="K406" s="14"/>
      <c r="L406" s="14"/>
      <c r="M406" s="14"/>
      <c r="N406" s="14"/>
      <c r="O406" s="14"/>
      <c r="P406" s="14"/>
      <c r="Q406" s="14"/>
      <c r="R406" s="14"/>
      <c r="S406" s="14"/>
      <c r="T406" s="14"/>
      <c r="U406" s="14"/>
      <c r="V406" s="14"/>
      <c r="W406" s="14"/>
      <c r="X406" s="14"/>
      <c r="Y406" s="14"/>
      <c r="Z406" s="14"/>
      <c r="AA406" s="14"/>
      <c r="AB406" s="16"/>
      <c r="AD406" s="1428"/>
      <c r="AE406" s="1406"/>
      <c r="AF406" s="1406"/>
      <c r="AG406" s="1406"/>
      <c r="AH406" s="1406"/>
      <c r="AI406" s="1406"/>
      <c r="AJ406" s="1406"/>
      <c r="AK406" s="1406"/>
      <c r="AL406" s="1407"/>
      <c r="AM406" s="1407"/>
      <c r="AS406" s="16"/>
    </row>
    <row r="407" spans="1:61" hidden="1">
      <c r="A407" s="212" t="s">
        <v>493</v>
      </c>
    </row>
    <row r="408" spans="1:61" hidden="1">
      <c r="A408" s="212" t="s">
        <v>493</v>
      </c>
    </row>
    <row r="409" spans="1:61" s="896" customFormat="1" ht="25.5" hidden="1" customHeight="1">
      <c r="A409" s="212" t="s">
        <v>493</v>
      </c>
      <c r="B409" s="943"/>
      <c r="C409" s="943"/>
      <c r="D409" s="943"/>
      <c r="E409" s="897"/>
      <c r="F409" s="893" t="s">
        <v>1690</v>
      </c>
      <c r="G409" s="912" t="str">
        <f>_xlfn.CONCAT(P24," | ",P25," | ",P26," | ",P27)</f>
        <v>GPR 4.4 | bestaande bouw | utiliteitsbouw | ISSO 75.3</v>
      </c>
      <c r="H409" s="913"/>
      <c r="I409" s="894"/>
      <c r="J409" s="912"/>
      <c r="K409" s="914"/>
      <c r="L409" s="895"/>
      <c r="M409" s="893"/>
      <c r="N409" s="893"/>
      <c r="O409" s="895"/>
      <c r="P409" s="895"/>
      <c r="Q409" s="893"/>
      <c r="R409" s="893"/>
      <c r="S409" s="893"/>
      <c r="T409" s="893"/>
      <c r="U409" s="893"/>
      <c r="V409" s="893"/>
      <c r="W409" s="893"/>
      <c r="X409" s="893"/>
      <c r="Y409" s="893"/>
      <c r="Z409" s="893"/>
      <c r="AA409" s="893"/>
      <c r="AB409" s="897"/>
      <c r="AC409" s="1381"/>
      <c r="AD409" s="1433"/>
      <c r="AE409" s="1381"/>
      <c r="AF409" s="1381"/>
      <c r="AG409" s="1381"/>
      <c r="AH409" s="1381"/>
      <c r="AI409" s="1381"/>
      <c r="AJ409" s="1381"/>
      <c r="AK409" s="1381"/>
      <c r="AL409" s="1381"/>
      <c r="AM409" s="1381"/>
      <c r="AN409" s="1381"/>
      <c r="AO409" s="1381"/>
      <c r="AP409" s="1381"/>
      <c r="AQ409" s="1381"/>
      <c r="AR409" s="1381"/>
      <c r="AS409" s="897"/>
      <c r="AT409" s="1381"/>
      <c r="AU409" s="893"/>
      <c r="AV409" s="893"/>
      <c r="AW409" s="893"/>
      <c r="AX409" s="893"/>
      <c r="AY409" s="893"/>
      <c r="AZ409" s="893"/>
      <c r="BA409" s="893"/>
      <c r="BB409" s="893"/>
      <c r="BC409" s="893"/>
      <c r="BD409" s="893"/>
      <c r="BE409" s="893"/>
      <c r="BF409" s="893"/>
      <c r="BG409" s="893"/>
      <c r="BH409" s="893"/>
      <c r="BI409" s="893"/>
    </row>
    <row r="410" spans="1:61" hidden="1" collapsed="1">
      <c r="A410" s="212" t="s">
        <v>493</v>
      </c>
      <c r="B410" s="943"/>
      <c r="C410" s="943"/>
      <c r="D410" s="943"/>
      <c r="E410" s="14"/>
      <c r="F410" s="13"/>
      <c r="G410" s="13"/>
      <c r="H410" s="13"/>
      <c r="I410" s="12"/>
      <c r="J410" s="39"/>
      <c r="K410" s="40"/>
      <c r="L410" s="39"/>
      <c r="M410" s="39"/>
      <c r="N410" s="39"/>
      <c r="O410" s="39"/>
      <c r="P410" s="39"/>
      <c r="Q410" s="39"/>
      <c r="R410" s="39"/>
      <c r="S410" s="39"/>
      <c r="T410" s="39"/>
      <c r="U410" s="39"/>
      <c r="V410" s="39"/>
      <c r="W410" s="39"/>
      <c r="X410" s="39"/>
      <c r="Y410" s="39"/>
      <c r="Z410" s="39"/>
      <c r="AA410" s="39"/>
      <c r="AB410" s="67"/>
      <c r="AC410" s="995"/>
      <c r="AD410" s="1428"/>
      <c r="AE410" s="1406"/>
      <c r="AF410" s="1406"/>
      <c r="AG410" s="1406"/>
      <c r="AH410" s="1406"/>
      <c r="AI410" s="1406"/>
      <c r="AJ410" s="1406"/>
      <c r="AK410" s="1406"/>
      <c r="AL410" s="1407"/>
      <c r="AM410" s="1407"/>
      <c r="AN410" s="995"/>
      <c r="AO410" s="995"/>
      <c r="AP410" s="995"/>
      <c r="AQ410" s="995"/>
      <c r="AR410" s="995"/>
      <c r="AS410" s="67"/>
      <c r="AT410" s="995"/>
      <c r="AU410" s="12"/>
      <c r="AV410" s="12"/>
      <c r="AW410" s="12"/>
      <c r="AX410" s="12"/>
      <c r="AY410" s="12"/>
      <c r="AZ410" s="12"/>
      <c r="BA410" s="12"/>
      <c r="BB410" s="12"/>
      <c r="BC410" s="12"/>
      <c r="BD410" s="40"/>
      <c r="BE410" s="40"/>
      <c r="BF410" s="13"/>
      <c r="BG410" s="13"/>
      <c r="BH410" s="13"/>
      <c r="BI410" s="14"/>
    </row>
    <row r="411" spans="1:61" hidden="1" collapsed="1">
      <c r="A411" s="212" t="s">
        <v>493</v>
      </c>
      <c r="B411" s="943"/>
      <c r="C411" s="943"/>
      <c r="D411" s="943"/>
      <c r="E411" s="14"/>
      <c r="F411" s="41" t="s">
        <v>1692</v>
      </c>
      <c r="G411" s="13"/>
      <c r="H411" s="13"/>
      <c r="I411" s="12"/>
      <c r="J411" s="39"/>
      <c r="K411" s="40"/>
      <c r="L411" s="39"/>
      <c r="M411" s="39"/>
      <c r="N411" s="39"/>
      <c r="O411" s="39"/>
      <c r="P411" s="39"/>
      <c r="Q411" s="39"/>
      <c r="R411" s="39"/>
      <c r="S411" s="39"/>
      <c r="T411" s="39"/>
      <c r="U411" s="39"/>
      <c r="V411" s="39"/>
      <c r="W411" s="39"/>
      <c r="X411" s="39"/>
      <c r="Y411" s="39"/>
      <c r="Z411" s="39"/>
      <c r="AA411" s="39"/>
      <c r="AB411" s="67"/>
      <c r="AC411" s="995"/>
      <c r="AD411" s="1428"/>
      <c r="AE411" s="1406"/>
      <c r="AF411" s="1406"/>
      <c r="AG411" s="1406"/>
      <c r="AH411" s="1406"/>
      <c r="AI411" s="1406"/>
      <c r="AJ411" s="1406"/>
      <c r="AK411" s="1406"/>
      <c r="AL411" s="1407"/>
      <c r="AM411" s="1407"/>
      <c r="AN411" s="995"/>
      <c r="AO411" s="995"/>
      <c r="AP411" s="995"/>
      <c r="AQ411" s="995"/>
      <c r="AR411" s="995"/>
      <c r="AS411" s="67"/>
      <c r="AT411" s="995"/>
      <c r="AU411" s="12"/>
      <c r="AV411" s="12"/>
      <c r="AW411" s="12"/>
      <c r="AX411" s="12"/>
      <c r="AY411" s="12"/>
      <c r="AZ411" s="12"/>
      <c r="BA411" s="12"/>
      <c r="BB411" s="12"/>
      <c r="BC411" s="12"/>
      <c r="BD411" s="40"/>
      <c r="BE411" s="40"/>
      <c r="BF411" s="13"/>
      <c r="BG411" s="13"/>
      <c r="BH411" s="13"/>
      <c r="BI411" s="14"/>
    </row>
    <row r="412" spans="1:61" hidden="1" collapsed="1">
      <c r="A412" s="212" t="s">
        <v>493</v>
      </c>
      <c r="B412" s="943"/>
      <c r="C412" s="943"/>
      <c r="D412" s="943"/>
      <c r="E412" s="14"/>
      <c r="F412" s="892" t="s">
        <v>458</v>
      </c>
      <c r="G412" s="892" t="s">
        <v>553</v>
      </c>
      <c r="H412" s="892"/>
      <c r="I412" s="892"/>
      <c r="J412" s="892" t="s">
        <v>1691</v>
      </c>
      <c r="K412" s="892"/>
      <c r="L412" s="892"/>
      <c r="M412" s="892" t="s">
        <v>375</v>
      </c>
      <c r="N412" s="892"/>
      <c r="O412" s="892"/>
      <c r="P412" s="892" t="s">
        <v>1693</v>
      </c>
      <c r="Q412" s="892"/>
      <c r="R412" s="892"/>
      <c r="S412" s="1373" t="s">
        <v>1694</v>
      </c>
      <c r="T412" s="1373" t="s">
        <v>1705</v>
      </c>
      <c r="U412" s="39"/>
      <c r="V412" s="39" t="s">
        <v>1533</v>
      </c>
      <c r="W412" s="39"/>
      <c r="X412" s="39"/>
      <c r="Y412" s="39"/>
      <c r="Z412" s="39"/>
      <c r="AA412" s="39"/>
      <c r="AB412" s="67"/>
      <c r="AC412" s="995"/>
      <c r="AD412" s="1428"/>
      <c r="AE412" s="1406"/>
      <c r="AF412" s="1406"/>
      <c r="AG412" s="1406"/>
      <c r="AH412" s="1406"/>
      <c r="AI412" s="1406"/>
      <c r="AJ412" s="1406"/>
      <c r="AK412" s="1406"/>
      <c r="AL412" s="1407"/>
      <c r="AM412" s="1407"/>
      <c r="AN412" s="995"/>
      <c r="AO412" s="995"/>
      <c r="AP412" s="995"/>
      <c r="AQ412" s="995"/>
      <c r="AR412" s="995"/>
      <c r="AS412" s="67"/>
      <c r="AT412" s="995"/>
      <c r="AU412" s="12"/>
      <c r="AV412" s="12"/>
      <c r="AW412" s="12"/>
      <c r="AX412" s="12"/>
      <c r="AY412" s="12"/>
      <c r="AZ412" s="12"/>
      <c r="BA412" s="12"/>
      <c r="BB412" s="12"/>
      <c r="BC412" s="12"/>
      <c r="BD412" s="40"/>
      <c r="BE412" s="40"/>
      <c r="BF412" s="13"/>
      <c r="BG412" s="13"/>
      <c r="BH412" s="13"/>
      <c r="BI412" s="14"/>
    </row>
    <row r="413" spans="1:61" hidden="1" collapsed="1">
      <c r="A413" s="212" t="s">
        <v>493</v>
      </c>
      <c r="B413" s="943"/>
      <c r="C413" s="943"/>
      <c r="D413" s="943"/>
      <c r="E413" s="14"/>
      <c r="F413" s="46" t="str">
        <f>J195</f>
        <v>aardgas</v>
      </c>
      <c r="G413" s="186">
        <f>INDEX(tabellen_EMD!$C$301:$R$306,MATCH($F413,tabellen_EMD!$C$301:$C$306,0),MATCH($P$24,tabellen_EMD!$C$301:$R$301,0))</f>
        <v>0.12266000000000001</v>
      </c>
      <c r="H413" s="1366" t="str">
        <f>INDEX(tabellen_EMD!$C$301:$R$306,MATCH($F413,tabellen_EMD!$C$301:$C$306,0),MATCH($P$24&amp;" | eenheid",tabellen_EMD!$C$301:$R$301,0))</f>
        <v>euro/m3</v>
      </c>
      <c r="I413" s="12"/>
      <c r="J413" s="1161">
        <f>W195</f>
        <v>0</v>
      </c>
      <c r="K413" s="1366" t="str">
        <f>X195</f>
        <v>m3</v>
      </c>
      <c r="L413" s="39"/>
      <c r="M413" s="1161">
        <f>M195</f>
        <v>0</v>
      </c>
      <c r="N413" s="1366" t="str">
        <f>N195</f>
        <v>MJ</v>
      </c>
      <c r="O413" s="39"/>
      <c r="P413" s="1369">
        <f>J413*G413/$J$275</f>
        <v>0</v>
      </c>
      <c r="Q413" s="1366" t="s">
        <v>440</v>
      </c>
      <c r="R413" s="39"/>
      <c r="S413" s="1367">
        <f>IFERROR(M413/$M$418,0%)</f>
        <v>0</v>
      </c>
      <c r="T413" s="1367">
        <f>IFERROR(P413/$P$418,0%)</f>
        <v>0</v>
      </c>
      <c r="U413" s="39"/>
      <c r="V413" s="1379">
        <v>30000</v>
      </c>
      <c r="W413" s="1366" t="str">
        <f>K413</f>
        <v>m3</v>
      </c>
      <c r="X413" s="39"/>
      <c r="Y413" s="39"/>
      <c r="Z413" s="39"/>
      <c r="AA413" s="39"/>
      <c r="AB413" s="67"/>
      <c r="AC413" s="995"/>
      <c r="AD413" s="1428"/>
      <c r="AE413" s="1406"/>
      <c r="AF413" s="1406"/>
      <c r="AG413" s="1406"/>
      <c r="AH413" s="1406"/>
      <c r="AI413" s="1406"/>
      <c r="AJ413" s="1406"/>
      <c r="AK413" s="1406"/>
      <c r="AL413" s="1407"/>
      <c r="AM413" s="1407"/>
      <c r="AN413" s="995"/>
      <c r="AO413" s="995"/>
      <c r="AP413" s="995"/>
      <c r="AQ413" s="995"/>
      <c r="AR413" s="995"/>
      <c r="AS413" s="67"/>
      <c r="AT413" s="995"/>
      <c r="AU413" s="12"/>
      <c r="AV413" s="12"/>
      <c r="AW413" s="12"/>
      <c r="AX413" s="12"/>
      <c r="AY413" s="12"/>
      <c r="AZ413" s="12"/>
      <c r="BA413" s="12"/>
      <c r="BB413" s="12"/>
      <c r="BC413" s="12"/>
      <c r="BD413" s="40"/>
      <c r="BE413" s="40"/>
      <c r="BF413" s="13"/>
      <c r="BG413" s="13"/>
      <c r="BH413" s="13"/>
      <c r="BI413" s="14"/>
    </row>
    <row r="414" spans="1:61" hidden="1" collapsed="1">
      <c r="A414" s="212" t="s">
        <v>493</v>
      </c>
      <c r="B414" s="943"/>
      <c r="C414" s="943"/>
      <c r="D414" s="943"/>
      <c r="E414" s="14"/>
      <c r="F414" s="46" t="str">
        <f>J196</f>
        <v>elektriciteit</v>
      </c>
      <c r="G414" s="186">
        <f>INDEX(tabellen_EMD!$C$301:$R$306,MATCH($F414,tabellen_EMD!$C$301:$C$306,0),MATCH($P$24,tabellen_EMD!$C$301:$R$301,0))</f>
        <v>3.6199000000000002E-2</v>
      </c>
      <c r="H414" s="1366" t="str">
        <f>INDEX(tabellen_EMD!$C$301:$R$306,MATCH($F414,tabellen_EMD!$C$301:$C$306,0),MATCH($P$24&amp;" | eenheid",tabellen_EMD!$C$301:$R$301,0))</f>
        <v>euro/kWh</v>
      </c>
      <c r="I414" s="12"/>
      <c r="J414" s="1161">
        <f t="shared" ref="J414:K417" si="181">W196</f>
        <v>0</v>
      </c>
      <c r="K414" s="1366" t="str">
        <f t="shared" si="181"/>
        <v>kWh</v>
      </c>
      <c r="L414" s="39"/>
      <c r="M414" s="1161">
        <f t="shared" ref="M414:N419" si="182">M196</f>
        <v>0</v>
      </c>
      <c r="N414" s="1366" t="str">
        <f t="shared" si="182"/>
        <v>MJ</v>
      </c>
      <c r="O414" s="39"/>
      <c r="P414" s="1369">
        <f>J414*G414/$J$275</f>
        <v>0</v>
      </c>
      <c r="Q414" s="1366" t="s">
        <v>440</v>
      </c>
      <c r="R414" s="39"/>
      <c r="S414" s="1367">
        <f t="shared" ref="S414:S417" si="183">IFERROR(M414/$M$418,0%)</f>
        <v>0</v>
      </c>
      <c r="T414" s="1367">
        <f t="shared" ref="T414:T417" si="184">IFERROR(P414/$P$418,0%)</f>
        <v>0</v>
      </c>
      <c r="U414" s="39"/>
      <c r="V414" s="1379">
        <v>20000</v>
      </c>
      <c r="W414" s="1366" t="str">
        <f t="shared" ref="W414:W417" si="185">K414</f>
        <v>kWh</v>
      </c>
      <c r="X414" s="39"/>
      <c r="Y414" s="39"/>
      <c r="Z414" s="39"/>
      <c r="AA414" s="39"/>
      <c r="AB414" s="67"/>
      <c r="AC414" s="995"/>
      <c r="AD414" s="1428"/>
      <c r="AE414" s="1406"/>
      <c r="AF414" s="1406"/>
      <c r="AG414" s="1406"/>
      <c r="AH414" s="1406"/>
      <c r="AI414" s="1406"/>
      <c r="AJ414" s="1406"/>
      <c r="AK414" s="1406"/>
      <c r="AL414" s="1407"/>
      <c r="AM414" s="1407"/>
      <c r="AN414" s="995"/>
      <c r="AO414" s="995"/>
      <c r="AP414" s="995"/>
      <c r="AQ414" s="995"/>
      <c r="AR414" s="995"/>
      <c r="AS414" s="67"/>
      <c r="AT414" s="995"/>
      <c r="AU414" s="12"/>
      <c r="AV414" s="12"/>
      <c r="AW414" s="12"/>
      <c r="AX414" s="12"/>
      <c r="AY414" s="12"/>
      <c r="AZ414" s="12"/>
      <c r="BA414" s="12"/>
      <c r="BB414" s="12"/>
      <c r="BC414" s="12"/>
      <c r="BD414" s="40"/>
      <c r="BE414" s="40"/>
      <c r="BF414" s="13"/>
      <c r="BG414" s="13"/>
      <c r="BH414" s="13"/>
      <c r="BI414" s="14"/>
    </row>
    <row r="415" spans="1:61" hidden="1" collapsed="1">
      <c r="A415" s="212" t="s">
        <v>493</v>
      </c>
      <c r="B415" s="943"/>
      <c r="C415" s="943"/>
      <c r="D415" s="943"/>
      <c r="E415" s="14"/>
      <c r="F415" s="46" t="str">
        <f>J197</f>
        <v>elektriciteit opgewekt</v>
      </c>
      <c r="G415" s="186">
        <f>INDEX(tabellen_EMD!$C$301:$R$306,MATCH($F415,tabellen_EMD!$C$301:$C$306,0),MATCH($P$24,tabellen_EMD!$C$301:$R$301,0))</f>
        <v>-3.6199000000000002E-2</v>
      </c>
      <c r="H415" s="1366" t="str">
        <f>INDEX(tabellen_EMD!$C$301:$R$306,MATCH($F415,tabellen_EMD!$C$301:$C$306,0),MATCH($P$24&amp;" | eenheid",tabellen_EMD!$C$301:$R$301,0))</f>
        <v>euro/kWh</v>
      </c>
      <c r="I415" s="12"/>
      <c r="J415" s="1161">
        <f t="shared" si="181"/>
        <v>0</v>
      </c>
      <c r="K415" s="1366" t="str">
        <f t="shared" si="181"/>
        <v>kWh</v>
      </c>
      <c r="L415" s="39"/>
      <c r="M415" s="1161">
        <f t="shared" si="182"/>
        <v>0</v>
      </c>
      <c r="N415" s="1366" t="str">
        <f t="shared" si="182"/>
        <v>MJ</v>
      </c>
      <c r="O415" s="39"/>
      <c r="P415" s="1369">
        <f>J415*G415/$J$275</f>
        <v>0</v>
      </c>
      <c r="Q415" s="1366" t="s">
        <v>440</v>
      </c>
      <c r="R415" s="39"/>
      <c r="S415" s="1367">
        <f t="shared" si="183"/>
        <v>0</v>
      </c>
      <c r="T415" s="1367">
        <f t="shared" si="184"/>
        <v>0</v>
      </c>
      <c r="U415" s="39"/>
      <c r="V415" s="1379"/>
      <c r="W415" s="1366" t="str">
        <f t="shared" si="185"/>
        <v>kWh</v>
      </c>
      <c r="X415" s="39"/>
      <c r="Y415" s="39"/>
      <c r="Z415" s="39"/>
      <c r="AA415" s="39"/>
      <c r="AB415" s="67"/>
      <c r="AC415" s="995"/>
      <c r="AD415" s="1428"/>
      <c r="AE415" s="1406"/>
      <c r="AF415" s="1406"/>
      <c r="AG415" s="1406"/>
      <c r="AH415" s="1406"/>
      <c r="AI415" s="1406"/>
      <c r="AJ415" s="1406"/>
      <c r="AK415" s="1406"/>
      <c r="AL415" s="1407"/>
      <c r="AM415" s="1407"/>
      <c r="AN415" s="995"/>
      <c r="AO415" s="995"/>
      <c r="AP415" s="995"/>
      <c r="AQ415" s="995"/>
      <c r="AR415" s="995"/>
      <c r="AS415" s="67"/>
      <c r="AT415" s="995"/>
      <c r="AU415" s="12"/>
      <c r="AV415" s="12"/>
      <c r="AW415" s="12"/>
      <c r="AX415" s="12"/>
      <c r="AY415" s="12"/>
      <c r="AZ415" s="12"/>
      <c r="BA415" s="12"/>
      <c r="BB415" s="12"/>
      <c r="BC415" s="12"/>
      <c r="BD415" s="40"/>
      <c r="BE415" s="40"/>
      <c r="BF415" s="13"/>
      <c r="BG415" s="13"/>
      <c r="BH415" s="13"/>
      <c r="BI415" s="14"/>
    </row>
    <row r="416" spans="1:61" hidden="1" collapsed="1">
      <c r="A416" s="212" t="s">
        <v>493</v>
      </c>
      <c r="B416" s="943"/>
      <c r="C416" s="943"/>
      <c r="D416" s="943"/>
      <c r="E416" s="14"/>
      <c r="F416" s="46" t="str">
        <f>J198</f>
        <v>externe warmte</v>
      </c>
      <c r="G416" s="186">
        <f>INDEX(tabellen_EMD!$C$301:$R$306,MATCH($F416,tabellen_EMD!$C$301:$C$306,0),MATCH($P$24,tabellen_EMD!$C$301:$R$301,0))</f>
        <v>5.2314472561842482</v>
      </c>
      <c r="H416" s="1366" t="str">
        <f>INDEX(tabellen_EMD!$C$301:$R$306,MATCH($F416,tabellen_EMD!$C$301:$C$306,0),MATCH($P$24&amp;" | eenheid",tabellen_EMD!$C$301:$R$301,0))</f>
        <v>euro/GJ</v>
      </c>
      <c r="I416" s="12"/>
      <c r="J416" s="1161">
        <f t="shared" si="181"/>
        <v>0</v>
      </c>
      <c r="K416" s="1366" t="str">
        <f t="shared" si="181"/>
        <v>GJ</v>
      </c>
      <c r="L416" s="39"/>
      <c r="M416" s="1161">
        <f t="shared" si="182"/>
        <v>0</v>
      </c>
      <c r="N416" s="1366" t="str">
        <f t="shared" si="182"/>
        <v>MJ</v>
      </c>
      <c r="O416" s="39"/>
      <c r="P416" s="1369">
        <f>J416*G416/$J$275</f>
        <v>0</v>
      </c>
      <c r="Q416" s="1366" t="s">
        <v>440</v>
      </c>
      <c r="R416" s="39"/>
      <c r="S416" s="1367">
        <f t="shared" si="183"/>
        <v>0</v>
      </c>
      <c r="T416" s="1367">
        <f t="shared" si="184"/>
        <v>0</v>
      </c>
      <c r="U416" s="39"/>
      <c r="V416" s="1379">
        <f>30000*35/1000/1.775</f>
        <v>591.54929577464793</v>
      </c>
      <c r="W416" s="1366" t="str">
        <f t="shared" si="185"/>
        <v>GJ</v>
      </c>
      <c r="X416" s="39"/>
      <c r="Y416" s="39"/>
      <c r="Z416" s="39"/>
      <c r="AA416" s="39"/>
      <c r="AB416" s="67"/>
      <c r="AC416" s="995"/>
      <c r="AD416" s="1428"/>
      <c r="AE416" s="1406"/>
      <c r="AF416" s="1406"/>
      <c r="AG416" s="1406"/>
      <c r="AH416" s="1406"/>
      <c r="AI416" s="1406"/>
      <c r="AJ416" s="1406"/>
      <c r="AK416" s="1406"/>
      <c r="AL416" s="1407"/>
      <c r="AM416" s="1407"/>
      <c r="AN416" s="995"/>
      <c r="AO416" s="995"/>
      <c r="AP416" s="995"/>
      <c r="AQ416" s="995"/>
      <c r="AR416" s="995"/>
      <c r="AS416" s="67"/>
      <c r="AT416" s="995"/>
      <c r="AU416" s="12"/>
      <c r="AV416" s="12"/>
      <c r="AW416" s="12"/>
      <c r="AX416" s="12"/>
      <c r="AY416" s="12"/>
      <c r="AZ416" s="12"/>
      <c r="BA416" s="12"/>
      <c r="BB416" s="12"/>
      <c r="BC416" s="12"/>
      <c r="BD416" s="40"/>
      <c r="BE416" s="40"/>
      <c r="BF416" s="13"/>
      <c r="BG416" s="13"/>
      <c r="BH416" s="13"/>
      <c r="BI416" s="14"/>
    </row>
    <row r="417" spans="1:61" hidden="1" collapsed="1">
      <c r="A417" s="212" t="s">
        <v>493</v>
      </c>
      <c r="B417" s="943"/>
      <c r="C417" s="943"/>
      <c r="D417" s="943"/>
      <c r="E417" s="14"/>
      <c r="F417" s="46" t="str">
        <f>J199</f>
        <v>hout / biomassa</v>
      </c>
      <c r="G417" s="186">
        <f>INDEX(tabellen_EMD!$C$301:$R$306,MATCH($F417,tabellen_EMD!$C$301:$C$306,0),MATCH($P$24,tabellen_EMD!$C$301:$R$301,0))</f>
        <v>7.2647999999999992E-3</v>
      </c>
      <c r="H417" s="1366" t="str">
        <f>INDEX(tabellen_EMD!$C$301:$R$306,MATCH($F417,tabellen_EMD!$C$301:$C$306,0),MATCH($P$24&amp;" | eenheid",tabellen_EMD!$C$301:$R$301,0))</f>
        <v>euro/kg</v>
      </c>
      <c r="I417" s="12"/>
      <c r="J417" s="1161">
        <f t="shared" si="181"/>
        <v>0</v>
      </c>
      <c r="K417" s="1366" t="str">
        <f t="shared" si="181"/>
        <v>MJ</v>
      </c>
      <c r="L417" s="39"/>
      <c r="M417" s="1161">
        <f t="shared" si="182"/>
        <v>0</v>
      </c>
      <c r="N417" s="1366" t="str">
        <f t="shared" si="182"/>
        <v>MJ</v>
      </c>
      <c r="O417" s="39"/>
      <c r="P417" s="1369">
        <f>J417*G417/$J$275</f>
        <v>0</v>
      </c>
      <c r="Q417" s="1366" t="s">
        <v>440</v>
      </c>
      <c r="R417" s="39"/>
      <c r="S417" s="1367">
        <f t="shared" si="183"/>
        <v>0</v>
      </c>
      <c r="T417" s="1367">
        <f t="shared" si="184"/>
        <v>0</v>
      </c>
      <c r="U417" s="39"/>
      <c r="V417" s="1379"/>
      <c r="W417" s="1366" t="str">
        <f t="shared" si="185"/>
        <v>MJ</v>
      </c>
      <c r="X417" s="39"/>
      <c r="Y417" s="39"/>
      <c r="Z417" s="39"/>
      <c r="AA417" s="39"/>
      <c r="AB417" s="67"/>
      <c r="AC417" s="995"/>
      <c r="AD417" s="1428"/>
      <c r="AE417" s="1406"/>
      <c r="AF417" s="1406"/>
      <c r="AG417" s="1406"/>
      <c r="AH417" s="1406"/>
      <c r="AI417" s="1406"/>
      <c r="AJ417" s="1406"/>
      <c r="AK417" s="1406"/>
      <c r="AL417" s="1407"/>
      <c r="AM417" s="1407"/>
      <c r="AN417" s="995"/>
      <c r="AO417" s="995"/>
      <c r="AP417" s="995"/>
      <c r="AQ417" s="995"/>
      <c r="AR417" s="995"/>
      <c r="AS417" s="67"/>
      <c r="AT417" s="995"/>
      <c r="AU417" s="12"/>
      <c r="AV417" s="12"/>
      <c r="AW417" s="12"/>
      <c r="AX417" s="12"/>
      <c r="AY417" s="12"/>
      <c r="AZ417" s="12"/>
      <c r="BA417" s="12"/>
      <c r="BB417" s="12"/>
      <c r="BC417" s="12"/>
      <c r="BD417" s="40"/>
      <c r="BE417" s="40"/>
      <c r="BF417" s="13"/>
      <c r="BG417" s="13"/>
      <c r="BH417" s="13"/>
      <c r="BI417" s="14"/>
    </row>
    <row r="418" spans="1:61" hidden="1" collapsed="1">
      <c r="A418" s="212" t="s">
        <v>493</v>
      </c>
      <c r="B418" s="943"/>
      <c r="C418" s="943"/>
      <c r="D418" s="943"/>
      <c r="E418" s="14"/>
      <c r="F418" s="13"/>
      <c r="G418" s="13"/>
      <c r="H418" s="13"/>
      <c r="I418" s="12"/>
      <c r="J418" s="39"/>
      <c r="K418" s="40"/>
      <c r="L418" s="39"/>
      <c r="M418" s="1371">
        <f t="shared" si="182"/>
        <v>0</v>
      </c>
      <c r="N418" s="39" t="str">
        <f t="shared" si="182"/>
        <v>MJ</v>
      </c>
      <c r="O418" s="39"/>
      <c r="P418" s="1370">
        <f>SUM(P413:P417)</f>
        <v>0</v>
      </c>
      <c r="Q418" s="39" t="s">
        <v>440</v>
      </c>
      <c r="R418" s="39"/>
      <c r="S418" s="1372">
        <f>SUM(S413:S417)</f>
        <v>0</v>
      </c>
      <c r="T418" s="1372">
        <f>SUM(T413:T417)</f>
        <v>0</v>
      </c>
      <c r="U418" s="39"/>
      <c r="V418" s="39"/>
      <c r="W418" s="39"/>
      <c r="X418" s="39"/>
      <c r="Y418" s="39"/>
      <c r="Z418" s="39"/>
      <c r="AA418" s="39"/>
      <c r="AB418" s="67"/>
      <c r="AC418" s="995"/>
      <c r="AD418" s="1428"/>
      <c r="AE418" s="1406"/>
      <c r="AF418" s="1406"/>
      <c r="AG418" s="1406"/>
      <c r="AH418" s="1406"/>
      <c r="AI418" s="1406"/>
      <c r="AJ418" s="1406"/>
      <c r="AK418" s="1406"/>
      <c r="AL418" s="1407"/>
      <c r="AM418" s="1407"/>
      <c r="AN418" s="995"/>
      <c r="AO418" s="995"/>
      <c r="AP418" s="995"/>
      <c r="AQ418" s="995"/>
      <c r="AR418" s="995"/>
      <c r="AS418" s="67"/>
      <c r="AT418" s="995"/>
      <c r="AU418" s="12"/>
      <c r="AV418" s="12"/>
      <c r="AW418" s="12"/>
      <c r="AX418" s="12"/>
      <c r="AY418" s="12"/>
      <c r="AZ418" s="12"/>
      <c r="BA418" s="12"/>
      <c r="BB418" s="12"/>
      <c r="BC418" s="12"/>
      <c r="BD418" s="40"/>
      <c r="BE418" s="40"/>
      <c r="BF418" s="13"/>
      <c r="BG418" s="13"/>
      <c r="BH418" s="13"/>
      <c r="BI418" s="14"/>
    </row>
    <row r="419" spans="1:61" hidden="1">
      <c r="A419" s="212" t="s">
        <v>493</v>
      </c>
      <c r="B419" s="943"/>
      <c r="C419" s="943"/>
      <c r="D419" s="943"/>
      <c r="E419" s="14"/>
      <c r="F419" s="13"/>
      <c r="G419" s="13"/>
      <c r="H419" s="13"/>
      <c r="I419" s="12"/>
      <c r="J419" s="39"/>
      <c r="K419" s="40"/>
      <c r="L419" s="39"/>
      <c r="M419" s="980">
        <f t="shared" si="182"/>
        <v>0</v>
      </c>
      <c r="N419" s="909" t="str">
        <f t="shared" si="182"/>
        <v>MJ/m2</v>
      </c>
      <c r="O419" s="39"/>
      <c r="P419" s="1368"/>
      <c r="Q419" s="39"/>
      <c r="R419" s="39"/>
      <c r="S419" s="1372"/>
      <c r="T419" s="1372"/>
      <c r="U419" s="39"/>
      <c r="V419" s="39"/>
      <c r="W419" s="39"/>
      <c r="X419" s="39"/>
      <c r="Y419" s="39"/>
      <c r="Z419" s="39"/>
      <c r="AA419" s="39"/>
      <c r="AB419" s="67"/>
      <c r="AC419" s="995"/>
      <c r="AD419" s="1428"/>
      <c r="AE419" s="1406"/>
      <c r="AF419" s="1406"/>
      <c r="AG419" s="1406"/>
      <c r="AH419" s="1406"/>
      <c r="AI419" s="1406"/>
      <c r="AJ419" s="1406"/>
      <c r="AK419" s="1406"/>
      <c r="AL419" s="1407"/>
      <c r="AM419" s="1407"/>
      <c r="AN419" s="995"/>
      <c r="AO419" s="995"/>
      <c r="AP419" s="995"/>
      <c r="AQ419" s="995"/>
      <c r="AR419" s="995"/>
      <c r="AS419" s="67"/>
      <c r="AT419" s="995"/>
      <c r="AU419" s="12"/>
      <c r="AV419" s="12"/>
      <c r="AW419" s="12"/>
      <c r="AX419" s="12"/>
      <c r="AY419" s="12"/>
      <c r="AZ419" s="12"/>
      <c r="BA419" s="12"/>
      <c r="BB419" s="12"/>
      <c r="BC419" s="12"/>
      <c r="BD419" s="40"/>
      <c r="BE419" s="40"/>
      <c r="BF419" s="13"/>
      <c r="BG419" s="13"/>
      <c r="BH419" s="13"/>
      <c r="BI419" s="14"/>
    </row>
    <row r="420" spans="1:61" hidden="1" collapsed="1">
      <c r="A420" s="212" t="s">
        <v>493</v>
      </c>
      <c r="B420" s="943"/>
      <c r="C420" s="943"/>
      <c r="D420" s="943"/>
      <c r="E420" s="14"/>
      <c r="F420" s="41" t="s">
        <v>1692</v>
      </c>
      <c r="G420" s="13"/>
      <c r="H420" s="13"/>
      <c r="I420" s="12"/>
      <c r="J420" s="39"/>
      <c r="K420" s="40"/>
      <c r="L420" s="39"/>
      <c r="M420" s="980"/>
      <c r="N420" s="909"/>
      <c r="O420" s="39"/>
      <c r="P420" s="39"/>
      <c r="Q420" s="39"/>
      <c r="R420" s="39"/>
      <c r="S420" s="39"/>
      <c r="T420" s="39"/>
      <c r="U420" s="39"/>
      <c r="V420" s="39"/>
      <c r="W420" s="39"/>
      <c r="X420" s="39"/>
      <c r="Y420" s="39"/>
      <c r="Z420" s="39"/>
      <c r="AA420" s="39"/>
      <c r="AB420" s="67"/>
      <c r="AC420" s="995"/>
      <c r="AD420" s="1428"/>
      <c r="AE420" s="1406"/>
      <c r="AF420" s="1406"/>
      <c r="AG420" s="1406"/>
      <c r="AH420" s="1406"/>
      <c r="AI420" s="1406"/>
      <c r="AJ420" s="1406"/>
      <c r="AK420" s="1406"/>
      <c r="AL420" s="1407"/>
      <c r="AM420" s="1407"/>
      <c r="AN420" s="995"/>
      <c r="AO420" s="995"/>
      <c r="AP420" s="995"/>
      <c r="AQ420" s="995"/>
      <c r="AR420" s="995"/>
      <c r="AS420" s="67"/>
      <c r="AT420" s="995"/>
      <c r="AU420" s="12"/>
      <c r="AV420" s="12"/>
      <c r="AW420" s="12"/>
      <c r="AX420" s="12"/>
      <c r="AY420" s="12"/>
      <c r="AZ420" s="12"/>
      <c r="BA420" s="12"/>
      <c r="BB420" s="12"/>
      <c r="BC420" s="12"/>
      <c r="BD420" s="40"/>
      <c r="BE420" s="40"/>
      <c r="BF420" s="13"/>
      <c r="BG420" s="13"/>
      <c r="BH420" s="13"/>
      <c r="BI420" s="14"/>
    </row>
    <row r="421" spans="1:61" hidden="1" collapsed="1">
      <c r="A421" s="212" t="s">
        <v>493</v>
      </c>
      <c r="B421" s="943"/>
      <c r="C421" s="943"/>
      <c r="D421" s="943"/>
      <c r="E421" s="14"/>
      <c r="F421" s="892" t="s">
        <v>434</v>
      </c>
      <c r="G421" s="892"/>
      <c r="H421" s="892"/>
      <c r="I421" s="892"/>
      <c r="J421" s="892"/>
      <c r="K421" s="892"/>
      <c r="L421" s="892"/>
      <c r="M421" s="892" t="s">
        <v>1698</v>
      </c>
      <c r="N421" s="892"/>
      <c r="O421" s="892"/>
      <c r="P421" s="892" t="s">
        <v>1693</v>
      </c>
      <c r="Q421" s="892"/>
      <c r="R421" s="892"/>
      <c r="S421" s="892" t="s">
        <v>1697</v>
      </c>
      <c r="T421" s="892"/>
      <c r="U421" s="39"/>
      <c r="V421" s="39"/>
      <c r="W421" s="39"/>
      <c r="X421" s="39"/>
      <c r="Y421" s="39"/>
      <c r="Z421" s="39"/>
      <c r="AA421" s="39"/>
      <c r="AB421" s="67"/>
      <c r="AC421" s="995"/>
      <c r="AD421" s="1428"/>
      <c r="AE421" s="1406"/>
      <c r="AF421" s="1406"/>
      <c r="AG421" s="1406"/>
      <c r="AH421" s="1406"/>
      <c r="AI421" s="1406"/>
      <c r="AJ421" s="1406"/>
      <c r="AK421" s="1406"/>
      <c r="AL421" s="1407"/>
      <c r="AM421" s="1407"/>
      <c r="AN421" s="995"/>
      <c r="AO421" s="995"/>
      <c r="AP421" s="995"/>
      <c r="AQ421" s="995"/>
      <c r="AR421" s="995"/>
      <c r="AS421" s="67"/>
      <c r="AT421" s="995"/>
      <c r="AU421" s="12"/>
      <c r="AV421" s="12"/>
      <c r="AW421" s="12"/>
      <c r="AX421" s="12"/>
      <c r="AY421" s="12"/>
      <c r="AZ421" s="12"/>
      <c r="BA421" s="12"/>
      <c r="BB421" s="12"/>
      <c r="BC421" s="12"/>
      <c r="BD421" s="40"/>
      <c r="BE421" s="40"/>
      <c r="BF421" s="13"/>
      <c r="BG421" s="13"/>
      <c r="BH421" s="13"/>
      <c r="BI421" s="14"/>
    </row>
    <row r="422" spans="1:61" hidden="1" collapsed="1">
      <c r="A422" s="212" t="s">
        <v>493</v>
      </c>
      <c r="B422" s="943"/>
      <c r="C422" s="943"/>
      <c r="D422" s="943"/>
      <c r="E422" s="14"/>
      <c r="F422" s="46" t="s">
        <v>1696</v>
      </c>
      <c r="G422" s="186"/>
      <c r="H422" s="1366"/>
      <c r="I422" s="12"/>
      <c r="J422" s="186"/>
      <c r="K422" s="218" t="s">
        <v>1699</v>
      </c>
      <c r="L422" s="39"/>
      <c r="M422" s="1369">
        <f>AG35</f>
        <v>9.2610555239266272</v>
      </c>
      <c r="N422" s="1366"/>
      <c r="O422" s="39"/>
      <c r="P422" s="1369">
        <f>P418</f>
        <v>0</v>
      </c>
      <c r="Q422" s="1366" t="s">
        <v>440</v>
      </c>
      <c r="R422" s="39"/>
      <c r="S422" s="1367">
        <f>IFERROR(P422/$P$424,0%)</f>
        <v>0</v>
      </c>
      <c r="T422" s="892"/>
      <c r="U422" s="39"/>
      <c r="V422" s="39"/>
      <c r="W422" s="39"/>
      <c r="X422" s="39"/>
      <c r="Y422" s="39"/>
      <c r="Z422" s="39"/>
      <c r="AA422" s="39"/>
      <c r="AB422" s="67"/>
      <c r="AC422" s="995"/>
      <c r="AD422" s="1428"/>
      <c r="AE422" s="1406"/>
      <c r="AF422" s="1406"/>
      <c r="AG422" s="1406"/>
      <c r="AH422" s="1406"/>
      <c r="AI422" s="1406"/>
      <c r="AJ422" s="1406"/>
      <c r="AK422" s="1406"/>
      <c r="AL422" s="1407"/>
      <c r="AM422" s="1407"/>
      <c r="AN422" s="995"/>
      <c r="AO422" s="995"/>
      <c r="AP422" s="995"/>
      <c r="AQ422" s="995"/>
      <c r="AR422" s="995"/>
      <c r="AS422" s="67"/>
      <c r="AT422" s="995"/>
      <c r="AU422" s="12"/>
      <c r="AV422" s="12"/>
      <c r="AW422" s="12"/>
      <c r="AX422" s="12"/>
      <c r="AY422" s="12"/>
      <c r="AZ422" s="12"/>
      <c r="BA422" s="12"/>
      <c r="BB422" s="12"/>
      <c r="BC422" s="12"/>
      <c r="BD422" s="40"/>
      <c r="BE422" s="40"/>
      <c r="BF422" s="13"/>
      <c r="BG422" s="13"/>
      <c r="BH422" s="13"/>
      <c r="BI422" s="14"/>
    </row>
    <row r="423" spans="1:61" hidden="1" collapsed="1">
      <c r="A423" s="212" t="s">
        <v>493</v>
      </c>
      <c r="B423" s="943"/>
      <c r="C423" s="943"/>
      <c r="D423" s="943"/>
      <c r="E423" s="14"/>
      <c r="F423" s="46" t="s">
        <v>1695</v>
      </c>
      <c r="G423" s="186"/>
      <c r="H423" s="1366"/>
      <c r="I423" s="12"/>
      <c r="J423" s="186"/>
      <c r="K423" s="218" t="s">
        <v>1700</v>
      </c>
      <c r="L423" s="39"/>
      <c r="M423" s="1369">
        <f>AH272</f>
        <v>0</v>
      </c>
      <c r="N423" s="1366"/>
      <c r="O423" s="39"/>
      <c r="P423" s="1369">
        <f>J272</f>
        <v>0</v>
      </c>
      <c r="Q423" s="1366" t="s">
        <v>440</v>
      </c>
      <c r="R423" s="39"/>
      <c r="S423" s="1367">
        <f t="shared" ref="S423:S424" si="186">IFERROR(P423/$P$424,0%)</f>
        <v>0</v>
      </c>
      <c r="T423" s="892"/>
      <c r="U423" s="39"/>
      <c r="V423" s="39"/>
      <c r="W423" s="39"/>
      <c r="X423" s="39"/>
      <c r="Y423" s="39"/>
      <c r="Z423" s="39"/>
      <c r="AA423" s="39"/>
      <c r="AB423" s="67"/>
      <c r="AC423" s="995"/>
      <c r="AD423" s="1428"/>
      <c r="AE423" s="1406"/>
      <c r="AF423" s="1406"/>
      <c r="AG423" s="1406"/>
      <c r="AH423" s="1406"/>
      <c r="AI423" s="1406"/>
      <c r="AJ423" s="1406"/>
      <c r="AK423" s="1406"/>
      <c r="AL423" s="1407"/>
      <c r="AM423" s="1407"/>
      <c r="AN423" s="995"/>
      <c r="AO423" s="995"/>
      <c r="AP423" s="995"/>
      <c r="AQ423" s="995"/>
      <c r="AR423" s="995"/>
      <c r="AS423" s="67"/>
      <c r="AT423" s="995"/>
      <c r="AU423" s="12"/>
      <c r="AV423" s="12"/>
      <c r="AW423" s="12"/>
      <c r="AX423" s="12"/>
      <c r="AY423" s="12"/>
      <c r="AZ423" s="12"/>
      <c r="BA423" s="12"/>
      <c r="BB423" s="12"/>
      <c r="BC423" s="12"/>
      <c r="BD423" s="40"/>
      <c r="BE423" s="40"/>
      <c r="BF423" s="13"/>
      <c r="BG423" s="13"/>
      <c r="BH423" s="13"/>
      <c r="BI423" s="14"/>
    </row>
    <row r="424" spans="1:61" hidden="1" collapsed="1">
      <c r="A424" s="212" t="s">
        <v>493</v>
      </c>
      <c r="B424" s="943"/>
      <c r="C424" s="943"/>
      <c r="D424" s="943"/>
      <c r="E424" s="14"/>
      <c r="F424" s="453" t="s">
        <v>1702</v>
      </c>
      <c r="G424" s="13"/>
      <c r="H424" s="13"/>
      <c r="I424" s="12"/>
      <c r="J424" s="39"/>
      <c r="K424" s="40" t="s">
        <v>1701</v>
      </c>
      <c r="L424" s="39"/>
      <c r="M424" s="1370">
        <f>AG220</f>
        <v>9.9640728305742385</v>
      </c>
      <c r="N424" s="39"/>
      <c r="O424" s="39"/>
      <c r="P424" s="1370">
        <f>SUM(P422:P423)</f>
        <v>0</v>
      </c>
      <c r="Q424" s="39" t="s">
        <v>440</v>
      </c>
      <c r="R424" s="39"/>
      <c r="S424" s="1372">
        <f t="shared" si="186"/>
        <v>0</v>
      </c>
      <c r="T424" s="892"/>
      <c r="U424" s="39"/>
      <c r="V424" s="39"/>
      <c r="W424" s="39"/>
      <c r="X424" s="39"/>
      <c r="Y424" s="39"/>
      <c r="Z424" s="39"/>
      <c r="AA424" s="39"/>
      <c r="AB424" s="67"/>
      <c r="AC424" s="995"/>
      <c r="AD424" s="1428"/>
      <c r="AE424" s="1406"/>
      <c r="AF424" s="1406"/>
      <c r="AG424" s="1406"/>
      <c r="AH424" s="1406"/>
      <c r="AI424" s="1406"/>
      <c r="AJ424" s="1406"/>
      <c r="AK424" s="1406"/>
      <c r="AL424" s="1407"/>
      <c r="AM424" s="1407"/>
      <c r="AN424" s="995"/>
      <c r="AO424" s="995"/>
      <c r="AP424" s="995"/>
      <c r="AQ424" s="995"/>
      <c r="AR424" s="995"/>
      <c r="AS424" s="67"/>
      <c r="AT424" s="995"/>
      <c r="AU424" s="12"/>
      <c r="AV424" s="12"/>
      <c r="AW424" s="12"/>
      <c r="AX424" s="12"/>
      <c r="AY424" s="12"/>
      <c r="AZ424" s="12"/>
      <c r="BA424" s="12"/>
      <c r="BB424" s="12"/>
      <c r="BC424" s="12"/>
      <c r="BD424" s="40"/>
      <c r="BE424" s="40"/>
      <c r="BF424" s="13"/>
      <c r="BG424" s="13"/>
      <c r="BH424" s="13"/>
      <c r="BI424" s="14"/>
    </row>
  </sheetData>
  <sheetProtection sheet="1" objects="1" scenarios="1" formatRows="0"/>
  <autoFilter ref="B62:C221" xr:uid="{922B2D3A-1A8F-4D90-80AB-155C85D1CC9C}">
    <filterColumn colId="1">
      <filters>
        <filter val="ISSO 75.3"/>
      </filters>
    </filterColumn>
  </autoFilter>
  <mergeCells count="105">
    <mergeCell ref="E3:F3"/>
    <mergeCell ref="G22:K22"/>
    <mergeCell ref="P22:Q22"/>
    <mergeCell ref="G23:K23"/>
    <mergeCell ref="P23:Q23"/>
    <mergeCell ref="G24:K24"/>
    <mergeCell ref="P24:Q24"/>
    <mergeCell ref="J65:K65"/>
    <mergeCell ref="J66:K66"/>
    <mergeCell ref="J67:K67"/>
    <mergeCell ref="J68:K68"/>
    <mergeCell ref="J69:K69"/>
    <mergeCell ref="J70:K70"/>
    <mergeCell ref="G25:K25"/>
    <mergeCell ref="P25:Q25"/>
    <mergeCell ref="G26:K26"/>
    <mergeCell ref="P26:Q26"/>
    <mergeCell ref="G27:K27"/>
    <mergeCell ref="P27:Q27"/>
    <mergeCell ref="J82:K82"/>
    <mergeCell ref="J88:K88"/>
    <mergeCell ref="J89:K89"/>
    <mergeCell ref="J90:K90"/>
    <mergeCell ref="J91:K91"/>
    <mergeCell ref="J92:K92"/>
    <mergeCell ref="J71:K71"/>
    <mergeCell ref="J72:K72"/>
    <mergeCell ref="J73:K73"/>
    <mergeCell ref="J74:K74"/>
    <mergeCell ref="J80:K80"/>
    <mergeCell ref="J81:K81"/>
    <mergeCell ref="J100:K100"/>
    <mergeCell ref="J102:K102"/>
    <mergeCell ref="J103:K103"/>
    <mergeCell ref="J109:K109"/>
    <mergeCell ref="J110:K110"/>
    <mergeCell ref="J111:K111"/>
    <mergeCell ref="J93:K93"/>
    <mergeCell ref="J94:K94"/>
    <mergeCell ref="J95:K95"/>
    <mergeCell ref="J96:K96"/>
    <mergeCell ref="J97:K97"/>
    <mergeCell ref="J98:K98"/>
    <mergeCell ref="J118:K118"/>
    <mergeCell ref="J119:K119"/>
    <mergeCell ref="J120:K120"/>
    <mergeCell ref="J126:K126"/>
    <mergeCell ref="J128:K128"/>
    <mergeCell ref="J129:K129"/>
    <mergeCell ref="J112:K112"/>
    <mergeCell ref="J113:K113"/>
    <mergeCell ref="J114:K114"/>
    <mergeCell ref="J115:K115"/>
    <mergeCell ref="J116:K116"/>
    <mergeCell ref="J117:K117"/>
    <mergeCell ref="J141:K141"/>
    <mergeCell ref="J142:K142"/>
    <mergeCell ref="J143:K143"/>
    <mergeCell ref="J144:K144"/>
    <mergeCell ref="J145:K145"/>
    <mergeCell ref="J146:K146"/>
    <mergeCell ref="J130:K130"/>
    <mergeCell ref="J131:K131"/>
    <mergeCell ref="J132:K132"/>
    <mergeCell ref="J138:K138"/>
    <mergeCell ref="J139:K139"/>
    <mergeCell ref="J140:K140"/>
    <mergeCell ref="J158:K158"/>
    <mergeCell ref="J159:K159"/>
    <mergeCell ref="J160:K160"/>
    <mergeCell ref="J161:K161"/>
    <mergeCell ref="J163:K163"/>
    <mergeCell ref="J164:K164"/>
    <mergeCell ref="J147:K147"/>
    <mergeCell ref="J153:K153"/>
    <mergeCell ref="J154:K154"/>
    <mergeCell ref="J155:K155"/>
    <mergeCell ref="J156:K156"/>
    <mergeCell ref="J157:K157"/>
    <mergeCell ref="J177:K177"/>
    <mergeCell ref="J183:K183"/>
    <mergeCell ref="J184:K184"/>
    <mergeCell ref="J185:K185"/>
    <mergeCell ref="J186:K186"/>
    <mergeCell ref="J187:K187"/>
    <mergeCell ref="J165:K165"/>
    <mergeCell ref="J171:K171"/>
    <mergeCell ref="J173:K173"/>
    <mergeCell ref="J174:K174"/>
    <mergeCell ref="J175:K175"/>
    <mergeCell ref="J176:K176"/>
    <mergeCell ref="L306:M306"/>
    <mergeCell ref="Y306:Z306"/>
    <mergeCell ref="J199:K199"/>
    <mergeCell ref="AE222:AE223"/>
    <mergeCell ref="AG222:AH223"/>
    <mergeCell ref="AJ222:AL223"/>
    <mergeCell ref="AN222:AP223"/>
    <mergeCell ref="AG273:AH273"/>
    <mergeCell ref="J188:K188"/>
    <mergeCell ref="J189:K189"/>
    <mergeCell ref="J195:K195"/>
    <mergeCell ref="J196:K196"/>
    <mergeCell ref="J197:K197"/>
    <mergeCell ref="J198:K198"/>
  </mergeCells>
  <conditionalFormatting sqref="A63:AC180 AS4:AS28 AS63:BI180">
    <cfRule type="expression" dxfId="205" priority="15">
      <formula>$B4&lt;&gt;$P$23</formula>
    </cfRule>
  </conditionalFormatting>
  <conditionalFormatting sqref="B33:K34">
    <cfRule type="expression" dxfId="204" priority="12">
      <formula>$C33&lt;&gt;$C$35</formula>
    </cfRule>
  </conditionalFormatting>
  <conditionalFormatting sqref="F36:H36">
    <cfRule type="expression" dxfId="203" priority="1">
      <formula>$C36&lt;&gt;$P$22</formula>
    </cfRule>
  </conditionalFormatting>
  <conditionalFormatting sqref="G209:H220 J209:K220 G236:H247 J236:K247 M236:M247">
    <cfRule type="expression" dxfId="202" priority="20">
      <formula>G209&lt;&gt;""</formula>
    </cfRule>
  </conditionalFormatting>
  <conditionalFormatting sqref="G256:H267 J256:K267 G269:H269 J269:K269">
    <cfRule type="expression" dxfId="201" priority="18">
      <formula>G256&lt;&gt;""</formula>
    </cfRule>
  </conditionalFormatting>
  <conditionalFormatting sqref="J76 M76 X76 Z76 J84 M84 X84 Z84 J105 M105 X105 Z105 J122 M122 X122 Z122 J134 M134 X134 Z134 J149 M149 X149 Z149 J167 M167 X167 Z167 J179 M179 X179 Z179 J191 M191 X191 Z191 J201 M201 X201 Z201">
    <cfRule type="expression" dxfId="200" priority="23">
      <formula>AND(J76=FALSE,$B76=$P$23)</formula>
    </cfRule>
  </conditionalFormatting>
  <conditionalFormatting sqref="J307:J318 P307:P318 S307:S318 AA307:AA318 P320 S320 AA320">
    <cfRule type="expression" dxfId="199" priority="22">
      <formula>J307&lt;&gt;$J$320</formula>
    </cfRule>
  </conditionalFormatting>
  <conditionalFormatting sqref="J329:J340 Q329:Q340">
    <cfRule type="expression" dxfId="198" priority="26">
      <formula>AND($J44&lt;&gt;"",$J44&gt;0)</formula>
    </cfRule>
  </conditionalFormatting>
  <conditionalFormatting sqref="K320:L320">
    <cfRule type="expression" dxfId="197" priority="21">
      <formula>K320&lt;&gt;$J$35</formula>
    </cfRule>
  </conditionalFormatting>
  <conditionalFormatting sqref="M44:M55 P44:P55 S44:S55">
    <cfRule type="expression" dxfId="196" priority="24">
      <formula>AND($J44&lt;&gt;"",$J44&gt;0,M44&lt;&gt;"")</formula>
    </cfRule>
  </conditionalFormatting>
  <conditionalFormatting sqref="M372:M383">
    <cfRule type="expression" dxfId="195" priority="30">
      <formula>M372&lt;&gt;$AG$220</formula>
    </cfRule>
  </conditionalFormatting>
  <conditionalFormatting sqref="M209:N220">
    <cfRule type="expression" dxfId="194" priority="19">
      <formula>M209&lt;&gt;""</formula>
    </cfRule>
  </conditionalFormatting>
  <conditionalFormatting sqref="M256:N267 M269:N269">
    <cfRule type="expression" dxfId="193" priority="17">
      <formula>M256&lt;&gt;""</formula>
    </cfRule>
  </conditionalFormatting>
  <conditionalFormatting sqref="M350:N361">
    <cfRule type="expression" dxfId="192" priority="25">
      <formula>AND($J44&lt;&gt;"",$J44&gt;0)</formula>
    </cfRule>
  </conditionalFormatting>
  <conditionalFormatting sqref="P23">
    <cfRule type="expression" dxfId="191" priority="31">
      <formula>ISERROR(MATCH($P$23,$AV$52:$AV$55,0)=TRUE)</formula>
    </cfRule>
  </conditionalFormatting>
  <conditionalFormatting sqref="P24">
    <cfRule type="expression" dxfId="190" priority="7">
      <formula>ISERROR(MATCH(P24,GPR_Versies,0))=TRUE</formula>
    </cfRule>
  </conditionalFormatting>
  <conditionalFormatting sqref="P25">
    <cfRule type="expression" dxfId="189" priority="9">
      <formula>ISERROR(MATCH(P25,GPR_scope,0))=TRUE</formula>
    </cfRule>
  </conditionalFormatting>
  <conditionalFormatting sqref="P26">
    <cfRule type="expression" dxfId="188" priority="10">
      <formula>AND(P26&lt;&gt;"",ISERROR(MATCH(P26,GPR_scope_W_U,0))=TRUE)</formula>
    </cfRule>
  </conditionalFormatting>
  <conditionalFormatting sqref="P27">
    <cfRule type="expression" dxfId="187" priority="27">
      <formula>ISERROR(MATCH(P27,$AZ$33:$AZ$35,0))=TRUE</formula>
    </cfRule>
  </conditionalFormatting>
  <conditionalFormatting sqref="P65:P67 V65:V67 V82 P88 V88 P90 V90 P92 V92 P109 V109 P111 V111 P113 V113 P130:P132 V130:V132 P139:P141 V139:V141 P153 V153 P155 V155 P157 V157 P175:P177 V176:V177">
    <cfRule type="expression" dxfId="186" priority="3">
      <formula>$BA65&lt;&gt;1</formula>
    </cfRule>
  </conditionalFormatting>
  <conditionalFormatting sqref="P65:P67 V65:V67 V82 P88 V88 P90 V90 P92 V92 P109 V109 P111 V111:V113 P113 P130:P132 V130:V132 P139:P141 V139:V141 P153 V153 P155 V155 P157 V157 P175:P177 V176:V177">
    <cfRule type="expression" dxfId="185" priority="16">
      <formula>$BA65=1</formula>
    </cfRule>
  </conditionalFormatting>
  <conditionalFormatting sqref="P209:Q220 S209:T220">
    <cfRule type="expression" dxfId="184" priority="5">
      <formula>P209&lt;&gt;""</formula>
    </cfRule>
  </conditionalFormatting>
  <conditionalFormatting sqref="R23">
    <cfRule type="expression" dxfId="183" priority="29">
      <formula>ISERROR(MATCH(P23,$AV$52:$AV$55,0))=TRUE</formula>
    </cfRule>
  </conditionalFormatting>
  <conditionalFormatting sqref="R24">
    <cfRule type="expression" dxfId="182" priority="8">
      <formula>ISERROR(MATCH(P24,GPR_Versies,0))=TRUE</formula>
    </cfRule>
  </conditionalFormatting>
  <conditionalFormatting sqref="R27">
    <cfRule type="expression" dxfId="181" priority="28">
      <formula>ISERROR(MATCH(P27,$AZ$33:$AZ$35,0))=TRUE</formula>
    </cfRule>
  </conditionalFormatting>
  <conditionalFormatting sqref="V209:W220">
    <cfRule type="expression" dxfId="180" priority="4">
      <formula>V209&lt;&gt;""</formula>
    </cfRule>
  </conditionalFormatting>
  <conditionalFormatting sqref="AE273:AH274">
    <cfRule type="expression" dxfId="179" priority="11">
      <formula>$P$24=GPR4.3</formula>
    </cfRule>
  </conditionalFormatting>
  <conditionalFormatting sqref="AG273">
    <cfRule type="expression" dxfId="178" priority="14">
      <formula>AND(AG273&lt;&gt;"",ISERROR(MATCH(AG273,Gebruiksfuncties,0))=TRUE)</formula>
    </cfRule>
  </conditionalFormatting>
  <conditionalFormatting sqref="AG43:AH43">
    <cfRule type="expression" dxfId="177" priority="13">
      <formula>$J43=0</formula>
    </cfRule>
  </conditionalFormatting>
  <conditionalFormatting sqref="AJ43">
    <cfRule type="expression" dxfId="176" priority="2">
      <formula>$J43=0</formula>
    </cfRule>
  </conditionalFormatting>
  <conditionalFormatting sqref="AS30:AS56">
    <cfRule type="expression" dxfId="175" priority="6">
      <formula>$B30&lt;&gt;$P$23</formula>
    </cfRule>
  </conditionalFormatting>
  <dataValidations count="47">
    <dataValidation allowBlank="1" showInputMessage="1" showErrorMessage="1" promptTitle="EP2-eisen Bbl" prompt="EP2-eisen gelden per 1-1-2021 en per gebruiksfunctie. Voor een gebouw is de eis het naar gebruiksoppervlakte gewogen gemiddelde van de eis per functie._x000a__x000a_https://wetten.overheid.nl/BWBR0041297/2024-01-01/0#Hoofdstuk4_Afdeling4.4_Paragraaf4.4.1. _x000a_" sqref="A36" xr:uid="{B3625D88-1E54-46E4-A539-5208D93F2DBC}"/>
    <dataValidation allowBlank="1" showInputMessage="1" showErrorMessage="1" promptTitle="EP2-eisen Bbl" prompt="Zie https://wetten.overheid.nl/BWBR0041297/2024-01-01/0#Hoofdstuk4_Afdeling4.4_Paragraaf4.4.1" sqref="AK43" xr:uid="{B718E750-9243-4FBD-8742-A6340E5F9657}"/>
    <dataValidation type="list" allowBlank="1" showInputMessage="1" showErrorMessage="1" sqref="P26:Q26" xr:uid="{689975D5-D9EA-4616-80BE-C75E539940AC}">
      <formula1>_xlfn.ANCHORARRAY(GPR_scope_W_U_keuzelijst)</formula1>
    </dataValidation>
    <dataValidation type="list" allowBlank="1" showInputMessage="1" showErrorMessage="1" sqref="P25:Q25" xr:uid="{2C4378A3-2E59-47D5-82CF-9E94DF4294F0}">
      <formula1>_xlfn.ANCHORARRAY(GPR_scope_keuzelijst)</formula1>
    </dataValidation>
    <dataValidation type="list" allowBlank="1" showInputMessage="1" showErrorMessage="1" sqref="P24:Q24" xr:uid="{816E37FD-AC04-43B1-BFF9-B0DD2BD70B3E}">
      <formula1>_xlfn.ANCHORARRAY(GPR_versie_keuzelijst)</formula1>
    </dataValidation>
    <dataValidation allowBlank="1" showInputMessage="1" showErrorMessage="1" promptTitle="Versie GPR Gebouw" prompt="Kies een versie van GPR Gebouw. De keuze heeft gevolgen voor de inijking (verband tussen berekend energiegebruik en score in GPR ). Ook wordt hiermee bepaald wat de mogelijke 'uitvoer' is van deze rekensheet, aansluitend bij de mogelijkheden in GPR Gebouw" sqref="L24" xr:uid="{A183DF8C-A0A6-40DF-8A4C-8DC46F85A4A0}"/>
    <dataValidation allowBlank="1" showInputMessage="1" showErrorMessage="1" promptTitle="Bepalingsmethode" prompt="Kies hier met welke bepalingsmethode de EP-berekening is gemaakt. Keuze voor de methode heeft gevolgen voor de inijking van de score (het verband tussen berekend energiegebruik en de score in GPR Gebouw). " sqref="L22" xr:uid="{8E7622C1-96DC-40FE-83C0-CEF3BDD4D27E}"/>
    <dataValidation type="list" allowBlank="1" showInputMessage="1" showErrorMessage="1" sqref="P23:Q23" xr:uid="{314AE994-6988-4DD5-8479-17F0159FD9E3}">
      <formula1>_xlfn.ANCHORARRAY($AV$52)</formula1>
    </dataValidation>
    <dataValidation type="list" allowBlank="1" showInputMessage="1" showErrorMessage="1" sqref="P27:Q27" xr:uid="{FDE530DF-D354-44EA-BFBF-989FBCEBA82B}">
      <formula1>_xlfn.ANCHORARRAY($AZ$33)</formula1>
    </dataValidation>
    <dataValidation allowBlank="1" showInputMessage="1" showErrorMessage="1" promptTitle="Primair energiegebruik" prompt="Neem het berekend primair energiegebruik uit de energieprestatieberekening hier over. Let op: Er is geen automatische koppeling met de hieronder in te voeren niet-primaire gebruiken / meterstanden tbv de DPG/Klimaatmonitor._x000a_" sqref="A33" xr:uid="{562EA038-C02B-4A38-92E2-49590C4617B8}"/>
    <dataValidation allowBlank="1" showInputMessage="1" showErrorMessage="1" promptTitle="Oppervlakte" prompt="Voor EP2 en CO2 is dit gebruiksoppervlakte (Ag of GO), voor MPG en DPG is dit bruto vloeroppervlakte (BVO)" sqref="AD39 AD233:AD256 AD208:AD209 AE233:AR255 AD225:AE225 AD274 AD272 AD227:AR230" xr:uid="{15F923C7-5F9E-4739-9106-C94600B651E7}"/>
    <dataValidation allowBlank="1" showInputMessage="1" showErrorMessage="1" promptTitle="MPG - klimaatverandering" prompt="Resultaat van het milieueffect 'klimaatverandering'/ 'global warming potential' overnemen uit een MPG-berekening. " sqref="A274:A275" xr:uid="{C1D33AB2-5C9A-4F0E-8C11-180B532AD33F}"/>
    <dataValidation allowBlank="1" showInputMessage="1" showErrorMessage="1" promptTitle="Duurzaamheidsprestatie Gebouw" prompt="De DuurzaamheidsPrestatie Gebouw (DPG) is een integrale evaluatie van de energieprestatie (subthema 1.1) en milieuprestatie (subthema 2.1/2.1.1). Hiertoe zijn op zowel het energie- als het materiaalgebruik de levensloopbeoordeling (LCA) toegepast." sqref="AD212 AD259" xr:uid="{4775E571-30E9-4401-BF95-9B1D0F801F31}"/>
    <dataValidation allowBlank="1" showInputMessage="1" showErrorMessage="1" promptTitle="DPG-index" prompt="De DPG-index is de som van de mileu-effecten (in euro/m2 BVO) van energie-gebruik (EP2*) en materiaal-gebruik (MPG)." sqref="AD218 AD265" xr:uid="{1A9BE228-4841-4108-9029-2492CEB137CD}"/>
    <dataValidation allowBlank="1" showInputMessage="1" showErrorMessage="1" promptTitle="Grenswaarde DPG = 10" prompt="Grenswaarde wordt bepaald door het energie- en materiaalgebruik bij GPR score van 10 op de subthema's energieprestatie en materiaalprestatie." sqref="AD214 AD261" xr:uid="{673BEC5B-3C75-4DA4-B305-119E1187397E}"/>
    <dataValidation allowBlank="1" showInputMessage="1" showErrorMessage="1" promptTitle="Grenswaarde DPG = 6" prompt="Grenswaarde wordt bepaald door het energie- en materiaalgebruik bij GPR score van 6 op de subthema's energieprestatie en materiaalprestatie." sqref="AD213 AD260" xr:uid="{37525EA0-8AA6-4384-BC44-95627F66DEC5}"/>
    <dataValidation allowBlank="1" showInputMessage="1" showErrorMessage="1" promptTitle="DPG-score" prompt="Dit is de resulterende DPG-score." sqref="AD220 AD267 AD269" xr:uid="{CC3CED64-FC1A-4EBC-A56B-343607750879}"/>
    <dataValidation allowBlank="1" showInputMessage="1" showErrorMessage="1" promptTitle="Milieuprestatie Gebouw (MPG)" prompt="Voor een correcte berekening van de DPG-score moet de MPG van het gebouw worden ingevuld. _x000a_Daaronder wordt ook de score uitgerekend op subthema '2.1 Milieuprestatie (MPG)' voor GPR Gebouw 4.3 / subthema '2.1.1 Bescherming milieu' voor GPR Gebouw 4.4" sqref="A271" xr:uid="{3FBAAC94-922E-4461-91B6-16C8970B82DB}"/>
    <dataValidation allowBlank="1" showInputMessage="1" showErrorMessage="1" promptTitle="Niet-gebouwgebonden" prompt="Het energiegebruik voor niet-gebouwgebonden elektrische installaties (televisie, beeldschermen e.d.) wordt in het Bouwbesluit en in GPR Gebouw buiten beschouwing gelaten." sqref="A66" xr:uid="{B9C9C33A-FD75-4348-967B-9C7C03BFA1D1}"/>
    <dataValidation allowBlank="1" showInputMessage="1" showErrorMessage="1" promptTitle="Bronmethode" prompt="Bronmethode legt de grenzen van de inijking vast. _x000a_GPR 4.3: nieuwbouw 2006 en EPC/EP2=0_x000a_GPR 4.4: nieuwbouw 2006 en NOM_x000a_" sqref="E303" xr:uid="{E603D2D3-F553-4185-83D9-5D9E6A8D565C}"/>
    <dataValidation allowBlank="1" showInputMessage="1" showErrorMessage="1" promptTitle="Zon, WKK of wind" prompt="Het onderscheid tussen opgewekte stroom door PV, wind of WKK is niet eenvoudig uit de berekeningen te halen en daarom samengevoegd bij: opwekking pv / wkk." sqref="J204:J207 J224 J226:K229 S204:S207" xr:uid="{3305A147-F935-47A9-9A2D-126A8F3FB974}"/>
    <dataValidation type="decimal" allowBlank="1" showInputMessage="1" showErrorMessage="1" sqref="M155:M156 J44:J56 M70 M114" xr:uid="{78B216F0-9E2F-40D7-9EBA-2EF522D0327E}">
      <formula1>0</formula1>
      <formula2>1000000</formula2>
    </dataValidation>
    <dataValidation allowBlank="1" showInputMessage="1" showErrorMessage="1" promptTitle="Grenswaarde bij GPR = 10" prompt="Deze grenswaarde is het naar gebruiksoppervlakte gewogen gemiddelde van de grenswaarde bij GPR = 10 voor de verschillende gebruiksfuncties. In GPR 4.3 is dat EP2=0, in GPR 4.4 niveau nul-op-de-meter." sqref="AD34" xr:uid="{5B6D6C5D-8E7D-4351-B930-4A17C1D5579B}"/>
    <dataValidation allowBlank="1" showInputMessage="1" showErrorMessage="1" promptTitle="Grenswaarde bij GPR = 6" prompt="Deze grenswaarde is het naar gebruiksoppervlakte gewogen gemiddelde van de grenswaarde bij GPR = 6 voor de verschillende gebruiksfuncties. Waarde wordt bepaald door niveau nieuwbouw 2006 (GPR 4.3 en GPR 4.4)." sqref="AD33" xr:uid="{929633EA-8656-4840-A53F-32EC9F0D091E}"/>
    <dataValidation allowBlank="1" showInputMessage="1" showErrorMessage="1" promptTitle="Score op subthema 1.1" prompt="Dit is de resulterende score op subthema 1.1. _x000a__x000a_Als onderstaande energiegebruiken en gebruiksoppervlakten worden overgenomen voor de desbetreffende functie, volgt in GPR Gebouw deze score. " sqref="AD35:AD36" xr:uid="{4B3598F2-346E-48AA-B6A2-39EF1A1922DC}"/>
    <dataValidation allowBlank="1" showInputMessage="1" showErrorMessage="1" promptTitle="Geen DPG" prompt="Deze functie komt niet voor in GPR Gebouw. Er is geen MPG-referentie voor beschikbaar en er kan daarom geen DPG-score van worden bepaald. " sqref="A55 A50:A51" xr:uid="{057510B3-749D-4A9A-B310-E6B74445B097}"/>
    <dataValidation allowBlank="1" showInputMessage="1" showErrorMessage="1" promptTitle="Finaal energiegebruik" prompt="Het finaal energiegebruik / 'meterstanden' wordt gebruikt voor het berekenen van de DPG. Hier worden de milieueffecten van het energiegebruik in meegenomen._x000a__x000a_Dit invoerblok is alleen nodig als er een DPG berekend moet worden. " sqref="A64 A73" xr:uid="{6CF1BC2F-0EA5-4113-B9B7-83D07CA57FF6}"/>
    <dataValidation allowBlank="1" showInputMessage="1" showErrorMessage="1" promptTitle="Softwarepakket" prompt="Kies hier met welk software pakket de EP-berekening is gemaakt. De invoer sluit zo goed mogelijk aan bij het gekozen pakket. De keuze voor het pakket heeft geen gevolgen voor de GPR-score. " sqref="L23" xr:uid="{D1F11E42-E15D-4B0B-80E4-B479F00EDBA0}"/>
    <dataValidation allowBlank="1" showInputMessage="1" showErrorMessage="1" promptTitle="Bepalingsmethode - doel" prompt="Kies hier de uitvoer van dit rekensheet. Afhankelijk van de versie van GPR Gebouw zijn één of meer EP-methoden te kiezen. Deze keuze heeft geen gevolgen voor de score in GPR Gebouw." sqref="L27" xr:uid="{593DF43A-FCC7-4924-8EA4-D3D5FD94053C}"/>
    <dataValidation allowBlank="1" showErrorMessage="1" sqref="L25:L26" xr:uid="{54F639CA-5E17-44EF-AD4F-E6BD224765B2}"/>
    <dataValidation allowBlank="1" showInputMessage="1" showErrorMessage="1" promptTitle="CO2-emissiereductie" prompt="Hier wordt de CO2-emissiereductie berekend die in subthema 1.2 moet worden aangevinkt. In het invoerveld 'totale CO2-emissie (kg/jaar)' bij het overnemen van resultaten uit een externe berekening moet '0' worden ingevuld." sqref="AD207 AD224:AE224" xr:uid="{BA4121BB-1E08-4FF7-A5E1-020695665EA2}"/>
    <dataValidation allowBlank="1" showInputMessage="1" showErrorMessage="1" promptTitle="Grenswaarde" prompt="Grenswaarde wordt bepaald door het energiegebruik bij GPR score van 6 en de emissiekentallen uit NTA8800." sqref="AD39 AD208 AD272 AD233:AR255 AD225:AE225 AD227:AR230" xr:uid="{BA91A405-92E9-4598-88EC-296B55B1C835}"/>
    <dataValidation allowBlank="1" showInputMessage="1" showErrorMessage="1" promptTitle="Reductie" prompt="Reductie wordt berekend tov de grenswaarde. Negatieve reductie betekent een hogere emissie dan de grenswaarde (gebouwen die slechter scoren dan nieuwbouw 2006)." sqref="AD209 AD256 AD274" xr:uid="{2AE6D727-1520-4647-8A4E-FCDE92AE6761}"/>
    <dataValidation allowBlank="1" showInputMessage="1" showErrorMessage="1" error="_x000a__x000a_" sqref="J39 J33:J34 J275:K275 J272:K272 M273 J274:J275" xr:uid="{581A46F1-FED4-48A6-AAC5-BAD9822FD341}"/>
    <dataValidation type="list" allowBlank="1" showInputMessage="1" showErrorMessage="1" sqref="P22" xr:uid="{E82C65B1-A92A-4DA6-B641-D78D8DC33F2F}">
      <formula1>EP_methode</formula1>
    </dataValidation>
    <dataValidation allowBlank="1" showInputMessage="1" showErrorMessage="1" promptTitle="VABI maatwerkrapportage" prompt="Let op: Getallen uit een VABI-rapportage (word- of pdf-document) hebben meestal betrekking op een maatwerkadvies. Omdat daarbij is gerekend met niet-standaard uitgangspunten kunnen deze getallen niet gebruikt worden voor GPR Gebouw." sqref="A63 A107" xr:uid="{CC7C4F56-972C-490F-B01F-AF2506990978}"/>
    <dataValidation allowBlank="1" showInputMessage="1" showErrorMessage="1" promptTitle="CO2-emissie" prompt="Neem de berekende CO2-emissie uit de energieprestatieberekening hier over. Let op: Er is geen automatische koppeling met de hieronder in te voeren niet-primaire gebruiken / meterstanden tbv de DPG/Klimaatmonitor._x000a_" sqref="A39" xr:uid="{387D9F4C-4B33-4C2A-A0BB-E3ADEFDCE195}"/>
    <dataValidation allowBlank="1" showInputMessage="1" showErrorMessage="1" promptTitle="Reductie van CO2-emissie" prompt="Reductie wordt berekend ten opzichte van het referntieniveau dat correspondeert met de nieuwbouweisen 2006. In GPR Gebouw geeft dat een score van 6,0. _x000a_Let op: een negatief geatl hier betekent een reductie van CO2-emissie." sqref="A40" xr:uid="{E1719A4D-1D43-47D7-A1DA-188325CD5A38}"/>
    <dataValidation type="list" allowBlank="1" showInputMessage="1" showErrorMessage="1" sqref="J65:K67 J109:K109 J111:K111 J113:K113 J139:K141 J157:K157 J155:K155 J153:K153 J68:J74 J80:J82 J91 J100 J102:J103 J110 J112 J114:J120 J93:J98 J138 J142:J147 J171 J163:J165 J173:J177 J154:J156 J128:J132 J158:J161 J88:K88 J92:K92 J90:K90 J89 J126 J195:J199" xr:uid="{B5FA0E94-74F6-443E-A894-B02067A189BF}">
      <formula1>energiedragers_EP_lijst</formula1>
    </dataValidation>
    <dataValidation type="list" allowBlank="1" showInputMessage="1" showErrorMessage="1" sqref="AG273" xr:uid="{9C276B15-B5EB-4638-86C7-591AB1198E56}">
      <formula1>Gebruiksfuncties</formula1>
    </dataValidation>
    <dataValidation allowBlank="1" showInputMessage="1" showErrorMessage="1" promptTitle="Specifieke energieprestatie" prompt="In NEN 7120 moet de specifieke energieprestatie in MJ/m2 naar boven worden afgerond om hele getallen. Dat is hier niet gedaan, waardoor er een klein verschil kan optreden." sqref="A105" xr:uid="{638F966D-AAC3-4BFF-B2B5-492450EB795A}"/>
    <dataValidation allowBlank="1" showInputMessage="1" showErrorMessage="1" promptTitle="NEN7120, eerste en tweede trap" prompt="Bij warmte: eerste trap is met forfaitair rendement van 100%, tweede trap met werkelijk rendement. Uniec2 laat in 2e trap berekening een extern warmtegebruik zien dat correspondeert met een EOR van 100%." sqref="O109" xr:uid="{C2A1E6BF-66BB-4743-9D64-1755B38F9B67}"/>
    <dataValidation allowBlank="1" showInputMessage="1" showErrorMessage="1" promptTitle="Eenheid" prompt="Let op de eenheid: Hier in kg/GJ. In Uniec3 gegeven in kg/kWh." sqref="U153" xr:uid="{6D86951B-7B43-40A4-85DB-A99B8D3E942E}"/>
    <dataValidation allowBlank="1" showInputMessage="1" showErrorMessage="1" promptTitle="Specifieke energieprestatie" prompt="In NEN 7120 moet de specifieke energieprestatie in MJ/m2 naar boven worden afgerond om hele getallen. _x000a_In NTA 800 naar boven op 0,01 kWh/m2. Dat is hier niet gedaan, waardoor er een klein verschil kan optreden." sqref="A35" xr:uid="{01BED674-4DF9-4D71-B0D3-915DE5EEEC53}"/>
    <dataValidation allowBlank="1" showInputMessage="1" showErrorMessage="1" promptTitle="Uniec2, externe koudelevering" prompt="Uniec2 geeft geen finaal energiegebruik voor externe koudelevering. Controleer dus goed of deze wel of niet aanwezig is. " sqref="A132" xr:uid="{07264DCD-0C54-4057-912E-93A591325AB9}"/>
    <dataValidation allowBlank="1" showInputMessage="1" showErrorMessage="1" promptTitle="Uniec2, externe warmtelevering" prompt="Uniec2 rekent voor externe warmtelevering de CO2-uitstoot uit met een PEF van 1, en met 87,7 kg/GJ. Als gegevens van het net bekend zijn, moeten die gebruikt worden." sqref="A131" xr:uid="{5F1FC01A-61B5-4EFF-8BFF-A403304680C1}"/>
    <dataValidation allowBlank="1" showInputMessage="1" showErrorMessage="1" promptTitle="Uniec2, biomassa" prompt="NEN 7120 kent vanaf NEN 7120+C2:2012/A1:2017 onderscheid in soorten biomassa: voldoet aan activiteitenbesluit (CO2 = 0), voldoet aan Bijlage O (CO2 = 0,5*0,109 kg/MJ) en overig (CO2 = 0,109 kg/MJ). De PEF is dan 0 / 0,5 / 1." sqref="A130" xr:uid="{92E77A0F-25AD-44EC-85B9-75232D943409}"/>
  </dataValidations>
  <hyperlinks>
    <hyperlink ref="A1" location="'Overzicht GPR Hulpmiddelen'!A1" tooltip="naar startscherm" display="&lt;" xr:uid="{09608A4F-AC80-45E4-81D7-74138CB69A15}"/>
  </hyperlinks>
  <printOptions horizontalCentered="1"/>
  <pageMargins left="0.70866141732283472" right="0.70866141732283472" top="0.74803149606299213" bottom="0.74803149606299213" header="0.31496062992125984" footer="0.31496062992125984"/>
  <pageSetup paperSize="9" scale="21" orientation="portrait" horizontalDpi="4294967293" r:id="rId1"/>
  <headerFooter>
    <oddFooter>&amp;L&amp;Z&amp;F&amp;RDatum afdruk &amp;D &amp;T</oddFooter>
  </headerFooter>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9EBE2932-01B5-4545-BAE6-6A2C5E69685E}">
          <x14:formula1>
            <xm:f>tabellen_EMD!$C$252:$C$256</xm:f>
          </x14:formula1>
          <xm:sqref>J183:K189</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D4DEC-95CC-47DA-B31A-18BF9441D9C1}">
  <sheetPr codeName="Blad23" filterMode="1">
    <tabColor rgb="FFFF0000"/>
    <pageSetUpPr autoPageBreaks="0" fitToPage="1"/>
  </sheetPr>
  <dimension ref="A1:BI424"/>
  <sheetViews>
    <sheetView showGridLines="0" showRowColHeaders="0" zoomScale="90" zoomScaleNormal="90" zoomScaleSheetLayoutView="90" workbookViewId="0">
      <pane xSplit="4" ySplit="3" topLeftCell="E4" activePane="bottomRight" state="frozen"/>
      <selection pane="topRight" activeCell="E1" sqref="E1"/>
      <selection pane="bottomLeft" activeCell="A4" sqref="A4"/>
      <selection pane="bottomRight" activeCell="G26" sqref="G26:K26"/>
    </sheetView>
  </sheetViews>
  <sheetFormatPr defaultColWidth="10.7265625" defaultRowHeight="17.5"/>
  <cols>
    <col min="1" max="1" width="10.7265625" style="29" customWidth="1"/>
    <col min="2" max="3" width="23.1796875" style="30" hidden="1" customWidth="1"/>
    <col min="4" max="4" width="2.7265625" style="30" hidden="1" customWidth="1"/>
    <col min="5" max="5" width="2.7265625" style="29" customWidth="1"/>
    <col min="6" max="6" width="35.54296875" style="30" customWidth="1"/>
    <col min="7" max="8" width="13.26953125" style="29" customWidth="1"/>
    <col min="9" max="9" width="2.7265625" style="29" customWidth="1"/>
    <col min="10" max="10" width="13.26953125" style="30" customWidth="1"/>
    <col min="11" max="11" width="13.26953125" style="29" customWidth="1"/>
    <col min="12" max="12" width="3.7265625" style="29" customWidth="1"/>
    <col min="13" max="14" width="13.26953125" style="29" customWidth="1"/>
    <col min="15" max="15" width="3.7265625" style="29" customWidth="1"/>
    <col min="16" max="17" width="13.26953125" style="29" customWidth="1"/>
    <col min="18" max="18" width="3.7265625" style="29" customWidth="1"/>
    <col min="19" max="20" width="13.26953125" style="29" customWidth="1"/>
    <col min="21" max="21" width="3.7265625" style="29" customWidth="1"/>
    <col min="22" max="24" width="13.26953125" style="29" customWidth="1"/>
    <col min="25" max="25" width="3.7265625" style="29" customWidth="1"/>
    <col min="26" max="27" width="13.26953125" style="29" customWidth="1"/>
    <col min="28" max="28" width="2.7265625" style="230" customWidth="1"/>
    <col min="29" max="29" width="5.26953125" style="29" customWidth="1"/>
    <col min="30" max="30" width="5.26953125" style="1431" customWidth="1"/>
    <col min="31" max="31" width="36.54296875" style="1403" customWidth="1"/>
    <col min="32" max="34" width="13.26953125" style="1403" customWidth="1"/>
    <col min="35" max="35" width="2.7265625" style="1403" customWidth="1"/>
    <col min="36" max="37" width="13.26953125" style="1403" customWidth="1"/>
    <col min="38" max="38" width="13.26953125" style="1404" customWidth="1"/>
    <col min="39" max="39" width="2.7265625" style="1404" customWidth="1"/>
    <col min="40" max="42" width="13.26953125" style="29" customWidth="1"/>
    <col min="43" max="43" width="2.7265625" style="29" customWidth="1"/>
    <col min="44" max="44" width="8.453125" style="29" customWidth="1"/>
    <col min="45" max="45" width="2.7265625" style="230" customWidth="1"/>
    <col min="46" max="46" width="8.453125" style="29" customWidth="1"/>
    <col min="47" max="53" width="10.7265625" style="29" hidden="1" customWidth="1"/>
    <col min="54" max="54" width="14.54296875" style="29" hidden="1" customWidth="1"/>
    <col min="55" max="55" width="14.7265625" style="29" hidden="1" customWidth="1"/>
    <col min="56" max="61" width="10.7265625" style="29" hidden="1" customWidth="1"/>
    <col min="62" max="16384" width="10.7265625" style="29"/>
  </cols>
  <sheetData>
    <row r="1" spans="1:61" s="18" customFormat="1" ht="33" customHeight="1">
      <c r="A1" s="192" t="s">
        <v>12</v>
      </c>
      <c r="B1" s="212" t="s">
        <v>493</v>
      </c>
      <c r="C1" s="212" t="s">
        <v>493</v>
      </c>
      <c r="D1" s="941"/>
      <c r="E1" s="177"/>
      <c r="F1" s="175"/>
      <c r="G1" s="31"/>
      <c r="H1" s="31"/>
      <c r="I1" s="21"/>
      <c r="J1" s="21"/>
      <c r="K1" s="21"/>
      <c r="L1" s="21"/>
      <c r="M1" s="507"/>
      <c r="N1" s="21"/>
      <c r="O1" s="21"/>
      <c r="P1" s="21"/>
      <c r="AB1" s="177"/>
      <c r="AC1" s="177"/>
      <c r="AD1" s="1430"/>
      <c r="AE1" s="1401"/>
      <c r="AF1" s="1401"/>
      <c r="AG1" s="1401"/>
      <c r="AH1" s="1401"/>
      <c r="AI1" s="1401"/>
      <c r="AJ1" s="1401"/>
      <c r="AK1" s="1401"/>
      <c r="AL1" s="1401"/>
      <c r="AM1" s="1401"/>
      <c r="AN1" s="1380"/>
      <c r="AO1" s="1380"/>
      <c r="AP1" s="1380"/>
      <c r="AQ1" s="1380"/>
      <c r="AR1" s="1380"/>
      <c r="AS1" s="177"/>
      <c r="AT1" s="1380"/>
    </row>
    <row r="2" spans="1:61" s="19" customFormat="1" ht="21">
      <c r="A2" s="87"/>
      <c r="B2" s="942"/>
      <c r="C2" s="942"/>
      <c r="D2" s="942"/>
      <c r="E2" s="28" t="str">
        <f>_xlfn.CONCAT("Van ",P22," naar GPR 4")</f>
        <v>Van NEN 7120 naar GPR 4</v>
      </c>
      <c r="F2" s="32"/>
      <c r="G2" s="180" t="str">
        <f>"Van "&amp;$P$23&amp;" naar "&amp; AY23</f>
        <v>Van Uniec 2 finaal naar GPR 4.4 | NTA 8800</v>
      </c>
      <c r="H2" s="181"/>
      <c r="I2" s="182"/>
      <c r="J2" s="180"/>
      <c r="K2" s="32"/>
      <c r="L2" s="27"/>
      <c r="M2" s="28"/>
      <c r="N2" s="28"/>
      <c r="O2" s="27"/>
      <c r="P2" s="27"/>
      <c r="Q2" s="28"/>
      <c r="R2" s="33"/>
      <c r="S2" s="33"/>
      <c r="T2" s="33"/>
      <c r="U2" s="28"/>
      <c r="V2" s="28"/>
      <c r="W2" s="28"/>
      <c r="X2" s="28"/>
      <c r="Y2" s="28"/>
      <c r="Z2" s="28"/>
      <c r="AA2" s="28"/>
      <c r="AB2" s="28"/>
      <c r="AC2" s="994"/>
      <c r="AD2" s="28" t="s">
        <v>1708</v>
      </c>
      <c r="AE2" s="1402"/>
      <c r="AF2" s="1402"/>
      <c r="AG2" s="1402"/>
      <c r="AH2" s="1402"/>
      <c r="AI2" s="1402"/>
      <c r="AJ2" s="1402"/>
      <c r="AK2" s="1402"/>
      <c r="AL2" s="1402"/>
      <c r="AM2" s="1402"/>
      <c r="AN2" s="1402"/>
      <c r="AO2" s="1402"/>
      <c r="AP2" s="1402"/>
      <c r="AQ2" s="1402"/>
      <c r="AR2" s="1402"/>
      <c r="AS2" s="28"/>
      <c r="AT2" s="994"/>
      <c r="AU2" s="28"/>
      <c r="AV2" s="28"/>
      <c r="AW2" s="28"/>
      <c r="AX2" s="28"/>
      <c r="AY2" s="28"/>
      <c r="AZ2" s="28"/>
      <c r="BA2" s="28"/>
      <c r="BB2" s="28"/>
      <c r="BC2" s="28"/>
      <c r="BD2" s="28"/>
      <c r="BE2" s="28"/>
      <c r="BF2" s="28"/>
      <c r="BG2" s="28"/>
      <c r="BH2" s="28"/>
      <c r="BI2" s="28"/>
    </row>
    <row r="3" spans="1:61">
      <c r="E3" s="1687">
        <v>45363</v>
      </c>
      <c r="F3" s="1688"/>
      <c r="G3" s="30"/>
      <c r="J3" s="29"/>
      <c r="AV3" s="898" t="s">
        <v>1400</v>
      </c>
    </row>
    <row r="4" spans="1:61" s="18" customFormat="1" ht="5.25" customHeight="1">
      <c r="B4" s="763"/>
      <c r="C4" s="763"/>
      <c r="D4" s="763"/>
      <c r="E4" s="14"/>
      <c r="F4" s="67"/>
      <c r="G4" s="67"/>
      <c r="H4" s="67"/>
      <c r="I4" s="14"/>
      <c r="J4" s="67"/>
      <c r="K4" s="14"/>
      <c r="L4" s="14"/>
      <c r="M4" s="14"/>
      <c r="N4" s="14"/>
      <c r="O4" s="14"/>
      <c r="P4" s="14"/>
      <c r="Q4" s="14"/>
      <c r="R4" s="14"/>
      <c r="S4" s="14"/>
      <c r="T4" s="14"/>
      <c r="U4" s="14"/>
      <c r="V4" s="14"/>
      <c r="W4" s="14"/>
      <c r="X4" s="14"/>
      <c r="Y4" s="14"/>
      <c r="Z4" s="14"/>
      <c r="AA4" s="14"/>
      <c r="AB4" s="67"/>
      <c r="AC4" s="995"/>
      <c r="AD4" s="1405"/>
      <c r="AE4" s="1405"/>
      <c r="AF4" s="1405"/>
      <c r="AG4" s="1405"/>
      <c r="AH4" s="1405"/>
      <c r="AI4" s="1405"/>
      <c r="AJ4" s="1405"/>
      <c r="AK4" s="1405"/>
      <c r="AL4" s="1405"/>
      <c r="AM4" s="1405"/>
      <c r="AN4" s="1405"/>
      <c r="AO4" s="1405"/>
      <c r="AP4" s="1405"/>
      <c r="AQ4" s="1405"/>
      <c r="AR4" s="1405"/>
      <c r="AS4" s="67"/>
      <c r="AT4" s="995"/>
      <c r="AU4" s="14"/>
      <c r="AV4" s="14"/>
      <c r="AW4" s="14"/>
      <c r="AX4" s="14"/>
      <c r="AY4" s="14"/>
      <c r="AZ4" s="14"/>
      <c r="BA4" s="14"/>
      <c r="BB4" s="14"/>
      <c r="BC4" s="14"/>
      <c r="BD4" s="14"/>
      <c r="BE4" s="14"/>
      <c r="BF4" s="14"/>
      <c r="BG4" s="14"/>
      <c r="BH4" s="14"/>
      <c r="BI4" s="14"/>
    </row>
    <row r="5" spans="1:61" hidden="1">
      <c r="A5" s="212" t="s">
        <v>493</v>
      </c>
      <c r="B5" s="898"/>
      <c r="C5" s="898"/>
      <c r="D5" s="898"/>
      <c r="E5" s="891"/>
      <c r="F5" s="987" t="s">
        <v>1615</v>
      </c>
      <c r="G5" s="1382"/>
      <c r="H5" s="1391" t="s">
        <v>1619</v>
      </c>
      <c r="I5" s="1382"/>
      <c r="J5" s="1382"/>
      <c r="K5" s="1382"/>
      <c r="L5" s="1382"/>
      <c r="M5" s="987"/>
      <c r="N5" s="987"/>
      <c r="O5" s="987"/>
      <c r="P5" s="1391" t="s">
        <v>1617</v>
      </c>
      <c r="Q5" s="1391" t="s">
        <v>1619</v>
      </c>
      <c r="R5" s="12"/>
      <c r="S5" s="12"/>
      <c r="T5" s="12"/>
      <c r="U5" s="12"/>
      <c r="V5" s="12"/>
      <c r="W5" s="12"/>
      <c r="X5" s="12"/>
      <c r="Y5" s="12"/>
      <c r="Z5" s="12"/>
      <c r="AA5" s="12"/>
      <c r="AB5" s="891"/>
      <c r="AC5" s="996"/>
      <c r="AD5" s="1405"/>
      <c r="AE5" s="1405"/>
      <c r="AF5" s="1405"/>
      <c r="AG5" s="1405"/>
      <c r="AH5" s="1405"/>
      <c r="AI5" s="1405"/>
      <c r="AJ5" s="1405"/>
      <c r="AK5" s="1405"/>
      <c r="AL5" s="1405"/>
      <c r="AM5" s="1405"/>
      <c r="AN5" s="1405"/>
      <c r="AO5" s="1405"/>
      <c r="AP5" s="1405"/>
      <c r="AQ5" s="1405"/>
      <c r="AR5" s="1405"/>
      <c r="AS5" s="67"/>
      <c r="AT5" s="996"/>
      <c r="AU5" s="12"/>
      <c r="AV5" s="12"/>
      <c r="AW5" s="12"/>
      <c r="AX5" s="12"/>
      <c r="AY5" s="14"/>
      <c r="AZ5" s="14"/>
      <c r="BA5" s="14"/>
      <c r="BB5" s="14"/>
      <c r="BC5" s="14"/>
      <c r="BD5" s="14"/>
      <c r="BE5" s="14"/>
      <c r="BF5" s="14"/>
      <c r="BG5" s="14"/>
      <c r="BH5" s="14"/>
      <c r="BI5" s="14"/>
    </row>
    <row r="6" spans="1:61" hidden="1">
      <c r="A6" s="212" t="s">
        <v>493</v>
      </c>
      <c r="B6" s="898"/>
      <c r="C6" s="898"/>
      <c r="D6" s="898"/>
      <c r="E6" s="891"/>
      <c r="F6" s="1383" t="s">
        <v>1620</v>
      </c>
      <c r="G6" s="1384">
        <f>AG35</f>
        <v>9.0734999277903778</v>
      </c>
      <c r="H6" s="1384"/>
      <c r="I6" s="1382"/>
      <c r="J6" s="1382"/>
      <c r="K6" s="1382"/>
      <c r="L6" s="1382"/>
      <c r="M6" s="1387" t="str">
        <f>F183</f>
        <v>aardgas</v>
      </c>
      <c r="N6" s="1387"/>
      <c r="O6" s="1387"/>
      <c r="P6" s="1384" t="str">
        <f>_xlfn.CONCAT(FIXED(W183,0)," ",X183)</f>
        <v>0 m3</v>
      </c>
      <c r="Q6" s="1384" t="str">
        <f>_xlfn.CONCAT(FIXED($G$269,0)," ",$G$225)</f>
        <v>0 m3</v>
      </c>
      <c r="R6" s="12"/>
      <c r="S6" s="12"/>
      <c r="T6" s="12"/>
      <c r="U6" s="12"/>
      <c r="V6" s="12"/>
      <c r="W6" s="12"/>
      <c r="X6" s="12"/>
      <c r="Y6" s="12"/>
      <c r="Z6" s="12"/>
      <c r="AA6" s="12"/>
      <c r="AB6" s="891"/>
      <c r="AC6" s="996"/>
      <c r="AD6" s="1405"/>
      <c r="AE6" s="1405"/>
      <c r="AF6" s="1405"/>
      <c r="AG6" s="1405"/>
      <c r="AH6" s="1405"/>
      <c r="AI6" s="1405"/>
      <c r="AJ6" s="1405"/>
      <c r="AK6" s="1405"/>
      <c r="AL6" s="1405"/>
      <c r="AM6" s="1405"/>
      <c r="AN6" s="1405"/>
      <c r="AO6" s="1405"/>
      <c r="AP6" s="1405"/>
      <c r="AQ6" s="1405"/>
      <c r="AR6" s="1405"/>
      <c r="AS6" s="67"/>
      <c r="AT6" s="996"/>
      <c r="AU6" s="12"/>
      <c r="AV6" s="12"/>
      <c r="AW6" s="12"/>
      <c r="AX6" s="12"/>
      <c r="AY6" s="14"/>
      <c r="AZ6" s="14"/>
      <c r="BA6" s="14"/>
      <c r="BB6" s="14"/>
      <c r="BC6" s="14"/>
      <c r="BD6" s="14"/>
      <c r="BE6" s="14"/>
      <c r="BF6" s="14"/>
      <c r="BG6" s="14"/>
      <c r="BH6" s="14"/>
      <c r="BI6" s="14"/>
    </row>
    <row r="7" spans="1:61" hidden="1">
      <c r="A7" s="212" t="s">
        <v>493</v>
      </c>
      <c r="B7" s="898"/>
      <c r="C7" s="898"/>
      <c r="D7" s="898"/>
      <c r="E7" s="891"/>
      <c r="F7" s="1383" t="s">
        <v>1397</v>
      </c>
      <c r="G7" s="1385" t="str">
        <f>_xlfn.CONCAT(FIXED(J35,0)," ",K35)</f>
        <v>0 MJ/m2 Ag</v>
      </c>
      <c r="H7" s="1385" t="str">
        <f>_xlfn.CONCAT(FIXED(SUM(P44:P55),0)," ",Q44)</f>
        <v>6,370 kWh</v>
      </c>
      <c r="I7" s="1382"/>
      <c r="J7" s="1382"/>
      <c r="K7" s="1382"/>
      <c r="L7" s="1382"/>
      <c r="M7" s="1389" t="str">
        <f>F184</f>
        <v>elektriciteit</v>
      </c>
      <c r="N7" s="1389"/>
      <c r="O7" s="1389"/>
      <c r="P7" s="1385" t="str">
        <f>_xlfn.CONCAT(FIXED(W184,0)," ",X184)</f>
        <v>0 kWh</v>
      </c>
      <c r="Q7" s="1385" t="str">
        <f>_xlfn.CONCAT(FIXED($H$269,0)," ",$H$225)</f>
        <v>0 kWh</v>
      </c>
      <c r="R7" s="12"/>
      <c r="S7" s="12"/>
      <c r="T7" s="12"/>
      <c r="U7" s="12"/>
      <c r="V7" s="12"/>
      <c r="W7" s="12"/>
      <c r="X7" s="12"/>
      <c r="Y7" s="12"/>
      <c r="Z7" s="12"/>
      <c r="AA7" s="12"/>
      <c r="AB7" s="891"/>
      <c r="AC7" s="996"/>
      <c r="AD7" s="1405"/>
      <c r="AE7" s="1405"/>
      <c r="AF7" s="1405"/>
      <c r="AG7" s="1405"/>
      <c r="AH7" s="1405"/>
      <c r="AI7" s="1405"/>
      <c r="AJ7" s="1405"/>
      <c r="AK7" s="1405"/>
      <c r="AL7" s="1405"/>
      <c r="AM7" s="1405"/>
      <c r="AN7" s="1405"/>
      <c r="AO7" s="1405"/>
      <c r="AP7" s="1405"/>
      <c r="AQ7" s="1405"/>
      <c r="AR7" s="1405"/>
      <c r="AS7" s="67"/>
      <c r="AT7" s="996"/>
      <c r="AU7" s="12"/>
      <c r="AV7" s="12"/>
      <c r="AW7" s="12"/>
      <c r="AX7" s="12"/>
      <c r="AY7" s="14"/>
      <c r="AZ7" s="14"/>
      <c r="BA7" s="14"/>
      <c r="BB7" s="14"/>
      <c r="BC7" s="14"/>
      <c r="BD7" s="14"/>
      <c r="BE7" s="14"/>
      <c r="BF7" s="14"/>
      <c r="BG7" s="14"/>
      <c r="BH7" s="14"/>
      <c r="BI7" s="14"/>
    </row>
    <row r="8" spans="1:61" hidden="1">
      <c r="A8" s="212" t="s">
        <v>493</v>
      </c>
      <c r="B8" s="898"/>
      <c r="C8" s="898"/>
      <c r="D8" s="898"/>
      <c r="E8" s="891"/>
      <c r="F8" s="1383" t="s">
        <v>543</v>
      </c>
      <c r="G8" s="1386">
        <f>J40</f>
        <v>1</v>
      </c>
      <c r="H8" s="1385" t="str">
        <f>_xlfn.CONCAT(FIXED(SUM(S44:S55),0)," ",T44)</f>
        <v>0 kg</v>
      </c>
      <c r="I8" s="1382"/>
      <c r="J8" s="1382"/>
      <c r="K8" s="1382"/>
      <c r="L8" s="1382"/>
      <c r="M8" s="1390" t="str">
        <f>F185</f>
        <v>elektriciteit opgewekt</v>
      </c>
      <c r="N8" s="1390"/>
      <c r="O8" s="1390"/>
      <c r="P8" s="1386" t="str">
        <f>_xlfn.CONCAT(FIXED(W185,0)," ",X185)</f>
        <v>0 kWh</v>
      </c>
      <c r="Q8" s="1386" t="str">
        <f>_xlfn.CONCAT(FIXED($J$269,0)," ",$J$225)</f>
        <v>0 kWh</v>
      </c>
      <c r="R8" s="12"/>
      <c r="S8" s="12"/>
      <c r="T8" s="12"/>
      <c r="U8" s="12"/>
      <c r="V8" s="12"/>
      <c r="W8" s="12"/>
      <c r="X8" s="12"/>
      <c r="Y8" s="12"/>
      <c r="Z8" s="12"/>
      <c r="AA8" s="12"/>
      <c r="AB8" s="891"/>
      <c r="AC8" s="996"/>
      <c r="AD8" s="1405"/>
      <c r="AE8" s="1405"/>
      <c r="AF8" s="1405"/>
      <c r="AG8" s="1405"/>
      <c r="AH8" s="1405"/>
      <c r="AI8" s="1405"/>
      <c r="AJ8" s="1405"/>
      <c r="AK8" s="1405"/>
      <c r="AL8" s="1405"/>
      <c r="AM8" s="1405"/>
      <c r="AN8" s="1405"/>
      <c r="AO8" s="1405"/>
      <c r="AP8" s="1405"/>
      <c r="AQ8" s="1405"/>
      <c r="AR8" s="1405"/>
      <c r="AS8" s="67"/>
      <c r="AT8" s="996"/>
      <c r="AU8" s="12"/>
      <c r="AV8" s="12"/>
      <c r="AW8" s="12"/>
      <c r="AX8" s="12"/>
      <c r="AY8" s="14"/>
      <c r="AZ8" s="14"/>
      <c r="BA8" s="14"/>
      <c r="BB8" s="14"/>
      <c r="BC8" s="14"/>
      <c r="BD8" s="14"/>
      <c r="BE8" s="14"/>
      <c r="BF8" s="14"/>
      <c r="BG8" s="14"/>
      <c r="BH8" s="14"/>
      <c r="BI8" s="14"/>
    </row>
    <row r="9" spans="1:61" hidden="1">
      <c r="A9" s="212" t="s">
        <v>493</v>
      </c>
      <c r="B9" s="898"/>
      <c r="C9" s="898"/>
      <c r="D9" s="898"/>
      <c r="E9" s="891"/>
      <c r="F9" s="1383" t="s">
        <v>1618</v>
      </c>
      <c r="G9" s="1385" t="str">
        <f>_xlfn.CONCAT(FIXED(AH272,2)," | ",FIXED(AH274,0)," pnt")</f>
        <v>0.00 | -210 pnt</v>
      </c>
      <c r="H9" s="1384">
        <f>AH219</f>
        <v>0</v>
      </c>
      <c r="I9" s="1382"/>
      <c r="J9" s="1382"/>
      <c r="K9" s="1382"/>
      <c r="L9" s="1382"/>
      <c r="M9" s="1387" t="str">
        <f>F186</f>
        <v>elektriciteit geëxporteerd</v>
      </c>
      <c r="N9" s="1387"/>
      <c r="O9" s="1387"/>
      <c r="P9" s="1384" t="str">
        <f>_xlfn.CONCAT(FIXED(W186,0)," ",X186)</f>
        <v>0 kWh</v>
      </c>
      <c r="Q9" s="1384" t="str">
        <f>_xlfn.CONCAT(FIXED($K$269,0)," ",$K$225)</f>
        <v>0 GJ</v>
      </c>
      <c r="R9" s="12"/>
      <c r="S9" s="12"/>
      <c r="T9" s="12"/>
      <c r="U9" s="12"/>
      <c r="V9" s="12"/>
      <c r="W9" s="12"/>
      <c r="X9" s="12"/>
      <c r="Y9" s="12"/>
      <c r="Z9" s="12"/>
      <c r="AA9" s="12"/>
      <c r="AB9" s="891"/>
      <c r="AC9" s="996"/>
      <c r="AD9" s="1405"/>
      <c r="AE9" s="1405"/>
      <c r="AF9" s="1405"/>
      <c r="AG9" s="1405"/>
      <c r="AH9" s="1405"/>
      <c r="AI9" s="1405"/>
      <c r="AJ9" s="1405"/>
      <c r="AK9" s="1405"/>
      <c r="AL9" s="1405"/>
      <c r="AM9" s="1405"/>
      <c r="AN9" s="1405"/>
      <c r="AO9" s="1405"/>
      <c r="AP9" s="1405"/>
      <c r="AQ9" s="1405"/>
      <c r="AR9" s="1405"/>
      <c r="AS9" s="67"/>
      <c r="AT9" s="996"/>
      <c r="AU9" s="12"/>
      <c r="AV9" s="12"/>
      <c r="AW9" s="12"/>
      <c r="AX9" s="12"/>
      <c r="AY9" s="14"/>
      <c r="AZ9" s="14"/>
      <c r="BA9" s="14"/>
      <c r="BB9" s="14"/>
      <c r="BC9" s="14"/>
      <c r="BD9" s="14"/>
      <c r="BE9" s="14"/>
      <c r="BF9" s="14"/>
      <c r="BG9" s="14"/>
      <c r="BH9" s="14"/>
      <c r="BI9" s="14"/>
    </row>
    <row r="10" spans="1:61" hidden="1">
      <c r="A10" s="212" t="s">
        <v>493</v>
      </c>
      <c r="B10" s="898"/>
      <c r="C10" s="898"/>
      <c r="D10" s="898"/>
      <c r="E10" s="891"/>
      <c r="F10" s="1383" t="s">
        <v>1616</v>
      </c>
      <c r="G10" s="1384">
        <f>AG220</f>
        <v>9.9536653965742641</v>
      </c>
      <c r="H10" s="1384"/>
      <c r="I10" s="1382"/>
      <c r="J10" s="1382"/>
      <c r="K10" s="1382"/>
      <c r="L10" s="1382"/>
      <c r="M10" s="1387" t="str">
        <f>F187</f>
        <v>externe warmte</v>
      </c>
      <c r="N10" s="1387"/>
      <c r="O10" s="1387"/>
      <c r="P10" s="1384" t="str">
        <f>_xlfn.CONCAT(FIXED(W187,0)," ",X187)</f>
        <v>0 GJ</v>
      </c>
      <c r="Q10" s="1384" t="str">
        <f>_xlfn.CONCAT(FIXED($M$269,0)," ",$M$225)</f>
        <v>0 kWh</v>
      </c>
      <c r="R10" s="12"/>
      <c r="S10" s="12"/>
      <c r="T10" s="12"/>
      <c r="U10" s="12"/>
      <c r="V10" s="12"/>
      <c r="W10" s="12"/>
      <c r="X10" s="12"/>
      <c r="Y10" s="12"/>
      <c r="Z10" s="12"/>
      <c r="AA10" s="12"/>
      <c r="AB10" s="891"/>
      <c r="AC10" s="996"/>
      <c r="AD10" s="1405"/>
      <c r="AE10" s="1405"/>
      <c r="AF10" s="1405"/>
      <c r="AG10" s="1405"/>
      <c r="AH10" s="1405"/>
      <c r="AI10" s="1405"/>
      <c r="AJ10" s="1405"/>
      <c r="AK10" s="1405"/>
      <c r="AL10" s="1405"/>
      <c r="AM10" s="1405"/>
      <c r="AN10" s="1405"/>
      <c r="AO10" s="1405"/>
      <c r="AP10" s="1405"/>
      <c r="AQ10" s="1405"/>
      <c r="AR10" s="1405"/>
      <c r="AS10" s="67"/>
      <c r="AT10" s="996"/>
      <c r="AU10" s="12"/>
      <c r="AV10" s="12"/>
      <c r="AW10" s="12"/>
      <c r="AX10" s="12"/>
      <c r="AY10" s="14"/>
      <c r="AZ10" s="14"/>
      <c r="BA10" s="14"/>
      <c r="BB10" s="14"/>
      <c r="BC10" s="14"/>
      <c r="BD10" s="14"/>
      <c r="BE10" s="14"/>
      <c r="BF10" s="14"/>
      <c r="BG10" s="14"/>
      <c r="BH10" s="14"/>
      <c r="BI10" s="14"/>
    </row>
    <row r="11" spans="1:61" hidden="1">
      <c r="A11" s="212" t="s">
        <v>493</v>
      </c>
      <c r="B11" s="898"/>
      <c r="C11" s="898"/>
      <c r="D11" s="898"/>
      <c r="E11" s="891"/>
      <c r="F11" s="1383" t="s">
        <v>484</v>
      </c>
      <c r="G11" s="1387" t="str">
        <f>_xlfn.CONCAT("E:",FIXED(AG216,2),"+M:",FIXED(AG217,2),"=",FIXED(AG218,2)," euro/m2")</f>
        <v>E:0.00+M:0.00=0.00 euro/m2</v>
      </c>
      <c r="H11" s="1387"/>
      <c r="I11" s="1382"/>
      <c r="J11" s="1382"/>
      <c r="K11" s="1382"/>
      <c r="L11" s="1382"/>
      <c r="M11" s="1387" t="str">
        <f>F189</f>
        <v>hout / biomassa</v>
      </c>
      <c r="N11" s="1387"/>
      <c r="O11" s="1387"/>
      <c r="P11" s="1384" t="str">
        <f>_xlfn.CONCAT(FIXED(W189,0)," ",X189)</f>
        <v>0 kg</v>
      </c>
      <c r="Q11" s="1384" t="str">
        <f>_xlfn.CONCAT(FIXED($M$269,0)," ",$M$225)</f>
        <v>0 kWh</v>
      </c>
      <c r="R11" s="12"/>
      <c r="S11" s="12"/>
      <c r="T11" s="12"/>
      <c r="U11" s="12"/>
      <c r="V11" s="12"/>
      <c r="W11" s="12"/>
      <c r="X11" s="12"/>
      <c r="Y11" s="12"/>
      <c r="Z11" s="12"/>
      <c r="AA11" s="12"/>
      <c r="AB11" s="891"/>
      <c r="AC11" s="996"/>
      <c r="AD11" s="1405"/>
      <c r="AE11" s="1405"/>
      <c r="AF11" s="1405"/>
      <c r="AG11" s="1405"/>
      <c r="AH11" s="1405"/>
      <c r="AI11" s="1405"/>
      <c r="AJ11" s="1405"/>
      <c r="AK11" s="1405"/>
      <c r="AL11" s="1405"/>
      <c r="AM11" s="1405"/>
      <c r="AN11" s="1405"/>
      <c r="AO11" s="1405"/>
      <c r="AP11" s="1405"/>
      <c r="AQ11" s="1405"/>
      <c r="AR11" s="1405"/>
      <c r="AS11" s="67"/>
      <c r="AT11" s="996"/>
      <c r="AU11" s="12"/>
      <c r="AV11" s="12"/>
      <c r="AW11" s="12"/>
      <c r="AX11" s="12"/>
      <c r="AY11" s="14"/>
      <c r="AZ11" s="14"/>
      <c r="BA11" s="14"/>
      <c r="BB11" s="14"/>
      <c r="BC11" s="14"/>
      <c r="BD11" s="14"/>
      <c r="BE11" s="14"/>
      <c r="BF11" s="14"/>
      <c r="BG11" s="14"/>
      <c r="BH11" s="14"/>
      <c r="BI11" s="14"/>
    </row>
    <row r="12" spans="1:61" hidden="1">
      <c r="A12" s="212" t="s">
        <v>493</v>
      </c>
      <c r="B12" s="898"/>
      <c r="C12" s="898"/>
      <c r="D12" s="898"/>
      <c r="E12" s="891"/>
      <c r="F12" s="1383" t="s">
        <v>510</v>
      </c>
      <c r="G12" s="1387" t="str">
        <f>_xlfn.CONCAT("E:",FIXED(AG208,2),"+M:",FIXED(AG209,2),"=",FIXED(AG210,2)," kg/m2")</f>
        <v>E:0.00+M:0.00=0.00 kg/m2</v>
      </c>
      <c r="H12" s="1387"/>
      <c r="I12" s="1388"/>
      <c r="J12" s="1388"/>
      <c r="K12" s="1388"/>
      <c r="L12" s="1388"/>
      <c r="M12" s="1388"/>
      <c r="N12" s="14"/>
      <c r="O12" s="14"/>
      <c r="P12" s="155"/>
      <c r="Q12" s="12"/>
      <c r="R12" s="12"/>
      <c r="S12" s="12"/>
      <c r="T12" s="12"/>
      <c r="U12" s="12"/>
      <c r="V12" s="12"/>
      <c r="W12" s="12"/>
      <c r="X12" s="12"/>
      <c r="Y12" s="12"/>
      <c r="Z12" s="12"/>
      <c r="AA12" s="12"/>
      <c r="AB12" s="891"/>
      <c r="AC12" s="996"/>
      <c r="AD12" s="1405"/>
      <c r="AE12" s="1405"/>
      <c r="AF12" s="1405"/>
      <c r="AG12" s="1405"/>
      <c r="AH12" s="1405"/>
      <c r="AI12" s="1405"/>
      <c r="AJ12" s="1405"/>
      <c r="AK12" s="1405"/>
      <c r="AL12" s="1405"/>
      <c r="AM12" s="1405"/>
      <c r="AN12" s="1405"/>
      <c r="AO12" s="1405"/>
      <c r="AP12" s="1405"/>
      <c r="AQ12" s="1405"/>
      <c r="AR12" s="1405"/>
      <c r="AS12" s="67"/>
      <c r="AT12" s="996"/>
      <c r="AU12" s="12"/>
      <c r="AV12" s="12"/>
      <c r="AW12" s="12"/>
      <c r="AX12" s="12"/>
      <c r="AY12" s="14"/>
      <c r="AZ12" s="14"/>
      <c r="BA12" s="14"/>
      <c r="BB12" s="14"/>
      <c r="BC12" s="14"/>
      <c r="BD12" s="14"/>
      <c r="BE12" s="14"/>
      <c r="BF12" s="14"/>
      <c r="BG12" s="14"/>
      <c r="BH12" s="14"/>
      <c r="BI12" s="14"/>
    </row>
    <row r="13" spans="1:61" hidden="1">
      <c r="A13" s="212" t="s">
        <v>493</v>
      </c>
      <c r="B13" s="898"/>
      <c r="C13" s="898"/>
      <c r="D13" s="898"/>
      <c r="E13" s="891"/>
      <c r="F13" s="891"/>
      <c r="G13" s="891"/>
      <c r="H13" s="891"/>
      <c r="I13" s="891"/>
      <c r="J13" s="891"/>
      <c r="K13" s="891"/>
      <c r="L13" s="891"/>
      <c r="M13" s="14"/>
      <c r="N13" s="14"/>
      <c r="O13" s="14"/>
      <c r="P13" s="155"/>
      <c r="Q13" s="12"/>
      <c r="R13" s="12"/>
      <c r="S13" s="12"/>
      <c r="T13" s="12"/>
      <c r="U13" s="12"/>
      <c r="V13" s="12"/>
      <c r="W13" s="12"/>
      <c r="X13" s="12"/>
      <c r="Y13" s="12"/>
      <c r="Z13" s="12"/>
      <c r="AA13" s="12"/>
      <c r="AB13" s="891"/>
      <c r="AC13" s="996"/>
      <c r="AD13" s="1405"/>
      <c r="AE13" s="1405"/>
      <c r="AF13" s="1405"/>
      <c r="AG13" s="1405"/>
      <c r="AH13" s="1405"/>
      <c r="AI13" s="1405"/>
      <c r="AJ13" s="1405"/>
      <c r="AK13" s="1405"/>
      <c r="AL13" s="1405"/>
      <c r="AM13" s="1405"/>
      <c r="AN13" s="1405"/>
      <c r="AO13" s="1405"/>
      <c r="AP13" s="1405"/>
      <c r="AQ13" s="1405"/>
      <c r="AR13" s="1405"/>
      <c r="AS13" s="67"/>
      <c r="AT13" s="996"/>
      <c r="AU13" s="12"/>
      <c r="AV13" s="12"/>
      <c r="AW13" s="12"/>
      <c r="AX13" s="12"/>
      <c r="AY13" s="14"/>
      <c r="AZ13" s="14"/>
      <c r="BA13" s="14"/>
      <c r="BB13" s="14"/>
      <c r="BC13" s="14"/>
      <c r="BD13" s="14"/>
      <c r="BE13" s="14"/>
      <c r="BF13" s="14"/>
      <c r="BG13" s="14"/>
      <c r="BH13" s="14"/>
      <c r="BI13" s="14"/>
    </row>
    <row r="14" spans="1:61">
      <c r="A14" s="212"/>
      <c r="B14" s="898"/>
      <c r="C14" s="898"/>
      <c r="D14" s="898"/>
      <c r="E14" s="891"/>
      <c r="F14" s="1455" t="s">
        <v>1713</v>
      </c>
      <c r="G14" s="1456"/>
      <c r="H14" s="1456"/>
      <c r="I14" s="1456"/>
      <c r="J14" s="1456"/>
      <c r="K14" s="1456"/>
      <c r="L14" s="1456"/>
      <c r="M14" s="1457"/>
      <c r="N14" s="1457"/>
      <c r="O14" s="1457"/>
      <c r="P14" s="1458"/>
      <c r="Q14" s="1459"/>
      <c r="R14" s="12"/>
      <c r="S14" s="12"/>
      <c r="T14" s="12"/>
      <c r="U14" s="12"/>
      <c r="V14" s="12"/>
      <c r="W14" s="12"/>
      <c r="X14" s="12"/>
      <c r="Y14" s="12"/>
      <c r="Z14" s="12"/>
      <c r="AA14" s="12"/>
      <c r="AB14" s="891"/>
      <c r="AC14" s="996"/>
      <c r="AD14" s="1405"/>
      <c r="AE14" s="1405"/>
      <c r="AF14" s="1405"/>
      <c r="AG14" s="1405"/>
      <c r="AH14" s="1405"/>
      <c r="AI14" s="1405"/>
      <c r="AJ14" s="1405"/>
      <c r="AK14" s="1405"/>
      <c r="AL14" s="1405"/>
      <c r="AM14" s="1405"/>
      <c r="AN14" s="1405"/>
      <c r="AO14" s="1405"/>
      <c r="AP14" s="1405"/>
      <c r="AQ14" s="1405"/>
      <c r="AR14" s="1405"/>
      <c r="AS14" s="67"/>
      <c r="AT14" s="996"/>
      <c r="AU14" s="12"/>
      <c r="AV14" s="12"/>
      <c r="AW14" s="12"/>
      <c r="AX14" s="12"/>
      <c r="AY14" s="14"/>
      <c r="AZ14" s="14"/>
      <c r="BA14" s="14"/>
      <c r="BB14" s="14"/>
      <c r="BC14" s="14"/>
      <c r="BD14" s="14"/>
      <c r="BE14" s="14"/>
      <c r="BF14" s="14"/>
      <c r="BG14" s="14"/>
      <c r="BH14" s="14"/>
      <c r="BI14" s="14"/>
    </row>
    <row r="15" spans="1:61">
      <c r="A15" s="212"/>
      <c r="B15" s="898"/>
      <c r="C15" s="898"/>
      <c r="D15" s="898"/>
      <c r="E15" s="891"/>
      <c r="F15" s="1460" t="s">
        <v>1715</v>
      </c>
      <c r="G15" s="1461"/>
      <c r="H15" s="1461"/>
      <c r="I15" s="1461"/>
      <c r="J15" s="1461"/>
      <c r="K15" s="1461"/>
      <c r="L15" s="1461"/>
      <c r="M15" s="1462"/>
      <c r="N15" s="1462"/>
      <c r="O15" s="1462"/>
      <c r="P15" s="1463"/>
      <c r="Q15" s="1464"/>
      <c r="R15" s="12"/>
      <c r="S15" s="12"/>
      <c r="T15" s="12"/>
      <c r="U15" s="12"/>
      <c r="V15" s="12"/>
      <c r="W15" s="12"/>
      <c r="X15" s="12"/>
      <c r="Y15" s="12"/>
      <c r="Z15" s="12"/>
      <c r="AA15" s="12"/>
      <c r="AB15" s="891"/>
      <c r="AC15" s="996"/>
      <c r="AD15" s="1405"/>
      <c r="AE15" s="1405"/>
      <c r="AF15" s="1405"/>
      <c r="AG15" s="1405"/>
      <c r="AH15" s="1405"/>
      <c r="AI15" s="1405"/>
      <c r="AJ15" s="1405"/>
      <c r="AK15" s="1405"/>
      <c r="AL15" s="1405"/>
      <c r="AM15" s="1405"/>
      <c r="AN15" s="1405"/>
      <c r="AO15" s="1405"/>
      <c r="AP15" s="1405"/>
      <c r="AQ15" s="1405"/>
      <c r="AR15" s="1405"/>
      <c r="AS15" s="67"/>
      <c r="AT15" s="996"/>
      <c r="AU15" s="12"/>
      <c r="AV15" s="12"/>
      <c r="AW15" s="12"/>
      <c r="AX15" s="12"/>
      <c r="AY15" s="14"/>
      <c r="AZ15" s="14"/>
      <c r="BA15" s="14"/>
      <c r="BB15" s="14"/>
      <c r="BC15" s="14"/>
      <c r="BD15" s="14"/>
      <c r="BE15" s="14"/>
      <c r="BF15" s="14"/>
      <c r="BG15" s="14"/>
      <c r="BH15" s="14"/>
      <c r="BI15" s="14"/>
    </row>
    <row r="16" spans="1:61">
      <c r="A16" s="212"/>
      <c r="B16" s="898"/>
      <c r="C16" s="898"/>
      <c r="D16" s="898"/>
      <c r="E16" s="891"/>
      <c r="F16" s="1460" t="str">
        <f>_xlfn.CONCAT("2. EP-berekeningen omzetten naar een andere EP-methode die wél ingevoerd kan worden in ",P24,".")</f>
        <v>2. EP-berekeningen omzetten naar een andere EP-methode die wél ingevoerd kan worden in GPR 4.4.</v>
      </c>
      <c r="G16" s="1461"/>
      <c r="H16" s="1461"/>
      <c r="I16" s="1461"/>
      <c r="J16" s="1461"/>
      <c r="K16" s="1461"/>
      <c r="L16" s="1461"/>
      <c r="M16" s="1462"/>
      <c r="N16" s="1462"/>
      <c r="O16" s="1462"/>
      <c r="P16" s="1463"/>
      <c r="Q16" s="1464"/>
      <c r="R16" s="12"/>
      <c r="S16" s="12"/>
      <c r="T16" s="12"/>
      <c r="U16" s="12"/>
      <c r="V16" s="12"/>
      <c r="W16" s="12"/>
      <c r="X16" s="12"/>
      <c r="Y16" s="12"/>
      <c r="Z16" s="12"/>
      <c r="AA16" s="12"/>
      <c r="AB16" s="891"/>
      <c r="AC16" s="996"/>
      <c r="AD16" s="1405"/>
      <c r="AE16" s="1405"/>
      <c r="AF16" s="1405"/>
      <c r="AG16" s="1405"/>
      <c r="AH16" s="1405"/>
      <c r="AI16" s="1405"/>
      <c r="AJ16" s="1405"/>
      <c r="AK16" s="1405"/>
      <c r="AL16" s="1405"/>
      <c r="AM16" s="1405"/>
      <c r="AN16" s="1405"/>
      <c r="AO16" s="1405"/>
      <c r="AP16" s="1405"/>
      <c r="AQ16" s="1405"/>
      <c r="AR16" s="1405"/>
      <c r="AS16" s="67"/>
      <c r="AT16" s="996"/>
      <c r="AU16" s="12"/>
      <c r="AV16" s="12"/>
      <c r="AW16" s="12"/>
      <c r="AX16" s="12"/>
      <c r="AY16" s="14"/>
      <c r="AZ16" s="14"/>
      <c r="BA16" s="14"/>
      <c r="BB16" s="14"/>
      <c r="BC16" s="14"/>
      <c r="BD16" s="14"/>
      <c r="BE16" s="14"/>
      <c r="BF16" s="14"/>
      <c r="BG16" s="14"/>
      <c r="BH16" s="14"/>
      <c r="BI16" s="14"/>
    </row>
    <row r="17" spans="1:61">
      <c r="A17" s="212"/>
      <c r="B17" s="898"/>
      <c r="C17" s="898"/>
      <c r="D17" s="898"/>
      <c r="E17" s="891"/>
      <c r="F17" s="1465" t="s">
        <v>1714</v>
      </c>
      <c r="G17" s="1466"/>
      <c r="H17" s="1466"/>
      <c r="I17" s="1466"/>
      <c r="J17" s="1466"/>
      <c r="K17" s="1466"/>
      <c r="L17" s="1466"/>
      <c r="M17" s="1467"/>
      <c r="N17" s="1467"/>
      <c r="O17" s="1467"/>
      <c r="P17" s="1468"/>
      <c r="Q17" s="1469"/>
      <c r="R17" s="12"/>
      <c r="S17" s="12"/>
      <c r="T17" s="12"/>
      <c r="U17" s="12"/>
      <c r="V17" s="12"/>
      <c r="W17" s="12"/>
      <c r="X17" s="12"/>
      <c r="Y17" s="12"/>
      <c r="Z17" s="12"/>
      <c r="AA17" s="12"/>
      <c r="AB17" s="891"/>
      <c r="AC17" s="996"/>
      <c r="AD17" s="1405"/>
      <c r="AE17" s="1405"/>
      <c r="AF17" s="1405"/>
      <c r="AG17" s="1405"/>
      <c r="AH17" s="1405"/>
      <c r="AI17" s="1405"/>
      <c r="AJ17" s="1405"/>
      <c r="AK17" s="1405"/>
      <c r="AL17" s="1405"/>
      <c r="AM17" s="1405"/>
      <c r="AN17" s="1405"/>
      <c r="AO17" s="1405"/>
      <c r="AP17" s="1405"/>
      <c r="AQ17" s="1405"/>
      <c r="AR17" s="1405"/>
      <c r="AS17" s="67"/>
      <c r="AT17" s="996"/>
      <c r="AU17" s="12"/>
      <c r="AV17" s="12"/>
      <c r="AW17" s="12"/>
      <c r="AX17" s="12"/>
      <c r="AY17" s="14"/>
      <c r="AZ17" s="14"/>
      <c r="BA17" s="14"/>
      <c r="BB17" s="14"/>
      <c r="BC17" s="14"/>
      <c r="BD17" s="14"/>
      <c r="BE17" s="14"/>
      <c r="BF17" s="14"/>
      <c r="BG17" s="14"/>
      <c r="BH17" s="14"/>
      <c r="BI17" s="14"/>
    </row>
    <row r="18" spans="1:61" ht="5.25" customHeight="1">
      <c r="A18" s="212"/>
      <c r="B18" s="898"/>
      <c r="C18" s="898"/>
      <c r="D18" s="898"/>
      <c r="E18" s="891"/>
      <c r="F18" s="891"/>
      <c r="G18" s="891"/>
      <c r="H18" s="891"/>
      <c r="I18" s="891"/>
      <c r="J18" s="891"/>
      <c r="K18" s="891"/>
      <c r="L18" s="891"/>
      <c r="M18" s="14"/>
      <c r="N18" s="14"/>
      <c r="O18" s="14"/>
      <c r="P18" s="155"/>
      <c r="Q18" s="12"/>
      <c r="R18" s="12"/>
      <c r="S18" s="12"/>
      <c r="T18" s="12"/>
      <c r="U18" s="12"/>
      <c r="V18" s="12"/>
      <c r="W18" s="12"/>
      <c r="X18" s="12"/>
      <c r="Y18" s="12"/>
      <c r="Z18" s="12"/>
      <c r="AA18" s="12"/>
      <c r="AB18" s="891"/>
      <c r="AC18" s="996"/>
      <c r="AD18" s="1405"/>
      <c r="AE18" s="1405"/>
      <c r="AF18" s="1405"/>
      <c r="AG18" s="1405"/>
      <c r="AH18" s="1405"/>
      <c r="AI18" s="1405"/>
      <c r="AJ18" s="1405"/>
      <c r="AK18" s="1405"/>
      <c r="AL18" s="1405"/>
      <c r="AM18" s="1405"/>
      <c r="AN18" s="1405"/>
      <c r="AO18" s="1405"/>
      <c r="AP18" s="1405"/>
      <c r="AQ18" s="1405"/>
      <c r="AR18" s="1405"/>
      <c r="AS18" s="67"/>
      <c r="AT18" s="996"/>
      <c r="AU18" s="12"/>
      <c r="AV18" s="12"/>
      <c r="AW18" s="12"/>
      <c r="AX18" s="12"/>
      <c r="AY18" s="14"/>
      <c r="AZ18" s="14"/>
      <c r="BA18" s="14"/>
      <c r="BB18" s="14"/>
      <c r="BC18" s="14"/>
      <c r="BD18" s="14"/>
      <c r="BE18" s="14"/>
      <c r="BF18" s="14"/>
      <c r="BG18" s="14"/>
      <c r="BH18" s="14"/>
      <c r="BI18" s="14"/>
    </row>
    <row r="19" spans="1:61">
      <c r="A19" s="212"/>
      <c r="B19" s="898"/>
      <c r="C19" s="898"/>
      <c r="D19" s="898"/>
      <c r="E19" s="891"/>
      <c r="F19" s="1455" t="s">
        <v>1716</v>
      </c>
      <c r="G19" s="1456"/>
      <c r="H19" s="1456"/>
      <c r="I19" s="1456"/>
      <c r="J19" s="1456"/>
      <c r="K19" s="1456"/>
      <c r="L19" s="1456"/>
      <c r="M19" s="1457"/>
      <c r="N19" s="1457"/>
      <c r="O19" s="1457"/>
      <c r="P19" s="1458"/>
      <c r="Q19" s="1459"/>
      <c r="R19" s="12"/>
      <c r="S19" s="12"/>
      <c r="T19" s="12"/>
      <c r="U19" s="12"/>
      <c r="V19" s="12"/>
      <c r="W19" s="12"/>
      <c r="X19" s="12"/>
      <c r="Y19" s="12"/>
      <c r="Z19" s="12"/>
      <c r="AA19" s="12"/>
      <c r="AB19" s="891"/>
      <c r="AC19" s="996"/>
      <c r="AD19" s="1405"/>
      <c r="AE19" s="1405"/>
      <c r="AF19" s="1405"/>
      <c r="AG19" s="1405"/>
      <c r="AH19" s="1405"/>
      <c r="AI19" s="1405"/>
      <c r="AJ19" s="1405"/>
      <c r="AK19" s="1405"/>
      <c r="AL19" s="1405"/>
      <c r="AM19" s="1405"/>
      <c r="AN19" s="1405"/>
      <c r="AO19" s="1405"/>
      <c r="AP19" s="1405"/>
      <c r="AQ19" s="1405"/>
      <c r="AR19" s="1405"/>
      <c r="AS19" s="67"/>
      <c r="AT19" s="996"/>
      <c r="AU19" s="12"/>
      <c r="AV19" s="12"/>
      <c r="AW19" s="12"/>
      <c r="AX19" s="12"/>
      <c r="AY19" s="14"/>
      <c r="AZ19" s="14"/>
      <c r="BA19" s="14"/>
      <c r="BB19" s="14"/>
      <c r="BC19" s="14"/>
      <c r="BD19" s="14"/>
      <c r="BE19" s="14"/>
      <c r="BF19" s="14"/>
      <c r="BG19" s="14"/>
      <c r="BH19" s="14"/>
      <c r="BI19" s="14"/>
    </row>
    <row r="20" spans="1:61">
      <c r="A20" s="212"/>
      <c r="B20" s="898"/>
      <c r="C20" s="898"/>
      <c r="D20" s="898"/>
      <c r="E20" s="891"/>
      <c r="F20" s="891"/>
      <c r="G20" s="891"/>
      <c r="H20" s="891"/>
      <c r="I20" s="891"/>
      <c r="J20" s="891"/>
      <c r="K20" s="891"/>
      <c r="L20" s="891"/>
      <c r="M20" s="14"/>
      <c r="N20" s="14"/>
      <c r="O20" s="14"/>
      <c r="P20" s="155"/>
      <c r="Q20" s="12"/>
      <c r="R20" s="12"/>
      <c r="S20" s="12"/>
      <c r="T20" s="12"/>
      <c r="U20" s="12"/>
      <c r="V20" s="12"/>
      <c r="W20" s="12"/>
      <c r="X20" s="12"/>
      <c r="Y20" s="12"/>
      <c r="Z20" s="12"/>
      <c r="AA20" s="12"/>
      <c r="AB20" s="891"/>
      <c r="AC20" s="996"/>
      <c r="AD20" s="1405"/>
      <c r="AE20" s="1405"/>
      <c r="AF20" s="1405"/>
      <c r="AG20" s="1405"/>
      <c r="AH20" s="1405"/>
      <c r="AI20" s="1405"/>
      <c r="AJ20" s="1405"/>
      <c r="AK20" s="1405"/>
      <c r="AL20" s="1405"/>
      <c r="AM20" s="1405"/>
      <c r="AN20" s="1405"/>
      <c r="AO20" s="1405"/>
      <c r="AP20" s="1405"/>
      <c r="AQ20" s="1405"/>
      <c r="AR20" s="1405"/>
      <c r="AS20" s="67"/>
      <c r="AT20" s="996"/>
      <c r="AU20" s="12"/>
      <c r="AV20" s="12"/>
      <c r="AW20" s="12"/>
      <c r="AX20" s="12"/>
      <c r="AY20" s="14"/>
      <c r="AZ20" s="14"/>
      <c r="BA20" s="14"/>
      <c r="BB20" s="14"/>
      <c r="BC20" s="14"/>
      <c r="BD20" s="14"/>
      <c r="BE20" s="14"/>
      <c r="BF20" s="14"/>
      <c r="BG20" s="14"/>
      <c r="BH20" s="14"/>
      <c r="BI20" s="14"/>
    </row>
    <row r="21" spans="1:61" s="19" customFormat="1">
      <c r="B21" s="30"/>
      <c r="C21" s="30"/>
      <c r="D21" s="30"/>
      <c r="E21" s="14"/>
      <c r="F21" s="68" t="s">
        <v>3</v>
      </c>
      <c r="G21" s="15"/>
      <c r="H21" s="15"/>
      <c r="I21" s="15"/>
      <c r="J21" s="15"/>
      <c r="K21" s="14"/>
      <c r="L21" s="14"/>
      <c r="M21" s="15" t="s">
        <v>489</v>
      </c>
      <c r="N21" s="15"/>
      <c r="O21" s="15"/>
      <c r="P21" s="14"/>
      <c r="Q21" s="14"/>
      <c r="R21" s="14"/>
      <c r="S21" s="14"/>
      <c r="T21" s="14"/>
      <c r="U21" s="14"/>
      <c r="V21" s="14"/>
      <c r="W21" s="14"/>
      <c r="X21" s="14"/>
      <c r="Y21" s="14"/>
      <c r="Z21" s="14"/>
      <c r="AA21" s="14"/>
      <c r="AB21" s="67"/>
      <c r="AC21" s="995"/>
      <c r="AD21" s="1405"/>
      <c r="AE21" s="1405"/>
      <c r="AF21" s="1405"/>
      <c r="AG21" s="1405"/>
      <c r="AH21" s="1405"/>
      <c r="AI21" s="1405"/>
      <c r="AJ21" s="1405"/>
      <c r="AK21" s="1405"/>
      <c r="AL21" s="1405"/>
      <c r="AM21" s="1405"/>
      <c r="AN21" s="1405"/>
      <c r="AO21" s="1405"/>
      <c r="AP21" s="1405"/>
      <c r="AQ21" s="1405"/>
      <c r="AR21" s="1405"/>
      <c r="AS21" s="67"/>
      <c r="AT21" s="995"/>
      <c r="AU21" s="14"/>
      <c r="AV21" s="14" t="s">
        <v>1403</v>
      </c>
      <c r="AW21" s="14"/>
      <c r="AX21" s="14"/>
      <c r="AY21" s="14"/>
      <c r="AZ21" s="14"/>
      <c r="BA21" s="14"/>
      <c r="BB21" s="14"/>
      <c r="BC21" s="14"/>
      <c r="BD21" s="14"/>
      <c r="BE21" s="14"/>
      <c r="BF21" s="14"/>
      <c r="BG21" s="14"/>
      <c r="BH21" s="14"/>
      <c r="BI21" s="14"/>
    </row>
    <row r="22" spans="1:61" s="19" customFormat="1" ht="17.25" customHeight="1">
      <c r="B22" s="30"/>
      <c r="C22" s="30"/>
      <c r="D22" s="30"/>
      <c r="E22" s="14"/>
      <c r="F22" s="22" t="s">
        <v>4</v>
      </c>
      <c r="G22" s="1691" t="str">
        <f>IF('Overzicht GPR Hulpmiddelen'!D6="","",'Overzicht GPR Hulpmiddelen'!D6)</f>
        <v/>
      </c>
      <c r="H22" s="1691"/>
      <c r="I22" s="1691"/>
      <c r="J22" s="1691"/>
      <c r="K22" s="1700"/>
      <c r="L22" s="213" t="s">
        <v>396</v>
      </c>
      <c r="M22" s="22" t="s">
        <v>492</v>
      </c>
      <c r="N22" s="22"/>
      <c r="O22" s="22"/>
      <c r="P22" s="1705" t="s">
        <v>400</v>
      </c>
      <c r="Q22" s="1698"/>
      <c r="R22" s="14"/>
      <c r="S22" s="14"/>
      <c r="T22" s="14"/>
      <c r="U22" s="14"/>
      <c r="V22" s="14"/>
      <c r="W22" s="14"/>
      <c r="X22" s="14"/>
      <c r="Y22" s="14"/>
      <c r="Z22" s="14"/>
      <c r="AA22" s="14"/>
      <c r="AB22" s="67"/>
      <c r="AC22" s="995"/>
      <c r="AD22" s="1405"/>
      <c r="AE22" s="1405"/>
      <c r="AF22" s="1405"/>
      <c r="AG22" s="1405"/>
      <c r="AH22" s="1405"/>
      <c r="AI22" s="1405"/>
      <c r="AJ22" s="1405"/>
      <c r="AK22" s="1405"/>
      <c r="AL22" s="1405"/>
      <c r="AM22" s="1405"/>
      <c r="AN22" s="1405"/>
      <c r="AO22" s="1405"/>
      <c r="AP22" s="1405"/>
      <c r="AQ22" s="1405"/>
      <c r="AR22" s="1405"/>
      <c r="AS22" s="67"/>
      <c r="AT22" s="995"/>
      <c r="AU22" s="14"/>
      <c r="AV22" s="1360" t="s">
        <v>494</v>
      </c>
      <c r="AW22" s="22"/>
      <c r="AX22" s="22"/>
      <c r="AY22" s="1335" t="str">
        <f>P24&amp;" | "&amp;P22</f>
        <v>GPR 4.4 | NEN 7120</v>
      </c>
      <c r="AZ22" s="1336"/>
      <c r="BA22" s="1336"/>
      <c r="BB22" s="1337"/>
      <c r="BC22" s="14"/>
      <c r="BD22" s="14"/>
      <c r="BE22" s="14"/>
      <c r="BF22" s="14"/>
      <c r="BG22" s="14"/>
      <c r="BH22" s="14"/>
      <c r="BI22" s="14"/>
    </row>
    <row r="23" spans="1:61" s="19" customFormat="1">
      <c r="B23" s="30"/>
      <c r="C23" s="30"/>
      <c r="D23" s="30"/>
      <c r="E23" s="14"/>
      <c r="F23" s="22" t="s">
        <v>5</v>
      </c>
      <c r="G23" s="1691" t="str">
        <f>IF('Overzicht GPR Hulpmiddelen'!D7="","",'Overzicht GPR Hulpmiddelen'!D7)</f>
        <v/>
      </c>
      <c r="H23" s="1691"/>
      <c r="I23" s="1691"/>
      <c r="J23" s="1691"/>
      <c r="K23" s="1700"/>
      <c r="L23" s="213" t="s">
        <v>396</v>
      </c>
      <c r="M23" s="22" t="s">
        <v>490</v>
      </c>
      <c r="N23" s="22"/>
      <c r="O23" s="22"/>
      <c r="P23" s="1702" t="s">
        <v>1510</v>
      </c>
      <c r="Q23" s="1701"/>
      <c r="R23" s="916" t="s">
        <v>1458</v>
      </c>
      <c r="S23" s="14"/>
      <c r="T23" s="14"/>
      <c r="U23" s="14"/>
      <c r="V23" s="14"/>
      <c r="W23" s="14"/>
      <c r="X23" s="14"/>
      <c r="Y23" s="14"/>
      <c r="Z23" s="14"/>
      <c r="AA23" s="14"/>
      <c r="AB23" s="67"/>
      <c r="AC23" s="995"/>
      <c r="AD23" s="1405"/>
      <c r="AE23" s="1405"/>
      <c r="AF23" s="1405"/>
      <c r="AG23" s="1405"/>
      <c r="AH23" s="1405"/>
      <c r="AI23" s="1405"/>
      <c r="AJ23" s="1405"/>
      <c r="AK23" s="1405"/>
      <c r="AL23" s="1405"/>
      <c r="AM23" s="1405"/>
      <c r="AN23" s="1405"/>
      <c r="AO23" s="1405"/>
      <c r="AP23" s="1405"/>
      <c r="AQ23" s="1405"/>
      <c r="AR23" s="1405"/>
      <c r="AS23" s="67"/>
      <c r="AT23" s="995"/>
      <c r="AU23" s="14"/>
      <c r="AV23" s="1360" t="s">
        <v>495</v>
      </c>
      <c r="AW23" s="22"/>
      <c r="AX23" s="22"/>
      <c r="AY23" s="1335" t="str">
        <f>_xlfn.CONCAT(P24," | ",P27)</f>
        <v>GPR 4.4 | NTA 8800</v>
      </c>
      <c r="AZ23" s="1336"/>
      <c r="BA23" s="1336"/>
      <c r="BB23" s="1337"/>
      <c r="BC23" s="14"/>
      <c r="BD23" s="14"/>
      <c r="BE23" s="14"/>
      <c r="BF23" s="14"/>
      <c r="BG23" s="14"/>
      <c r="BH23" s="14"/>
      <c r="BI23" s="14"/>
    </row>
    <row r="24" spans="1:61" s="19" customFormat="1">
      <c r="D24" s="30"/>
      <c r="E24" s="14"/>
      <c r="F24" s="22" t="s">
        <v>6</v>
      </c>
      <c r="G24" s="1691" t="str">
        <f>IF('Overzicht GPR Hulpmiddelen'!D8="","",'Overzicht GPR Hulpmiddelen'!D8)</f>
        <v/>
      </c>
      <c r="H24" s="1691"/>
      <c r="I24" s="1691"/>
      <c r="J24" s="1691"/>
      <c r="K24" s="1700"/>
      <c r="L24" s="213" t="s">
        <v>396</v>
      </c>
      <c r="M24" s="22" t="s">
        <v>392</v>
      </c>
      <c r="N24" s="22"/>
      <c r="O24" s="22"/>
      <c r="P24" s="1685" t="s">
        <v>395</v>
      </c>
      <c r="Q24" s="1701"/>
      <c r="R24" s="916" t="s">
        <v>1455</v>
      </c>
      <c r="S24" s="14"/>
      <c r="T24" s="14"/>
      <c r="U24" s="14"/>
      <c r="V24" s="14"/>
      <c r="W24" s="14"/>
      <c r="X24" s="14"/>
      <c r="Y24" s="14"/>
      <c r="Z24" s="14"/>
      <c r="AA24" s="14"/>
      <c r="AB24" s="67"/>
      <c r="AC24" s="995"/>
      <c r="AD24" s="1405"/>
      <c r="AE24" s="1405"/>
      <c r="AF24" s="1405"/>
      <c r="AG24" s="1405"/>
      <c r="AH24" s="1405"/>
      <c r="AI24" s="1405"/>
      <c r="AJ24" s="1405"/>
      <c r="AK24" s="1405"/>
      <c r="AL24" s="1405"/>
      <c r="AM24" s="1405"/>
      <c r="AN24" s="1405"/>
      <c r="AO24" s="1405"/>
      <c r="AP24" s="1405"/>
      <c r="AQ24" s="1405"/>
      <c r="AR24" s="1405"/>
      <c r="AS24" s="67"/>
      <c r="AT24" s="995"/>
      <c r="AU24" s="14"/>
      <c r="AV24" s="1360" t="s">
        <v>1655</v>
      </c>
      <c r="AW24" s="22"/>
      <c r="AX24" s="22"/>
      <c r="AY24" s="1335" t="str">
        <f>_xlfn.CONCAT(P24," | ",P25," | ",P26)</f>
        <v>GPR 4.4 | nieuwbouw | woningbouw</v>
      </c>
      <c r="AZ24" s="1336"/>
      <c r="BA24" s="1336"/>
      <c r="BB24" s="1337"/>
      <c r="BC24" s="14"/>
      <c r="BD24" s="14"/>
      <c r="BE24" s="14"/>
      <c r="BF24" s="14"/>
      <c r="BG24" s="14"/>
      <c r="BH24" s="14"/>
      <c r="BI24" s="14"/>
    </row>
    <row r="25" spans="1:61" s="19" customFormat="1">
      <c r="D25" s="30"/>
      <c r="E25" s="14"/>
      <c r="F25" s="22" t="s">
        <v>7</v>
      </c>
      <c r="G25" s="1699" t="str">
        <f>IF('Overzicht GPR Hulpmiddelen'!D9="","",'Overzicht GPR Hulpmiddelen'!D9)</f>
        <v/>
      </c>
      <c r="H25" s="1699"/>
      <c r="I25" s="1699"/>
      <c r="J25" s="1699"/>
      <c r="K25" s="1700"/>
      <c r="L25" s="213"/>
      <c r="M25" s="22" t="s">
        <v>1386</v>
      </c>
      <c r="N25" s="22"/>
      <c r="O25" s="22"/>
      <c r="P25" s="1685" t="s">
        <v>1389</v>
      </c>
      <c r="Q25" s="1701"/>
      <c r="R25" s="14"/>
      <c r="S25" s="14"/>
      <c r="T25" s="14"/>
      <c r="U25" s="14"/>
      <c r="V25" s="14"/>
      <c r="W25" s="14"/>
      <c r="X25" s="14"/>
      <c r="Y25" s="14"/>
      <c r="Z25" s="14"/>
      <c r="AA25" s="14"/>
      <c r="AB25" s="67"/>
      <c r="AC25" s="995"/>
      <c r="AD25" s="1405"/>
      <c r="AE25" s="1405"/>
      <c r="AF25" s="1405"/>
      <c r="AG25" s="1405"/>
      <c r="AH25" s="1405"/>
      <c r="AI25" s="1405"/>
      <c r="AJ25" s="1405"/>
      <c r="AK25" s="1405"/>
      <c r="AL25" s="1405"/>
      <c r="AM25" s="1405"/>
      <c r="AN25" s="1405"/>
      <c r="AO25" s="1405"/>
      <c r="AP25" s="1405"/>
      <c r="AQ25" s="1405"/>
      <c r="AR25" s="1405"/>
      <c r="AS25" s="67"/>
      <c r="AT25" s="995"/>
      <c r="AU25" s="14"/>
      <c r="AV25" s="1360" t="s">
        <v>1634</v>
      </c>
      <c r="AW25" s="22"/>
      <c r="AX25" s="22"/>
      <c r="AY25" s="1335" t="str">
        <f>_xlfn.CONCAT(P24," | ",P25," | ",P26," | ",P27)</f>
        <v>GPR 4.4 | nieuwbouw | woningbouw | NTA 8800</v>
      </c>
      <c r="AZ25" s="1336"/>
      <c r="BA25" s="1336"/>
      <c r="BB25" s="1337"/>
      <c r="BC25" s="14"/>
      <c r="BD25" s="14"/>
      <c r="BE25" s="14"/>
      <c r="BF25" s="14"/>
      <c r="BG25" s="14"/>
      <c r="BH25" s="14"/>
      <c r="BI25" s="14"/>
    </row>
    <row r="26" spans="1:61" s="19" customFormat="1">
      <c r="D26" s="30"/>
      <c r="E26" s="14"/>
      <c r="F26" s="22" t="s">
        <v>488</v>
      </c>
      <c r="G26" s="1685"/>
      <c r="H26" s="1685"/>
      <c r="I26" s="1685"/>
      <c r="J26" s="1685"/>
      <c r="K26" s="1700"/>
      <c r="L26" s="213"/>
      <c r="M26" s="22" t="s">
        <v>1665</v>
      </c>
      <c r="N26" s="22"/>
      <c r="O26" s="22"/>
      <c r="P26" s="1702" t="s">
        <v>486</v>
      </c>
      <c r="Q26" s="1701"/>
      <c r="R26" s="14"/>
      <c r="S26" s="14"/>
      <c r="T26" s="14"/>
      <c r="U26" s="14"/>
      <c r="V26" s="14"/>
      <c r="W26" s="14"/>
      <c r="X26" s="14"/>
      <c r="Y26" s="14"/>
      <c r="Z26" s="14"/>
      <c r="AA26" s="14"/>
      <c r="AB26" s="67"/>
      <c r="AC26" s="995"/>
      <c r="AD26" s="1405"/>
      <c r="AE26" s="1405"/>
      <c r="AF26" s="1405"/>
      <c r="AG26" s="1405"/>
      <c r="AH26" s="1405"/>
      <c r="AI26" s="1405"/>
      <c r="AJ26" s="1405"/>
      <c r="AK26" s="1405"/>
      <c r="AL26" s="1405"/>
      <c r="AM26" s="1405"/>
      <c r="AN26" s="1405"/>
      <c r="AO26" s="1405"/>
      <c r="AP26" s="1405"/>
      <c r="AQ26" s="1405"/>
      <c r="AR26" s="1405"/>
      <c r="AS26" s="67"/>
      <c r="AT26" s="995"/>
      <c r="AU26" s="14"/>
      <c r="AV26" s="14"/>
      <c r="AW26" s="14"/>
      <c r="AX26" s="14"/>
      <c r="AY26" s="14"/>
      <c r="AZ26" s="14"/>
      <c r="BA26" s="14"/>
      <c r="BB26" s="14"/>
      <c r="BC26" s="14"/>
      <c r="BD26" s="14"/>
      <c r="BE26" s="14"/>
      <c r="BF26" s="14"/>
      <c r="BG26" s="14"/>
      <c r="BH26" s="14"/>
      <c r="BI26" s="14"/>
    </row>
    <row r="27" spans="1:61" s="19" customFormat="1">
      <c r="D27" s="30"/>
      <c r="E27" s="14"/>
      <c r="F27" s="22" t="s">
        <v>1525</v>
      </c>
      <c r="G27" s="1685"/>
      <c r="H27" s="1685"/>
      <c r="I27" s="1685"/>
      <c r="J27" s="1685"/>
      <c r="K27" s="1700"/>
      <c r="L27" s="213" t="s">
        <v>396</v>
      </c>
      <c r="M27" s="22" t="s">
        <v>1526</v>
      </c>
      <c r="N27" s="22"/>
      <c r="O27" s="22"/>
      <c r="P27" s="1703" t="s">
        <v>401</v>
      </c>
      <c r="Q27" s="1704"/>
      <c r="R27" s="983" t="str">
        <f>_xlfn.CONCAT("Kies een passende bepalingsmethode, die beschikbaar is in ",P24)</f>
        <v>Kies een passende bepalingsmethode, die beschikbaar is in GPR 4.4</v>
      </c>
      <c r="S27" s="14"/>
      <c r="T27" s="14"/>
      <c r="U27" s="14"/>
      <c r="V27" s="14"/>
      <c r="W27" s="14"/>
      <c r="X27" s="14"/>
      <c r="Y27" s="14"/>
      <c r="Z27" s="14"/>
      <c r="AA27" s="14"/>
      <c r="AB27" s="67"/>
      <c r="AC27" s="995"/>
      <c r="AD27" s="1405"/>
      <c r="AE27" s="1405"/>
      <c r="AF27" s="1405"/>
      <c r="AG27" s="1405"/>
      <c r="AH27" s="1405"/>
      <c r="AI27" s="1405"/>
      <c r="AJ27" s="1405"/>
      <c r="AK27" s="1405"/>
      <c r="AL27" s="1405"/>
      <c r="AM27" s="1405"/>
      <c r="AN27" s="1405"/>
      <c r="AO27" s="1405"/>
      <c r="AP27" s="1405"/>
      <c r="AQ27" s="1405"/>
      <c r="AR27" s="1405"/>
      <c r="AS27" s="67"/>
      <c r="AT27" s="995"/>
      <c r="AU27" s="14"/>
      <c r="AV27" s="14"/>
      <c r="AW27" s="14"/>
      <c r="AX27" s="14"/>
      <c r="AY27" s="14"/>
      <c r="AZ27" s="14"/>
      <c r="BA27" s="14"/>
      <c r="BB27" s="14"/>
      <c r="BC27" s="14"/>
      <c r="BD27" s="14"/>
      <c r="BE27" s="14"/>
      <c r="BF27" s="14"/>
      <c r="BG27" s="14"/>
      <c r="BH27" s="14"/>
      <c r="BI27" s="14"/>
    </row>
    <row r="28" spans="1:61">
      <c r="A28" s="212"/>
      <c r="B28" s="898"/>
      <c r="C28" s="898"/>
      <c r="D28" s="898"/>
      <c r="E28" s="891"/>
      <c r="F28" s="891"/>
      <c r="G28" s="891"/>
      <c r="H28" s="891"/>
      <c r="I28" s="891"/>
      <c r="J28" s="891"/>
      <c r="K28" s="891"/>
      <c r="L28" s="891"/>
      <c r="M28" s="14"/>
      <c r="N28" s="14"/>
      <c r="O28" s="14"/>
      <c r="P28" s="155"/>
      <c r="Q28" s="12"/>
      <c r="R28" s="12"/>
      <c r="S28" s="12"/>
      <c r="T28" s="12"/>
      <c r="U28" s="12"/>
      <c r="V28" s="12"/>
      <c r="W28" s="12"/>
      <c r="X28" s="12"/>
      <c r="Y28" s="12"/>
      <c r="Z28" s="12"/>
      <c r="AA28" s="12"/>
      <c r="AB28" s="891"/>
      <c r="AC28" s="996"/>
      <c r="AD28" s="1405"/>
      <c r="AE28" s="1405"/>
      <c r="AF28" s="1405"/>
      <c r="AG28" s="1405"/>
      <c r="AH28" s="1405"/>
      <c r="AI28" s="1405"/>
      <c r="AJ28" s="1405"/>
      <c r="AK28" s="1405"/>
      <c r="AL28" s="1405"/>
      <c r="AM28" s="1405"/>
      <c r="AN28" s="1405"/>
      <c r="AO28" s="1405"/>
      <c r="AP28" s="1405"/>
      <c r="AQ28" s="1405"/>
      <c r="AR28" s="1405"/>
      <c r="AS28" s="67"/>
      <c r="AT28" s="996"/>
      <c r="AU28" s="12"/>
      <c r="AV28" s="12"/>
      <c r="AW28" s="12"/>
      <c r="AX28" s="12"/>
      <c r="AY28" s="14"/>
      <c r="AZ28" s="14"/>
      <c r="BA28" s="14"/>
      <c r="BB28" s="14"/>
      <c r="BC28" s="14"/>
      <c r="BD28" s="14"/>
      <c r="BE28" s="14"/>
      <c r="BF28" s="14"/>
      <c r="BG28" s="14"/>
      <c r="BH28" s="14"/>
      <c r="BI28" s="14"/>
    </row>
    <row r="29" spans="1:61" s="896" customFormat="1" ht="25.5" customHeight="1">
      <c r="A29" s="86"/>
      <c r="B29" s="30"/>
      <c r="C29" s="30"/>
      <c r="D29" s="943"/>
      <c r="E29" s="897"/>
      <c r="F29" s="893" t="s">
        <v>1405</v>
      </c>
      <c r="G29" s="912"/>
      <c r="H29" s="913"/>
      <c r="I29" s="894"/>
      <c r="J29" s="912"/>
      <c r="K29" s="914"/>
      <c r="L29" s="895"/>
      <c r="M29" s="893"/>
      <c r="N29" s="893"/>
      <c r="O29" s="895"/>
      <c r="P29" s="895"/>
      <c r="Q29" s="893"/>
      <c r="R29" s="893"/>
      <c r="S29" s="893"/>
      <c r="T29" s="893"/>
      <c r="U29" s="893"/>
      <c r="V29" s="893"/>
      <c r="W29" s="893"/>
      <c r="X29" s="893"/>
      <c r="Y29" s="893"/>
      <c r="Z29" s="893"/>
      <c r="AA29" s="893"/>
      <c r="AB29" s="893"/>
      <c r="AC29" s="893"/>
      <c r="AD29" s="893"/>
      <c r="AE29" s="893"/>
      <c r="AF29" s="893"/>
      <c r="AG29" s="893"/>
      <c r="AH29" s="893"/>
      <c r="AI29" s="893"/>
      <c r="AJ29" s="893"/>
      <c r="AK29" s="893"/>
      <c r="AL29" s="893"/>
      <c r="AM29" s="893"/>
      <c r="AN29" s="893"/>
      <c r="AO29" s="893"/>
      <c r="AP29" s="893"/>
      <c r="AQ29" s="893"/>
      <c r="AR29" s="893"/>
      <c r="AS29" s="893"/>
      <c r="AT29" s="1381"/>
      <c r="AU29" s="893"/>
      <c r="AV29" s="893"/>
      <c r="AW29" s="893"/>
      <c r="AX29" s="893"/>
      <c r="AY29" s="893"/>
      <c r="AZ29" s="893"/>
      <c r="BA29" s="893"/>
      <c r="BB29" s="893"/>
      <c r="BC29" s="893"/>
      <c r="BD29" s="893"/>
      <c r="BE29" s="893"/>
      <c r="BF29" s="893"/>
      <c r="BG29" s="893"/>
      <c r="BH29" s="893"/>
      <c r="BI29" s="893"/>
    </row>
    <row r="30" spans="1:61" collapsed="1">
      <c r="A30" s="86"/>
      <c r="D30" s="943"/>
      <c r="E30" s="14"/>
      <c r="F30" s="13"/>
      <c r="G30" s="13"/>
      <c r="H30" s="13"/>
      <c r="I30" s="12"/>
      <c r="J30" s="39"/>
      <c r="K30" s="40"/>
      <c r="L30" s="39"/>
      <c r="M30" s="39"/>
      <c r="N30" s="39"/>
      <c r="O30" s="39"/>
      <c r="P30" s="12"/>
      <c r="Q30" s="12"/>
      <c r="R30" s="12"/>
      <c r="S30" s="12"/>
      <c r="T30" s="12"/>
      <c r="U30" s="12"/>
      <c r="V30" s="12"/>
      <c r="W30" s="12"/>
      <c r="X30" s="12"/>
      <c r="Y30" s="12"/>
      <c r="Z30" s="12"/>
      <c r="AA30" s="12"/>
      <c r="AB30" s="67"/>
      <c r="AC30" s="995"/>
      <c r="AD30" s="1405"/>
      <c r="AE30" s="1405"/>
      <c r="AF30" s="1405"/>
      <c r="AG30" s="1405"/>
      <c r="AH30" s="1405"/>
      <c r="AI30" s="1405"/>
      <c r="AJ30" s="1405"/>
      <c r="AK30" s="1405"/>
      <c r="AL30" s="1405"/>
      <c r="AM30" s="1405"/>
      <c r="AN30" s="1405"/>
      <c r="AO30" s="1405"/>
      <c r="AP30" s="1405"/>
      <c r="AQ30" s="1405"/>
      <c r="AR30" s="1405"/>
      <c r="AS30" s="67"/>
      <c r="AT30" s="995"/>
      <c r="AU30" s="12"/>
      <c r="AV30" s="12"/>
      <c r="AW30" s="12"/>
      <c r="AX30" s="12"/>
      <c r="AY30" s="12"/>
      <c r="AZ30" s="12"/>
      <c r="BA30" s="12"/>
      <c r="BB30" s="12"/>
      <c r="BC30" s="12"/>
      <c r="BD30" s="40"/>
      <c r="BE30" s="40"/>
      <c r="BF30" s="13"/>
      <c r="BG30" s="13"/>
      <c r="BH30" s="13"/>
      <c r="BI30" s="14"/>
    </row>
    <row r="31" spans="1:61">
      <c r="A31" s="18"/>
      <c r="B31" s="763"/>
      <c r="C31" s="763"/>
      <c r="D31" s="763"/>
      <c r="E31" s="14"/>
      <c r="F31" s="15" t="str">
        <f>_xlfn.CONCAT("Overnemen uit EP-berekening '",$P$23,"'")</f>
        <v>Overnemen uit EP-berekening 'Uniec 2 finaal'</v>
      </c>
      <c r="G31" s="16"/>
      <c r="H31" s="16"/>
      <c r="I31" s="16"/>
      <c r="J31" s="148"/>
      <c r="K31" s="14"/>
      <c r="L31" s="39"/>
      <c r="M31" s="12"/>
      <c r="N31" s="12"/>
      <c r="O31" s="12"/>
      <c r="P31" s="12"/>
      <c r="Q31" s="12"/>
      <c r="R31" s="12"/>
      <c r="S31" s="12"/>
      <c r="T31" s="12"/>
      <c r="U31" s="12"/>
      <c r="V31" s="12"/>
      <c r="W31" s="12"/>
      <c r="X31" s="12"/>
      <c r="Y31" s="12"/>
      <c r="Z31" s="12"/>
      <c r="AA31" s="12"/>
      <c r="AB31" s="67"/>
      <c r="AC31" s="995"/>
      <c r="AD31" s="1432"/>
      <c r="AE31" s="1409" t="str">
        <f>_xlfn.CONCAT("Informatief: score in ",$P$24," ",$P$25)</f>
        <v>Informatief: score in GPR 4.4 nieuwbouw</v>
      </c>
      <c r="AF31" s="1408"/>
      <c r="AG31" s="1408"/>
      <c r="AH31" s="1388"/>
      <c r="AI31" s="1388"/>
      <c r="AJ31" s="1388"/>
      <c r="AK31" s="1405"/>
      <c r="AL31" s="1405"/>
      <c r="AM31" s="1405"/>
      <c r="AN31" s="1405"/>
      <c r="AO31" s="1405"/>
      <c r="AP31" s="1405"/>
      <c r="AQ31" s="1405"/>
      <c r="AR31" s="1405"/>
      <c r="AS31" s="67"/>
      <c r="AT31" s="995"/>
      <c r="AU31" s="12"/>
      <c r="AV31" s="15" t="s">
        <v>1656</v>
      </c>
      <c r="AW31" s="12"/>
      <c r="AX31" s="12"/>
      <c r="AY31" s="12"/>
      <c r="AZ31" s="12"/>
      <c r="BA31" s="12"/>
      <c r="BB31" s="12"/>
      <c r="BC31" s="12"/>
      <c r="BD31" s="40"/>
      <c r="BE31" s="40"/>
      <c r="BF31" s="13"/>
      <c r="BG31" s="13"/>
      <c r="BH31" s="13"/>
      <c r="BI31" s="14"/>
    </row>
    <row r="32" spans="1:61">
      <c r="A32" s="18"/>
      <c r="B32" s="763"/>
      <c r="C32" s="763"/>
      <c r="D32" s="763"/>
      <c r="E32" s="14"/>
      <c r="F32" s="452" t="s">
        <v>1398</v>
      </c>
      <c r="G32" s="16"/>
      <c r="H32" s="16"/>
      <c r="I32" s="16"/>
      <c r="J32" s="148"/>
      <c r="K32" s="14"/>
      <c r="L32" s="39"/>
      <c r="M32" s="12"/>
      <c r="N32" s="12"/>
      <c r="O32" s="12"/>
      <c r="P32" s="12"/>
      <c r="Q32" s="12"/>
      <c r="R32" s="12"/>
      <c r="S32" s="12"/>
      <c r="T32" s="12"/>
      <c r="U32" s="12"/>
      <c r="V32" s="12"/>
      <c r="W32" s="12"/>
      <c r="X32" s="12"/>
      <c r="Y32" s="12"/>
      <c r="Z32" s="12"/>
      <c r="AA32" s="12"/>
      <c r="AB32" s="67"/>
      <c r="AC32" s="995"/>
      <c r="AD32" s="891"/>
      <c r="AE32" s="1410" t="s">
        <v>1397</v>
      </c>
      <c r="AF32" s="1410"/>
      <c r="AG32" s="1410"/>
      <c r="AH32" s="1410"/>
      <c r="AI32" s="1410"/>
      <c r="AJ32" s="1410"/>
      <c r="AK32" s="1405"/>
      <c r="AL32" s="1405"/>
      <c r="AM32" s="1405"/>
      <c r="AN32" s="1405"/>
      <c r="AO32" s="1405"/>
      <c r="AP32" s="1405"/>
      <c r="AQ32" s="1405"/>
      <c r="AR32" s="1405"/>
      <c r="AS32" s="67"/>
      <c r="AT32" s="995"/>
      <c r="AU32" s="12"/>
      <c r="AV32" s="452" t="s">
        <v>1657</v>
      </c>
      <c r="AW32" s="452"/>
      <c r="AX32" s="452" t="s">
        <v>1658</v>
      </c>
      <c r="AY32" s="452"/>
      <c r="AZ32" s="452" t="s">
        <v>1659</v>
      </c>
      <c r="BA32" s="452"/>
      <c r="BB32" s="12"/>
      <c r="BC32" s="12"/>
      <c r="BD32" s="40"/>
      <c r="BE32" s="40"/>
      <c r="BF32" s="13"/>
      <c r="BG32" s="13"/>
      <c r="BH32" s="13"/>
      <c r="BI32" s="14"/>
    </row>
    <row r="33" spans="1:61">
      <c r="A33" s="139" t="s">
        <v>396</v>
      </c>
      <c r="B33" s="943"/>
      <c r="C33" s="47" t="str">
        <f>BA52</f>
        <v>Enorm</v>
      </c>
      <c r="D33" s="943"/>
      <c r="E33" s="14"/>
      <c r="F33" s="47" t="str">
        <f>BC52</f>
        <v>Enorm: EPtot</v>
      </c>
      <c r="G33" s="23"/>
      <c r="H33" s="23"/>
      <c r="I33" s="16"/>
      <c r="J33" s="25">
        <v>50</v>
      </c>
      <c r="K33" s="47" t="str">
        <f>BD52</f>
        <v>MJ</v>
      </c>
      <c r="L33" s="39"/>
      <c r="M33" s="12"/>
      <c r="N33" s="12"/>
      <c r="O33" s="12"/>
      <c r="P33" s="12"/>
      <c r="Q33" s="12"/>
      <c r="R33" s="12"/>
      <c r="S33" s="12"/>
      <c r="T33" s="12"/>
      <c r="U33" s="12"/>
      <c r="V33" s="12"/>
      <c r="W33" s="12"/>
      <c r="X33" s="12"/>
      <c r="Y33" s="12"/>
      <c r="Z33" s="12"/>
      <c r="AA33" s="12"/>
      <c r="AB33" s="67"/>
      <c r="AC33" s="995"/>
      <c r="AD33" s="891" t="s">
        <v>396</v>
      </c>
      <c r="AE33" s="903" t="str">
        <f>_xlfn.CONCAT("grenswaarde GPR 6 bij bronmethode (",$P$22," )")</f>
        <v>grenswaarde GPR 6 bij bronmethode (NEN 7120 )</v>
      </c>
      <c r="AF33" s="1474"/>
      <c r="AG33" s="1475">
        <f>F320</f>
        <v>721</v>
      </c>
      <c r="AH33" s="1476" t="str">
        <f>INDEX(EP_Methode_BRON_per_GPR_Versie_Eenheid,MATCH(P$22,EP_Methode_BRON_per_GPR_Versie,0))&amp;"/m2 Ag"</f>
        <v>MJ/m2 Ag</v>
      </c>
      <c r="AI33" s="1410"/>
      <c r="AJ33" s="1410"/>
      <c r="AK33" s="1405"/>
      <c r="AL33" s="1405"/>
      <c r="AM33" s="1405"/>
      <c r="AN33" s="1405"/>
      <c r="AO33" s="1405"/>
      <c r="AP33" s="1405"/>
      <c r="AQ33" s="1405"/>
      <c r="AR33" s="1405"/>
      <c r="AS33" s="67"/>
      <c r="AT33" s="995"/>
      <c r="AU33" s="12"/>
      <c r="AV33" s="22" t="str">
        <f>NEN_7120</f>
        <v>NEN 7120</v>
      </c>
      <c r="AW33" s="22"/>
      <c r="AX33" s="22">
        <f>VLOOKUP(EP_versie_scope_functie,EP_Methode_DOEL_per_GPR_Versie,MATCH(AV33,EP_Methode_DOEL_per_GPR_Versie_titel,0),FALSE)</f>
        <v>1</v>
      </c>
      <c r="AY33" s="22"/>
      <c r="AZ33" s="305" t="str" cm="1">
        <f t="array" ref="AZ33:AZ34">_xlfn._xlws.FILTER(AV33:AV35,AX33:AX35)</f>
        <v>NEN 7120</v>
      </c>
      <c r="BA33" s="12"/>
      <c r="BB33" s="12"/>
      <c r="BC33" s="12"/>
      <c r="BD33" s="40"/>
      <c r="BE33" s="40"/>
      <c r="BF33" s="13"/>
      <c r="BG33" s="13"/>
      <c r="BH33" s="13"/>
      <c r="BI33" s="14"/>
    </row>
    <row r="34" spans="1:61">
      <c r="A34" s="86"/>
      <c r="B34" s="943"/>
      <c r="C34" s="47" t="str">
        <f>BA53</f>
        <v>Uniec 2</v>
      </c>
      <c r="D34" s="943"/>
      <c r="E34" s="14"/>
      <c r="F34" s="47" t="str">
        <f>BC53</f>
        <v>Uniec 2: Karakteristiek energiegebruik EPtot</v>
      </c>
      <c r="G34" s="23"/>
      <c r="H34" s="23"/>
      <c r="I34" s="16"/>
      <c r="J34" s="25"/>
      <c r="K34" s="47" t="str">
        <f>BD53</f>
        <v>MJ</v>
      </c>
      <c r="L34" s="39"/>
      <c r="M34" s="12"/>
      <c r="N34" s="12"/>
      <c r="O34" s="12"/>
      <c r="P34" s="12"/>
      <c r="Q34" s="12"/>
      <c r="R34" s="12"/>
      <c r="S34" s="12"/>
      <c r="T34" s="12"/>
      <c r="U34" s="12"/>
      <c r="V34" s="12"/>
      <c r="W34" s="12"/>
      <c r="X34" s="12"/>
      <c r="Y34" s="12"/>
      <c r="Z34" s="12"/>
      <c r="AA34" s="12"/>
      <c r="AB34" s="67"/>
      <c r="AC34" s="995"/>
      <c r="AD34" s="891" t="s">
        <v>396</v>
      </c>
      <c r="AE34" s="903" t="str">
        <f>_xlfn.CONCAT("grenswaarde GPR 10 bij bronmethode (",$P$22," )")</f>
        <v>grenswaarde GPR 10 bij bronmethode (NEN 7120 )</v>
      </c>
      <c r="AF34" s="1474"/>
      <c r="AG34" s="1475">
        <f>G320</f>
        <v>-169.48965517241379</v>
      </c>
      <c r="AH34" s="1476" t="str">
        <f>INDEX(EP_Methode_BRON_per_GPR_Versie_Eenheid,MATCH(P$22,EP_Methode_BRON_per_GPR_Versie,0))&amp;"/m2 Ag"</f>
        <v>MJ/m2 Ag</v>
      </c>
      <c r="AI34" s="1410"/>
      <c r="AJ34" s="1410"/>
      <c r="AK34" s="1405"/>
      <c r="AL34" s="1405"/>
      <c r="AM34" s="1405"/>
      <c r="AN34" s="1405"/>
      <c r="AO34" s="1405"/>
      <c r="AP34" s="1405"/>
      <c r="AQ34" s="1405"/>
      <c r="AR34" s="1405"/>
      <c r="AS34" s="67"/>
      <c r="AT34" s="995"/>
      <c r="AU34" s="12"/>
      <c r="AV34" s="22" t="str">
        <f>NTA_8800</f>
        <v>NTA 8800</v>
      </c>
      <c r="AW34" s="22"/>
      <c r="AX34" s="22">
        <f>VLOOKUP(EP_versie_scope_functie,EP_Methode_DOEL_per_GPR_Versie,MATCH(AV34,EP_Methode_DOEL_per_GPR_Versie_titel,0),FALSE)</f>
        <v>1</v>
      </c>
      <c r="AY34" s="22"/>
      <c r="AZ34" s="304" t="str">
        <v>NTA 8800</v>
      </c>
      <c r="BA34" s="12"/>
      <c r="BB34" s="12"/>
      <c r="BC34" s="12"/>
      <c r="BD34" s="40"/>
      <c r="BE34" s="40"/>
      <c r="BF34" s="13"/>
      <c r="BG34" s="13"/>
      <c r="BH34" s="13"/>
      <c r="BI34" s="14"/>
    </row>
    <row r="35" spans="1:61">
      <c r="A35" s="139" t="s">
        <v>396</v>
      </c>
      <c r="B35" s="943"/>
      <c r="C35" s="47" t="str">
        <f>VLOOKUP(P23,$AV$52:$AX$55,COLUMNS($AV$51:$AX$51),FALSE)</f>
        <v>Uniec 2</v>
      </c>
      <c r="D35" s="943"/>
      <c r="E35" s="14"/>
      <c r="F35" s="22" t="str">
        <f>VLOOKUP($C35,$BA$52:$BE$55,COLUMNS($BA$51:$BE$51),FALSE)</f>
        <v>Uniec 2: Specifieke energieprestatie EP</v>
      </c>
      <c r="G35" s="23"/>
      <c r="H35" s="23"/>
      <c r="I35" s="16"/>
      <c r="J35" s="23">
        <f>IFERROR(SUMIFS(J33:J34,$C$33:$C$34,$C$35)/IF(VLOOKUP($C35,$BA$52:$BF$55,COLUMNS($BA$51:$BF$51),FALSE)=0,$J$59,1),"")</f>
        <v>0</v>
      </c>
      <c r="K35" s="22" t="str">
        <f>_xlfn.CONCAT(INDEX(EP_methode_eenheid,1,MATCH($P$22,EP_methode,0)),"/m2 Ag")</f>
        <v>MJ/m2 Ag</v>
      </c>
      <c r="L35" s="39"/>
      <c r="M35" s="12"/>
      <c r="N35" s="12"/>
      <c r="O35" s="12"/>
      <c r="P35" s="12"/>
      <c r="Q35" s="12"/>
      <c r="R35" s="12"/>
      <c r="S35" s="12"/>
      <c r="T35" s="12"/>
      <c r="U35" s="12"/>
      <c r="V35" s="12"/>
      <c r="W35" s="12"/>
      <c r="X35" s="12"/>
      <c r="Y35" s="12"/>
      <c r="Z35" s="12"/>
      <c r="AA35" s="12"/>
      <c r="AB35" s="67"/>
      <c r="AC35" s="995"/>
      <c r="AD35" s="891" t="s">
        <v>396</v>
      </c>
      <c r="AE35" s="1383" t="s">
        <v>1645</v>
      </c>
      <c r="AF35" s="1444"/>
      <c r="AG35" s="1446">
        <f>J320</f>
        <v>9.0734999277903778</v>
      </c>
      <c r="AH35" s="1387" t="s">
        <v>132</v>
      </c>
      <c r="AI35" s="1410"/>
      <c r="AJ35" s="1410"/>
      <c r="AK35" s="1405"/>
      <c r="AL35" s="1405"/>
      <c r="AM35" s="1405"/>
      <c r="AN35" s="1405"/>
      <c r="AO35" s="1405"/>
      <c r="AP35" s="1405"/>
      <c r="AQ35" s="1405"/>
      <c r="AR35" s="1405"/>
      <c r="AS35" s="67"/>
      <c r="AT35" s="995"/>
      <c r="AU35" s="12"/>
      <c r="AV35" s="22" t="str">
        <f>ISSO_75.3</f>
        <v>ISSO 75.3</v>
      </c>
      <c r="AW35" s="22"/>
      <c r="AX35" s="22">
        <f>VLOOKUP(EP_versie_scope_functie,EP_Methode_DOEL_per_GPR_Versie,MATCH(AV35,EP_Methode_DOEL_per_GPR_Versie_titel,0),FALSE)</f>
        <v>0</v>
      </c>
      <c r="AY35" s="22"/>
      <c r="AZ35" s="306"/>
      <c r="BA35" s="12"/>
      <c r="BB35" s="12"/>
      <c r="BC35" s="12"/>
      <c r="BD35" s="40"/>
      <c r="BE35" s="40"/>
      <c r="BF35" s="13"/>
      <c r="BG35" s="13"/>
      <c r="BH35" s="13"/>
      <c r="BI35" s="14"/>
    </row>
    <row r="36" spans="1:61">
      <c r="A36" s="139" t="s">
        <v>396</v>
      </c>
      <c r="B36" s="943"/>
      <c r="C36" s="47" t="s">
        <v>401</v>
      </c>
      <c r="D36" s="943"/>
      <c r="E36" s="14"/>
      <c r="F36" s="47" t="s">
        <v>1786</v>
      </c>
      <c r="G36" s="47"/>
      <c r="H36" s="47"/>
      <c r="I36" s="16"/>
      <c r="J36" s="1051" t="str">
        <f>IF(C36&lt;&gt;P22,"-",IFERROR(1-J35/AJ58,""))</f>
        <v>-</v>
      </c>
      <c r="K36" s="22"/>
      <c r="L36" s="39"/>
      <c r="M36" s="12"/>
      <c r="N36" s="12"/>
      <c r="O36" s="12"/>
      <c r="P36" s="12"/>
      <c r="Q36" s="12"/>
      <c r="R36" s="12"/>
      <c r="S36" s="12"/>
      <c r="T36" s="12"/>
      <c r="U36" s="12"/>
      <c r="V36" s="12"/>
      <c r="W36" s="12"/>
      <c r="X36" s="12"/>
      <c r="Y36" s="12"/>
      <c r="Z36" s="12"/>
      <c r="AA36" s="12"/>
      <c r="AB36" s="67"/>
      <c r="AC36" s="995"/>
      <c r="AD36" s="891"/>
      <c r="AE36" s="1383"/>
      <c r="AF36" s="1533"/>
      <c r="AG36" s="1534"/>
      <c r="AH36" s="1387"/>
      <c r="AI36" s="1410"/>
      <c r="AJ36" s="1410"/>
      <c r="AK36" s="1405"/>
      <c r="AL36" s="1405"/>
      <c r="AM36" s="1405"/>
      <c r="AN36" s="1405"/>
      <c r="AO36" s="1405"/>
      <c r="AP36" s="1405"/>
      <c r="AQ36" s="1405"/>
      <c r="AR36" s="1405"/>
      <c r="AS36" s="67"/>
      <c r="AT36" s="995"/>
      <c r="AU36" s="12"/>
      <c r="AV36" s="22"/>
      <c r="AW36" s="22"/>
      <c r="AX36" s="22"/>
      <c r="AY36" s="22"/>
      <c r="AZ36" s="1532"/>
      <c r="BA36" s="12"/>
      <c r="BB36" s="12"/>
      <c r="BC36" s="12"/>
      <c r="BD36" s="40"/>
      <c r="BE36" s="40"/>
      <c r="BF36" s="13"/>
      <c r="BG36" s="13"/>
      <c r="BH36" s="13"/>
      <c r="BI36" s="14"/>
    </row>
    <row r="37" spans="1:61" ht="5.25" customHeight="1" collapsed="1">
      <c r="A37" s="86"/>
      <c r="B37" s="943"/>
      <c r="C37" s="943"/>
      <c r="D37" s="943"/>
      <c r="E37" s="14"/>
      <c r="F37" s="13"/>
      <c r="G37" s="13"/>
      <c r="H37" s="13"/>
      <c r="I37" s="16"/>
      <c r="J37" s="13"/>
      <c r="K37" s="13"/>
      <c r="L37" s="39"/>
      <c r="M37" s="12"/>
      <c r="N37" s="12"/>
      <c r="O37" s="12"/>
      <c r="P37" s="12"/>
      <c r="Q37" s="12"/>
      <c r="R37" s="12"/>
      <c r="S37" s="12"/>
      <c r="T37" s="12"/>
      <c r="U37" s="12"/>
      <c r="V37" s="12"/>
      <c r="W37" s="12"/>
      <c r="X37" s="12"/>
      <c r="Y37" s="12"/>
      <c r="Z37" s="12"/>
      <c r="AA37" s="12"/>
      <c r="AB37" s="67"/>
      <c r="AC37" s="995"/>
      <c r="AD37" s="1432"/>
      <c r="AE37" s="1408"/>
      <c r="AF37" s="1408"/>
      <c r="AG37" s="1388"/>
      <c r="AH37" s="1388"/>
      <c r="AI37" s="1410"/>
      <c r="AJ37" s="1410"/>
      <c r="AK37" s="1405"/>
      <c r="AL37" s="1405"/>
      <c r="AM37" s="1405"/>
      <c r="AN37" s="1405"/>
      <c r="AO37" s="1405"/>
      <c r="AP37" s="1405"/>
      <c r="AQ37" s="1405"/>
      <c r="AR37" s="1405"/>
      <c r="AS37" s="67"/>
      <c r="AT37" s="995"/>
      <c r="AU37" s="12"/>
      <c r="AV37" s="12"/>
      <c r="AW37" s="12"/>
      <c r="AX37" s="12"/>
      <c r="AY37" s="12"/>
      <c r="AZ37" s="12"/>
      <c r="BA37" s="12"/>
      <c r="BB37" s="12"/>
      <c r="BC37" s="12"/>
      <c r="BD37" s="40"/>
      <c r="BE37" s="40"/>
      <c r="BF37" s="13"/>
      <c r="BG37" s="13"/>
      <c r="BH37" s="13"/>
      <c r="BI37" s="13"/>
    </row>
    <row r="38" spans="1:61">
      <c r="A38" s="18"/>
      <c r="B38" s="763"/>
      <c r="C38" s="763"/>
      <c r="D38" s="763"/>
      <c r="E38" s="14"/>
      <c r="F38" s="452" t="s">
        <v>1399</v>
      </c>
      <c r="G38" s="16"/>
      <c r="H38" s="16"/>
      <c r="I38" s="16"/>
      <c r="J38" s="148"/>
      <c r="K38" s="14"/>
      <c r="L38" s="39"/>
      <c r="M38" s="12"/>
      <c r="N38" s="12"/>
      <c r="O38" s="12"/>
      <c r="P38" s="12"/>
      <c r="Q38" s="12"/>
      <c r="R38" s="12"/>
      <c r="S38" s="12"/>
      <c r="T38" s="12"/>
      <c r="U38" s="12"/>
      <c r="V38" s="12"/>
      <c r="W38" s="12"/>
      <c r="X38" s="12"/>
      <c r="Y38" s="12"/>
      <c r="Z38" s="12"/>
      <c r="AA38" s="12"/>
      <c r="AB38" s="67"/>
      <c r="AC38" s="995"/>
      <c r="AD38" s="891"/>
      <c r="AE38" s="1410" t="s">
        <v>571</v>
      </c>
      <c r="AF38" s="1408"/>
      <c r="AG38" s="1388"/>
      <c r="AH38" s="1388"/>
      <c r="AI38" s="1410"/>
      <c r="AJ38" s="1410"/>
      <c r="AK38" s="1405"/>
      <c r="AL38" s="1405"/>
      <c r="AM38" s="1405"/>
      <c r="AN38" s="1405"/>
      <c r="AO38" s="1405"/>
      <c r="AP38" s="1405"/>
      <c r="AQ38" s="1405"/>
      <c r="AR38" s="1405"/>
      <c r="AS38" s="67"/>
      <c r="AT38" s="995"/>
      <c r="AU38" s="12"/>
      <c r="AV38" s="12"/>
      <c r="AW38" s="12"/>
      <c r="AX38" s="12"/>
      <c r="AY38" s="12"/>
      <c r="AZ38" s="12"/>
      <c r="BA38" s="12"/>
      <c r="BB38" s="12"/>
      <c r="BC38" s="12"/>
      <c r="BD38" s="40"/>
      <c r="BE38" s="40"/>
      <c r="BF38" s="13"/>
      <c r="BG38" s="13"/>
      <c r="BH38" s="13"/>
      <c r="BI38" s="13"/>
    </row>
    <row r="39" spans="1:61">
      <c r="A39" s="139" t="s">
        <v>396</v>
      </c>
      <c r="B39" s="944"/>
      <c r="C39" s="944"/>
      <c r="D39" s="944"/>
      <c r="E39" s="14"/>
      <c r="F39" s="22" t="s">
        <v>571</v>
      </c>
      <c r="G39" s="23"/>
      <c r="H39" s="23"/>
      <c r="I39" s="16"/>
      <c r="J39" s="1102"/>
      <c r="K39" s="47" t="s">
        <v>468</v>
      </c>
      <c r="L39" s="39"/>
      <c r="M39" s="12"/>
      <c r="N39" s="12"/>
      <c r="O39" s="12"/>
      <c r="P39" s="12"/>
      <c r="Q39" s="12"/>
      <c r="R39" s="12"/>
      <c r="S39" s="12"/>
      <c r="T39" s="12"/>
      <c r="U39" s="12"/>
      <c r="V39" s="12"/>
      <c r="W39" s="12"/>
      <c r="X39" s="12"/>
      <c r="Y39" s="12"/>
      <c r="Z39" s="12"/>
      <c r="AA39" s="12"/>
      <c r="AB39" s="67"/>
      <c r="AC39" s="995"/>
      <c r="AD39" s="891" t="s">
        <v>396</v>
      </c>
      <c r="AE39" s="903" t="str">
        <f>_xlfn.CONCAT("grenswaarde GPR 6 bij bronmethode (",$P$22," )")</f>
        <v>grenswaarde GPR 6 bij bronmethode (NEN 7120 )</v>
      </c>
      <c r="AF39" s="1474"/>
      <c r="AG39" s="1475">
        <f>IF(SUM($M$44:$M$55)=0,0,SUMPRODUCT($M$44:$M$55,F$329:F$340)/SUM($M$44:$M$55))</f>
        <v>41.999699999999997</v>
      </c>
      <c r="AH39" s="1476" t="s">
        <v>427</v>
      </c>
      <c r="AI39" s="1410"/>
      <c r="AJ39" s="1410"/>
      <c r="AK39" s="1405"/>
      <c r="AL39" s="1405"/>
      <c r="AM39" s="1405"/>
      <c r="AN39" s="1405"/>
      <c r="AO39" s="1405"/>
      <c r="AP39" s="1405"/>
      <c r="AQ39" s="1405"/>
      <c r="AR39" s="1405"/>
      <c r="AS39" s="67"/>
      <c r="AT39" s="995"/>
      <c r="AU39" s="12"/>
      <c r="AV39" s="15" t="s">
        <v>1660</v>
      </c>
      <c r="AW39" s="15"/>
      <c r="AX39" s="15"/>
      <c r="AY39" s="15"/>
      <c r="AZ39" s="15"/>
      <c r="BA39" s="15"/>
      <c r="BB39" s="15"/>
      <c r="BC39" s="15"/>
      <c r="BD39" s="15"/>
      <c r="BE39" s="40"/>
      <c r="BF39" s="13"/>
      <c r="BG39" s="13"/>
      <c r="BH39" s="13"/>
      <c r="BI39" s="13"/>
    </row>
    <row r="40" spans="1:61">
      <c r="A40" s="139" t="s">
        <v>396</v>
      </c>
      <c r="B40" s="944"/>
      <c r="C40" s="944"/>
      <c r="D40" s="944"/>
      <c r="E40" s="14"/>
      <c r="F40" s="22" t="s">
        <v>1453</v>
      </c>
      <c r="G40" s="22"/>
      <c r="H40" s="22"/>
      <c r="I40" s="16"/>
      <c r="J40" s="915">
        <f>IF(AG39=0,"",1-AG40/AG39)</f>
        <v>1</v>
      </c>
      <c r="K40" s="47"/>
      <c r="L40" s="39"/>
      <c r="M40" s="12"/>
      <c r="N40" s="12"/>
      <c r="O40" s="12"/>
      <c r="P40" s="12"/>
      <c r="Q40" s="12"/>
      <c r="R40" s="12"/>
      <c r="S40" s="12"/>
      <c r="T40" s="12"/>
      <c r="U40" s="12"/>
      <c r="V40" s="12"/>
      <c r="W40" s="12"/>
      <c r="X40" s="12"/>
      <c r="Y40" s="12"/>
      <c r="Z40" s="12"/>
      <c r="AA40" s="12"/>
      <c r="AB40" s="67"/>
      <c r="AC40" s="995"/>
      <c r="AD40" s="1432"/>
      <c r="AE40" s="1383" t="s">
        <v>1401</v>
      </c>
      <c r="AF40" s="1444"/>
      <c r="AG40" s="1445">
        <f>IF($M$58=0,0,J39/$M$58)</f>
        <v>0</v>
      </c>
      <c r="AH40" s="1412" t="s">
        <v>427</v>
      </c>
      <c r="AI40" s="1410"/>
      <c r="AJ40" s="1410"/>
      <c r="AK40" s="1405"/>
      <c r="AL40" s="1405"/>
      <c r="AM40" s="1405"/>
      <c r="AN40" s="1405"/>
      <c r="AO40" s="1405"/>
      <c r="AP40" s="1405"/>
      <c r="AQ40" s="1405"/>
      <c r="AR40" s="1405"/>
      <c r="AS40" s="67"/>
      <c r="AT40" s="995"/>
      <c r="AU40" s="12"/>
      <c r="AV40" s="453" t="s">
        <v>1402</v>
      </c>
      <c r="AW40" s="890"/>
      <c r="AX40" s="970" t="s">
        <v>1489</v>
      </c>
      <c r="AY40" s="890" t="s">
        <v>1517</v>
      </c>
      <c r="AZ40" s="979" t="str">
        <f>tabellen_EMD!$H$174</f>
        <v>Resultaten per energiefunctie</v>
      </c>
      <c r="BA40" s="12"/>
      <c r="BB40" s="12"/>
      <c r="BC40" s="12"/>
      <c r="BD40" s="40"/>
      <c r="BE40" s="40"/>
      <c r="BF40" s="13"/>
      <c r="BG40" s="13"/>
      <c r="BH40" s="13"/>
      <c r="BI40" s="13"/>
    </row>
    <row r="41" spans="1:61">
      <c r="E41" s="452"/>
      <c r="F41" s="452"/>
      <c r="G41" s="452"/>
      <c r="H41" s="452"/>
      <c r="I41" s="452"/>
      <c r="J41" s="1003"/>
      <c r="K41" s="452"/>
      <c r="L41" s="452"/>
      <c r="M41" s="39"/>
      <c r="N41" s="39"/>
      <c r="O41" s="39"/>
      <c r="P41" s="39"/>
      <c r="Q41" s="39"/>
      <c r="R41" s="39"/>
      <c r="S41" s="39"/>
      <c r="T41" s="452"/>
      <c r="U41" s="12"/>
      <c r="V41" s="12"/>
      <c r="W41" s="12"/>
      <c r="X41" s="12"/>
      <c r="Y41" s="12"/>
      <c r="Z41" s="12"/>
      <c r="AA41" s="12"/>
      <c r="AB41" s="452"/>
      <c r="AC41" s="997"/>
      <c r="AD41" s="1405"/>
      <c r="AE41" s="1405"/>
      <c r="AF41" s="1405"/>
      <c r="AG41" s="1405"/>
      <c r="AH41" s="1405"/>
      <c r="AI41" s="1405"/>
      <c r="AJ41" s="1405"/>
      <c r="AK41" s="1405"/>
      <c r="AL41" s="1405"/>
      <c r="AM41" s="1405"/>
      <c r="AN41" s="1405"/>
      <c r="AO41" s="1405"/>
      <c r="AP41" s="1405"/>
      <c r="AQ41" s="1405"/>
      <c r="AR41" s="1405"/>
      <c r="AS41" s="67"/>
      <c r="AT41" s="997"/>
      <c r="AU41" s="12"/>
      <c r="AV41" s="47" t="str">
        <f>tabellen_EMD!C175</f>
        <v>Enorm</v>
      </c>
      <c r="AW41" s="47"/>
      <c r="AX41" s="47" t="str">
        <f>INDEX(tabellen_EMD!$C$174:$J$182,MATCH('NEN 7120 naar GPR4'!$AV41,tabellen_EMD!$C$174:$C$182,0),MATCH('NEN 7120 naar GPR4'!AX$40,tabellen_EMD!$C$174:$J$174,0))</f>
        <v>NEN 7120</v>
      </c>
      <c r="AY41" s="47" t="b">
        <f t="shared" ref="AY41:AY48" si="0">AX41=$P$22</f>
        <v>1</v>
      </c>
      <c r="AZ41" s="47" t="str">
        <f>INDEX(tabellen_EMD!$C$174:$J$182,MATCH('NEN 7120 naar GPR4'!$AV41,tabellen_EMD!$C$174:$C$182,0),MATCH('NEN 7120 naar GPR4'!AZ$40,tabellen_EMD!$C$174:$J$174,0))</f>
        <v>Resultaten | Primair energiegebruik</v>
      </c>
      <c r="BA41" s="47"/>
      <c r="BB41" s="47"/>
      <c r="BC41" s="47"/>
      <c r="BD41" s="47"/>
      <c r="BE41" s="47"/>
      <c r="BF41" s="13"/>
      <c r="BG41" s="13"/>
      <c r="BH41" s="13"/>
      <c r="BI41" s="13"/>
    </row>
    <row r="42" spans="1:61">
      <c r="A42" s="18"/>
      <c r="B42" s="763"/>
      <c r="C42" s="763"/>
      <c r="D42" s="763"/>
      <c r="E42" s="14"/>
      <c r="F42" s="15" t="str">
        <f>$F$31</f>
        <v>Overnemen uit EP-berekening 'Uniec 2 finaal'</v>
      </c>
      <c r="G42" s="16"/>
      <c r="H42" s="16"/>
      <c r="I42" s="16"/>
      <c r="J42" s="148"/>
      <c r="K42" s="14"/>
      <c r="L42" s="39"/>
      <c r="M42" s="15" t="str">
        <f>"Invullen in "&amp;$AY$23</f>
        <v>Invullen in GPR 4.4 | NTA 8800</v>
      </c>
      <c r="N42" s="39"/>
      <c r="O42" s="39"/>
      <c r="P42" s="39"/>
      <c r="Q42" s="12"/>
      <c r="R42" s="12"/>
      <c r="S42" s="12"/>
      <c r="T42" s="12"/>
      <c r="U42" s="12"/>
      <c r="V42" s="12"/>
      <c r="W42" s="12"/>
      <c r="X42" s="40"/>
      <c r="Y42" s="40"/>
      <c r="Z42" s="40"/>
      <c r="AA42" s="40"/>
      <c r="AB42" s="67"/>
      <c r="AC42" s="995"/>
      <c r="AD42" s="1405"/>
      <c r="AE42" s="1405"/>
      <c r="AF42" s="1405"/>
      <c r="AG42" s="1405"/>
      <c r="AH42" s="1405"/>
      <c r="AI42" s="1405"/>
      <c r="AJ42" s="1405"/>
      <c r="AK42" s="1405"/>
      <c r="AL42" s="1405"/>
      <c r="AM42" s="1405"/>
      <c r="AN42" s="1405"/>
      <c r="AO42" s="1405"/>
      <c r="AP42" s="1405"/>
      <c r="AQ42" s="1405"/>
      <c r="AR42" s="1405"/>
      <c r="AS42" s="67"/>
      <c r="AT42" s="995"/>
      <c r="AU42" s="12"/>
      <c r="AV42" s="47" t="str">
        <f>tabellen_EMD!C176</f>
        <v>Uniec 2 per functie</v>
      </c>
      <c r="AW42" s="47"/>
      <c r="AX42" s="47" t="str">
        <f>INDEX(tabellen_EMD!$C$174:$J$182,MATCH('NEN 7120 naar GPR4'!$AV42,tabellen_EMD!$C$174:$C$182,0),MATCH('NEN 7120 naar GPR4'!AX$40,tabellen_EMD!$C$174:$J$174,0))</f>
        <v>NEN 7120</v>
      </c>
      <c r="AY42" s="47" t="b">
        <f t="shared" si="0"/>
        <v>1</v>
      </c>
      <c r="AZ42" s="47" t="str">
        <f>INDEX(tabellen_EMD!$C$174:$J$182,MATCH('NEN 7120 naar GPR4'!$AV42,tabellen_EMD!$C$174:$C$182,0),MATCH('NEN 7120 naar GPR4'!AZ$40,tabellen_EMD!$C$174:$J$174,0))</f>
        <v>Jaarlijkse hoeveelheid primaire energie voor de energiefunctie</v>
      </c>
      <c r="BA42" s="47"/>
      <c r="BB42" s="47"/>
      <c r="BC42" s="47"/>
      <c r="BD42" s="47"/>
      <c r="BE42" s="47"/>
      <c r="BF42" s="13"/>
      <c r="BG42" s="13"/>
      <c r="BH42" s="13"/>
      <c r="BI42" s="13"/>
    </row>
    <row r="43" spans="1:61" s="448" customFormat="1">
      <c r="A43" s="139"/>
      <c r="B43" s="944"/>
      <c r="C43" s="944"/>
      <c r="D43" s="944"/>
      <c r="E43" s="450"/>
      <c r="F43" s="453" t="s">
        <v>1709</v>
      </c>
      <c r="G43" s="16"/>
      <c r="H43" s="16"/>
      <c r="I43" s="16"/>
      <c r="J43" s="453" t="s">
        <v>561</v>
      </c>
      <c r="K43" s="453"/>
      <c r="L43" s="453"/>
      <c r="M43" s="453" t="s">
        <v>561</v>
      </c>
      <c r="N43" s="453"/>
      <c r="O43" s="12"/>
      <c r="P43" s="453" t="s">
        <v>408</v>
      </c>
      <c r="Q43" s="453"/>
      <c r="R43" s="12"/>
      <c r="S43" s="453" t="s">
        <v>571</v>
      </c>
      <c r="T43" s="889"/>
      <c r="U43" s="12"/>
      <c r="V43" s="890"/>
      <c r="W43" s="890"/>
      <c r="X43" s="890"/>
      <c r="Y43" s="890"/>
      <c r="Z43" s="890"/>
      <c r="AA43" s="890"/>
      <c r="AB43" s="1004"/>
      <c r="AC43" s="998"/>
      <c r="AD43" s="1405"/>
      <c r="AE43" s="1413" t="str">
        <f>F43</f>
        <v xml:space="preserve">Gebruiksfunctie </v>
      </c>
      <c r="AF43" s="1408"/>
      <c r="AG43" s="1414" t="s">
        <v>516</v>
      </c>
      <c r="AH43" s="1414" t="s">
        <v>510</v>
      </c>
      <c r="AI43" s="1410"/>
      <c r="AJ43" s="1414" t="s">
        <v>1783</v>
      </c>
      <c r="AK43" s="1405" t="s">
        <v>396</v>
      </c>
      <c r="AL43" s="1405"/>
      <c r="AM43" s="1405"/>
      <c r="AN43" s="1405"/>
      <c r="AO43" s="1405"/>
      <c r="AP43" s="1405"/>
      <c r="AQ43" s="1405"/>
      <c r="AR43" s="1405"/>
      <c r="AS43" s="67"/>
      <c r="AT43" s="998"/>
      <c r="AU43" s="12"/>
      <c r="AV43" s="47" t="str">
        <f>tabellen_EMD!C177</f>
        <v>Uniec 2 finaal</v>
      </c>
      <c r="AW43" s="47"/>
      <c r="AX43" s="47" t="str">
        <f>INDEX(tabellen_EMD!$C$174:$J$182,MATCH('NEN 7120 naar GPR4'!$AV43,tabellen_EMD!$C$174:$C$182,0),MATCH('NEN 7120 naar GPR4'!AX$40,tabellen_EMD!$C$174:$J$174,0))</f>
        <v>NEN 7120</v>
      </c>
      <c r="AY43" s="47" t="b">
        <f t="shared" si="0"/>
        <v>1</v>
      </c>
      <c r="AZ43" s="47" t="str">
        <f>INDEX(tabellen_EMD!$C$174:$J$182,MATCH('NEN 7120 naar GPR4'!$AV43,tabellen_EMD!$C$174:$C$182,0),MATCH('NEN 7120 naar GPR4'!AZ$40,tabellen_EMD!$C$174:$J$174,0))</f>
        <v>Jaarlijkse hoeveelheid primaire energie voor de energiefunctie</v>
      </c>
      <c r="BA43" s="47"/>
      <c r="BB43" s="47"/>
      <c r="BC43" s="47"/>
      <c r="BD43" s="47"/>
      <c r="BE43" s="47"/>
      <c r="BF43" s="13"/>
      <c r="BG43" s="13"/>
      <c r="BH43" s="13"/>
      <c r="BI43" s="13"/>
    </row>
    <row r="44" spans="1:61">
      <c r="E44" s="14"/>
      <c r="F44" s="22" t="s">
        <v>297</v>
      </c>
      <c r="G44" s="47"/>
      <c r="H44" s="47"/>
      <c r="I44" s="16"/>
      <c r="J44" s="25"/>
      <c r="K44" s="47" t="s">
        <v>562</v>
      </c>
      <c r="L44" s="453"/>
      <c r="M44" s="24">
        <f t="shared" ref="M44:M55" si="1">IF(OR(J44="",SUM($J$44:$J$56)=0),0,SUM($J$44:$J$56)/SUM($J$44:$J$55)*J44)</f>
        <v>0</v>
      </c>
      <c r="N44" s="47" t="s">
        <v>562</v>
      </c>
      <c r="O44" s="12"/>
      <c r="P44" s="24" t="str">
        <f t="shared" ref="P44:P55" si="2">IFERROR(IF(OR($J44=0,ISNUMBER($J$35)=FALSE),"",Z307),"")</f>
        <v/>
      </c>
      <c r="Q44" s="22" t="str">
        <f t="shared" ref="Q44" si="3">IFERROR(INDEX(EP_Methode_BRON_per_GPR_Versie_Eenheid,MATCH(EP_doelmethode,GPR_Versie_En_EP_Methode,0)),"")</f>
        <v>kWh</v>
      </c>
      <c r="R44" s="12"/>
      <c r="S44" s="24" t="str">
        <f>IFERROR(Q329,"")</f>
        <v/>
      </c>
      <c r="T44" s="22" t="s">
        <v>468</v>
      </c>
      <c r="U44" s="12"/>
      <c r="V44" s="40"/>
      <c r="W44" s="40"/>
      <c r="X44" s="40"/>
      <c r="Y44" s="40"/>
      <c r="Z44" s="1338"/>
      <c r="AA44" s="40"/>
      <c r="AB44" s="67"/>
      <c r="AC44" s="995"/>
      <c r="AD44" s="1405"/>
      <c r="AE44" s="1383" t="str">
        <f t="shared" ref="AE44:AE56" si="4">F44</f>
        <v>woning</v>
      </c>
      <c r="AF44" s="1441"/>
      <c r="AG44" s="1447" t="str">
        <f>IFERROR(_xlfn.CONCAT(FIXED(P44/$M44,0)," ",Q44,"/m2"),"")</f>
        <v/>
      </c>
      <c r="AH44" s="1411" t="str">
        <f>IFERROR(_xlfn.CONCAT(FIXED(S44/$M44,1)," ",T44,"/m2"),"")</f>
        <v/>
      </c>
      <c r="AI44" s="1410"/>
      <c r="AJ44" s="1447">
        <v>30</v>
      </c>
      <c r="AK44" s="22" t="s">
        <v>1784</v>
      </c>
      <c r="AL44" s="1405"/>
      <c r="AM44" s="1405"/>
      <c r="AN44" s="1405"/>
      <c r="AO44" s="1405"/>
      <c r="AP44" s="1405"/>
      <c r="AQ44" s="1405"/>
      <c r="AR44" s="1405"/>
      <c r="AS44" s="67"/>
      <c r="AT44" s="995"/>
      <c r="AU44" s="12"/>
      <c r="AV44" s="47" t="str">
        <f>tabellen_EMD!C178</f>
        <v>VABI NTA 8800</v>
      </c>
      <c r="AW44" s="47"/>
      <c r="AX44" s="47" t="str">
        <f>INDEX(tabellen_EMD!$C$174:$J$182,MATCH('NEN 7120 naar GPR4'!$AV44,tabellen_EMD!$C$174:$C$182,0),MATCH('NEN 7120 naar GPR4'!AX$40,tabellen_EMD!$C$174:$J$174,0))</f>
        <v>NTA 8800</v>
      </c>
      <c r="AY44" s="47" t="b">
        <f t="shared" si="0"/>
        <v>0</v>
      </c>
      <c r="AZ44" s="47" t="str">
        <f>INDEX(tabellen_EMD!$C$174:$J$182,MATCH('NEN 7120 naar GPR4'!$AV44,tabellen_EMD!$C$174:$C$182,0),MATCH('NEN 7120 naar GPR4'!AZ$40,tabellen_EMD!$C$174:$J$174,0))</f>
        <v>Totale deelposten (niet primair)</v>
      </c>
      <c r="BA44" s="47"/>
      <c r="BB44" s="47"/>
      <c r="BC44" s="47"/>
      <c r="BD44" s="47"/>
      <c r="BE44" s="47"/>
      <c r="BF44" s="13"/>
      <c r="BG44" s="13"/>
      <c r="BH44" s="13"/>
      <c r="BI44" s="13"/>
    </row>
    <row r="45" spans="1:61">
      <c r="E45" s="14"/>
      <c r="F45" s="22" t="s">
        <v>298</v>
      </c>
      <c r="G45" s="47"/>
      <c r="H45" s="47"/>
      <c r="I45" s="16"/>
      <c r="J45" s="25"/>
      <c r="K45" s="47" t="s">
        <v>562</v>
      </c>
      <c r="L45" s="453"/>
      <c r="M45" s="24">
        <f t="shared" si="1"/>
        <v>0</v>
      </c>
      <c r="N45" s="47" t="s">
        <v>562</v>
      </c>
      <c r="O45" s="12"/>
      <c r="P45" s="24" t="str">
        <f t="shared" si="2"/>
        <v/>
      </c>
      <c r="Q45" s="22" t="str">
        <f t="shared" ref="Q45:Q52" si="5">IFERROR(INDEX(EP_Methode_BRON_per_GPR_Versie_Eenheid,MATCH(EP_doelmethode,GPR_Versie_En_EP_Methode,0)),"")</f>
        <v>kWh</v>
      </c>
      <c r="R45" s="12"/>
      <c r="S45" s="24" t="str">
        <f t="shared" ref="S45:S55" si="6">IFERROR(Q330,"")</f>
        <v/>
      </c>
      <c r="T45" s="22" t="s">
        <v>468</v>
      </c>
      <c r="U45" s="12"/>
      <c r="V45" s="40"/>
      <c r="W45" s="40"/>
      <c r="X45" s="40"/>
      <c r="Y45" s="40"/>
      <c r="Z45" s="40"/>
      <c r="AA45" s="40"/>
      <c r="AB45" s="67"/>
      <c r="AC45" s="995"/>
      <c r="AD45" s="1405"/>
      <c r="AE45" s="1383" t="str">
        <f t="shared" si="4"/>
        <v>woongebouw</v>
      </c>
      <c r="AF45" s="1441"/>
      <c r="AG45" s="1447" t="str">
        <f t="shared" ref="AG45:AG55" si="7">IFERROR(_xlfn.CONCAT(FIXED(P45/$M45,0)," ",Q45,"/m2"),"")</f>
        <v/>
      </c>
      <c r="AH45" s="1411" t="str">
        <f t="shared" ref="AH45:AH55" si="8">IFERROR(_xlfn.CONCAT(FIXED(S45/$M45,1)," ",T45,"/m2"),"")</f>
        <v/>
      </c>
      <c r="AI45" s="1410"/>
      <c r="AJ45" s="1447">
        <v>50</v>
      </c>
      <c r="AK45" s="22" t="s">
        <v>1784</v>
      </c>
      <c r="AL45" s="1405"/>
      <c r="AM45" s="1405"/>
      <c r="AN45" s="1405"/>
      <c r="AO45" s="1405"/>
      <c r="AP45" s="1405"/>
      <c r="AQ45" s="1405"/>
      <c r="AR45" s="1405"/>
      <c r="AS45" s="67"/>
      <c r="AT45" s="995"/>
      <c r="AU45" s="12"/>
      <c r="AV45" s="47" t="str">
        <f>tabellen_EMD!C179</f>
        <v>Uniec 3 per functie</v>
      </c>
      <c r="AW45" s="47"/>
      <c r="AX45" s="47" t="str">
        <f>INDEX(tabellen_EMD!$C$174:$J$182,MATCH('NEN 7120 naar GPR4'!$AV45,tabellen_EMD!$C$174:$C$182,0),MATCH('NEN 7120 naar GPR4'!AX$40,tabellen_EMD!$C$174:$J$174,0))</f>
        <v>NTA 8800</v>
      </c>
      <c r="AY45" s="47" t="b">
        <f t="shared" si="0"/>
        <v>0</v>
      </c>
      <c r="AZ45" s="47" t="str">
        <f>INDEX(tabellen_EMD!$C$174:$J$182,MATCH('NEN 7120 naar GPR4'!$AV45,tabellen_EMD!$C$174:$C$182,0),MATCH('NEN 7120 naar GPR4'!AZ$40,tabellen_EMD!$C$174:$J$174,0))</f>
        <v>Jaarlijkse hoeveelheid energiegebruik voor de energiefunctie</v>
      </c>
      <c r="BA45" s="47"/>
      <c r="BB45" s="47"/>
      <c r="BC45" s="47"/>
      <c r="BD45" s="47"/>
      <c r="BE45" s="47"/>
      <c r="BF45" s="13"/>
      <c r="BG45" s="13"/>
      <c r="BH45" s="13"/>
      <c r="BI45" s="13"/>
    </row>
    <row r="46" spans="1:61">
      <c r="E46" s="14"/>
      <c r="F46" s="22" t="s">
        <v>303</v>
      </c>
      <c r="G46" s="47"/>
      <c r="H46" s="47"/>
      <c r="I46" s="16"/>
      <c r="J46" s="25">
        <v>100</v>
      </c>
      <c r="K46" s="47" t="s">
        <v>562</v>
      </c>
      <c r="L46" s="453"/>
      <c r="M46" s="24">
        <f t="shared" si="1"/>
        <v>100</v>
      </c>
      <c r="N46" s="47" t="s">
        <v>562</v>
      </c>
      <c r="O46" s="12"/>
      <c r="P46" s="24">
        <f t="shared" si="2"/>
        <v>-622.33873653394699</v>
      </c>
      <c r="Q46" s="22" t="str">
        <f t="shared" si="5"/>
        <v>kWh</v>
      </c>
      <c r="R46" s="12"/>
      <c r="S46" s="24">
        <f t="shared" si="6"/>
        <v>0</v>
      </c>
      <c r="T46" s="22" t="s">
        <v>468</v>
      </c>
      <c r="U46" s="12"/>
      <c r="V46" s="40"/>
      <c r="W46" s="40"/>
      <c r="X46" s="40"/>
      <c r="Y46" s="40"/>
      <c r="Z46" s="40"/>
      <c r="AA46" s="40"/>
      <c r="AB46" s="67"/>
      <c r="AC46" s="995"/>
      <c r="AD46" s="1405"/>
      <c r="AE46" s="1383" t="str">
        <f t="shared" si="4"/>
        <v>kantoor</v>
      </c>
      <c r="AF46" s="1441"/>
      <c r="AG46" s="1447" t="str">
        <f t="shared" si="7"/>
        <v>-6 kWh/m2</v>
      </c>
      <c r="AH46" s="1411" t="str">
        <f t="shared" si="8"/>
        <v>0.0 kg/m2</v>
      </c>
      <c r="AI46" s="1410"/>
      <c r="AJ46" s="1447">
        <v>40</v>
      </c>
      <c r="AK46" s="22" t="s">
        <v>1784</v>
      </c>
      <c r="AL46" s="1405"/>
      <c r="AM46" s="1405"/>
      <c r="AN46" s="1405"/>
      <c r="AO46" s="1405"/>
      <c r="AP46" s="1405"/>
      <c r="AQ46" s="1405"/>
      <c r="AR46" s="1405"/>
      <c r="AS46" s="67"/>
      <c r="AT46" s="995"/>
      <c r="AU46" s="40"/>
      <c r="AV46" s="47" t="str">
        <f>tabellen_EMD!C180</f>
        <v>Uniec 3 finaal</v>
      </c>
      <c r="AW46" s="47"/>
      <c r="AX46" s="47" t="str">
        <f>INDEX(tabellen_EMD!$C$174:$J$182,MATCH('NEN 7120 naar GPR4'!$AV46,tabellen_EMD!$C$174:$C$182,0),MATCH('NEN 7120 naar GPR4'!AX$40,tabellen_EMD!$C$174:$J$174,0))</f>
        <v>NTA 8800</v>
      </c>
      <c r="AY46" s="47" t="b">
        <f t="shared" si="0"/>
        <v>0</v>
      </c>
      <c r="AZ46" s="47" t="str">
        <f>INDEX(tabellen_EMD!$C$174:$J$182,MATCH('NEN 7120 naar GPR4'!$AV46,tabellen_EMD!$C$174:$C$182,0),MATCH('NEN 7120 naar GPR4'!AZ$40,tabellen_EMD!$C$174:$J$174,0))</f>
        <v>Jaarlijkse hoeveelheid energiegebruik voor de energiefunctie</v>
      </c>
      <c r="BA46" s="47"/>
      <c r="BB46" s="47"/>
      <c r="BC46" s="47"/>
      <c r="BD46" s="47"/>
      <c r="BE46" s="47"/>
      <c r="BF46" s="13"/>
      <c r="BG46" s="13"/>
      <c r="BH46" s="13"/>
      <c r="BI46" s="13"/>
    </row>
    <row r="47" spans="1:61">
      <c r="E47" s="14"/>
      <c r="F47" s="22" t="s">
        <v>299</v>
      </c>
      <c r="G47" s="47"/>
      <c r="H47" s="47"/>
      <c r="I47" s="16"/>
      <c r="J47" s="25">
        <v>100</v>
      </c>
      <c r="K47" s="47" t="s">
        <v>562</v>
      </c>
      <c r="L47" s="453"/>
      <c r="M47" s="24">
        <f t="shared" si="1"/>
        <v>100</v>
      </c>
      <c r="N47" s="47" t="s">
        <v>562</v>
      </c>
      <c r="O47" s="12"/>
      <c r="P47" s="24">
        <f t="shared" si="2"/>
        <v>3163.1609110834033</v>
      </c>
      <c r="Q47" s="22" t="str">
        <f t="shared" si="5"/>
        <v>kWh</v>
      </c>
      <c r="R47" s="12"/>
      <c r="S47" s="24">
        <f t="shared" si="6"/>
        <v>0</v>
      </c>
      <c r="T47" s="22" t="s">
        <v>468</v>
      </c>
      <c r="U47" s="12"/>
      <c r="V47" s="40"/>
      <c r="W47" s="40"/>
      <c r="X47" s="40"/>
      <c r="Y47" s="40"/>
      <c r="Z47" s="40"/>
      <c r="AA47" s="40"/>
      <c r="AB47" s="67"/>
      <c r="AC47" s="995"/>
      <c r="AD47" s="1405"/>
      <c r="AE47" s="1383" t="str">
        <f t="shared" si="4"/>
        <v>bijeenkomst overig</v>
      </c>
      <c r="AF47" s="1441"/>
      <c r="AG47" s="1447" t="str">
        <f t="shared" si="7"/>
        <v>32 kWh/m2</v>
      </c>
      <c r="AH47" s="1411" t="str">
        <f t="shared" si="8"/>
        <v>0.0 kg/m2</v>
      </c>
      <c r="AI47" s="1410"/>
      <c r="AJ47" s="1447">
        <v>60</v>
      </c>
      <c r="AK47" s="22" t="s">
        <v>1784</v>
      </c>
      <c r="AL47" s="1405"/>
      <c r="AM47" s="1405"/>
      <c r="AN47" s="1405"/>
      <c r="AO47" s="1405"/>
      <c r="AP47" s="1405"/>
      <c r="AQ47" s="1405"/>
      <c r="AR47" s="1405"/>
      <c r="AS47" s="67"/>
      <c r="AT47" s="995"/>
      <c r="AU47" s="40"/>
      <c r="AV47" s="47" t="str">
        <f>tabellen_EMD!C181</f>
        <v>VABI EPA-U</v>
      </c>
      <c r="AW47" s="47"/>
      <c r="AX47" s="47" t="str">
        <f>INDEX(tabellen_EMD!$C$174:$J$182,MATCH('NEN 7120 naar GPR4'!$AV47,tabellen_EMD!$C$174:$C$182,0),MATCH('NEN 7120 naar GPR4'!AX$40,tabellen_EMD!$C$174:$J$174,0))</f>
        <v>ISSO 75.3</v>
      </c>
      <c r="AY47" s="47" t="b">
        <f t="shared" si="0"/>
        <v>0</v>
      </c>
      <c r="AZ47" s="47" t="str">
        <f>INDEX(tabellen_EMD!$C$174:$J$182,MATCH('NEN 7120 naar GPR4'!$AV47,tabellen_EMD!$C$174:$C$182,0),MATCH('NEN 7120 naar GPR4'!AZ$40,tabellen_EMD!$C$174:$J$174,0))</f>
        <v>Energiegebruik per deelpost in de huidige situatie</v>
      </c>
      <c r="BA47" s="47"/>
      <c r="BB47" s="47"/>
      <c r="BC47" s="47"/>
      <c r="BD47" s="47"/>
      <c r="BE47" s="47"/>
      <c r="BF47" s="13"/>
      <c r="BG47" s="13"/>
      <c r="BH47" s="13"/>
      <c r="BI47" s="13"/>
    </row>
    <row r="48" spans="1:61">
      <c r="E48" s="14"/>
      <c r="F48" s="22" t="s">
        <v>422</v>
      </c>
      <c r="G48" s="47"/>
      <c r="H48" s="47"/>
      <c r="I48" s="16"/>
      <c r="J48" s="25">
        <v>100</v>
      </c>
      <c r="K48" s="47" t="s">
        <v>562</v>
      </c>
      <c r="L48" s="453"/>
      <c r="M48" s="24">
        <f t="shared" si="1"/>
        <v>100</v>
      </c>
      <c r="N48" s="47" t="s">
        <v>562</v>
      </c>
      <c r="O48" s="12"/>
      <c r="P48" s="24">
        <f t="shared" si="2"/>
        <v>3829.3267555238904</v>
      </c>
      <c r="Q48" s="22" t="str">
        <f t="shared" si="5"/>
        <v>kWh</v>
      </c>
      <c r="R48" s="12"/>
      <c r="S48" s="24">
        <f t="shared" si="6"/>
        <v>0</v>
      </c>
      <c r="T48" s="22" t="s">
        <v>468</v>
      </c>
      <c r="U48" s="12"/>
      <c r="V48" s="40"/>
      <c r="W48" s="40"/>
      <c r="X48" s="40"/>
      <c r="Y48" s="40"/>
      <c r="Z48" s="40"/>
      <c r="AA48" s="40"/>
      <c r="AB48" s="67"/>
      <c r="AC48" s="995"/>
      <c r="AD48" s="1405"/>
      <c r="AE48" s="1383" t="str">
        <f t="shared" si="4"/>
        <v>bijeenkomst kinderdagverblijf</v>
      </c>
      <c r="AF48" s="1441"/>
      <c r="AG48" s="1447" t="str">
        <f t="shared" si="7"/>
        <v>38 kWh/m2</v>
      </c>
      <c r="AH48" s="1411" t="str">
        <f t="shared" si="8"/>
        <v>0.0 kg/m2</v>
      </c>
      <c r="AI48" s="1410"/>
      <c r="AJ48" s="1447">
        <v>70</v>
      </c>
      <c r="AK48" s="22" t="s">
        <v>1784</v>
      </c>
      <c r="AL48" s="1405"/>
      <c r="AM48" s="1405"/>
      <c r="AN48" s="1405"/>
      <c r="AO48" s="1405"/>
      <c r="AP48" s="1405"/>
      <c r="AQ48" s="1405"/>
      <c r="AR48" s="1405"/>
      <c r="AS48" s="67"/>
      <c r="AT48" s="995"/>
      <c r="AU48" s="40"/>
      <c r="AV48" s="47" t="str">
        <f>tabellen_EMD!C182</f>
        <v>Energielabel utiliteit</v>
      </c>
      <c r="AW48" s="47"/>
      <c r="AX48" s="47" t="str">
        <f>INDEX(tabellen_EMD!$C$174:$J$182,MATCH('NEN 7120 naar GPR4'!$AV48,tabellen_EMD!$C$174:$C$182,0),MATCH('NEN 7120 naar GPR4'!AX$40,tabellen_EMD!$C$174:$J$174,0))</f>
        <v>ISSO 75.3</v>
      </c>
      <c r="AY48" s="47" t="b">
        <f t="shared" si="0"/>
        <v>0</v>
      </c>
      <c r="AZ48" s="47" t="str">
        <f>INDEX(tabellen_EMD!$C$174:$J$182,MATCH('NEN 7120 naar GPR4'!$AV48,tabellen_EMD!$C$174:$C$182,0),MATCH('NEN 7120 naar GPR4'!AZ$40,tabellen_EMD!$C$174:$J$174,0))</f>
        <v>Standaard energiegebruik voor dit gebouw</v>
      </c>
      <c r="BA48" s="47"/>
      <c r="BB48" s="47"/>
      <c r="BC48" s="47"/>
      <c r="BD48" s="47"/>
      <c r="BE48" s="47"/>
      <c r="BF48" s="13"/>
      <c r="BG48" s="13"/>
      <c r="BH48" s="13"/>
      <c r="BI48" s="13"/>
    </row>
    <row r="49" spans="1:61">
      <c r="E49" s="14"/>
      <c r="F49" s="22" t="s">
        <v>305</v>
      </c>
      <c r="G49" s="47"/>
      <c r="H49" s="47"/>
      <c r="I49" s="16"/>
      <c r="J49" s="25"/>
      <c r="K49" s="47" t="s">
        <v>562</v>
      </c>
      <c r="L49" s="453"/>
      <c r="M49" s="24">
        <f t="shared" si="1"/>
        <v>0</v>
      </c>
      <c r="N49" s="47" t="s">
        <v>562</v>
      </c>
      <c r="O49" s="12"/>
      <c r="P49" s="24" t="str">
        <f t="shared" si="2"/>
        <v/>
      </c>
      <c r="Q49" s="22" t="str">
        <f t="shared" si="5"/>
        <v>kWh</v>
      </c>
      <c r="R49" s="12"/>
      <c r="S49" s="24" t="str">
        <f t="shared" si="6"/>
        <v/>
      </c>
      <c r="T49" s="22" t="s">
        <v>468</v>
      </c>
      <c r="U49" s="12"/>
      <c r="V49" s="40"/>
      <c r="W49" s="40"/>
      <c r="X49" s="40"/>
      <c r="Y49" s="40"/>
      <c r="Z49" s="40"/>
      <c r="AA49" s="40"/>
      <c r="AB49" s="67"/>
      <c r="AC49" s="995"/>
      <c r="AD49" s="1405"/>
      <c r="AE49" s="1383" t="str">
        <f t="shared" si="4"/>
        <v>onderwijs</v>
      </c>
      <c r="AF49" s="1441"/>
      <c r="AG49" s="1447" t="str">
        <f t="shared" si="7"/>
        <v/>
      </c>
      <c r="AH49" s="1411" t="str">
        <f t="shared" si="8"/>
        <v/>
      </c>
      <c r="AI49" s="1410"/>
      <c r="AJ49" s="1447">
        <v>70</v>
      </c>
      <c r="AK49" s="22" t="s">
        <v>1784</v>
      </c>
      <c r="AL49" s="1405"/>
      <c r="AM49" s="1405"/>
      <c r="AN49" s="1405"/>
      <c r="AO49" s="1405"/>
      <c r="AP49" s="1405"/>
      <c r="AQ49" s="1405"/>
      <c r="AR49" s="1405"/>
      <c r="AS49" s="67"/>
      <c r="AT49" s="995"/>
      <c r="AU49" s="40"/>
      <c r="AV49" s="40"/>
      <c r="AW49" s="40"/>
      <c r="AX49" s="40"/>
      <c r="AY49" s="40"/>
      <c r="AZ49" s="40"/>
      <c r="BA49" s="40"/>
      <c r="BB49" s="40"/>
      <c r="BC49" s="40"/>
      <c r="BD49" s="40"/>
      <c r="BE49" s="40"/>
      <c r="BF49" s="13"/>
      <c r="BG49" s="13"/>
      <c r="BH49" s="13"/>
      <c r="BI49" s="13"/>
    </row>
    <row r="50" spans="1:61">
      <c r="A50" s="139" t="s">
        <v>396</v>
      </c>
      <c r="B50" s="944"/>
      <c r="C50" s="944"/>
      <c r="D50" s="944"/>
      <c r="E50" s="14"/>
      <c r="F50" s="22" t="s">
        <v>302</v>
      </c>
      <c r="G50" s="47"/>
      <c r="H50" s="47"/>
      <c r="I50" s="16"/>
      <c r="J50" s="25"/>
      <c r="K50" s="47" t="s">
        <v>562</v>
      </c>
      <c r="L50" s="453"/>
      <c r="M50" s="24">
        <f t="shared" si="1"/>
        <v>0</v>
      </c>
      <c r="N50" s="47" t="s">
        <v>562</v>
      </c>
      <c r="O50" s="12"/>
      <c r="P50" s="24" t="str">
        <f t="shared" si="2"/>
        <v/>
      </c>
      <c r="Q50" s="22" t="str">
        <f t="shared" si="5"/>
        <v>kWh</v>
      </c>
      <c r="R50" s="12"/>
      <c r="S50" s="24" t="str">
        <f t="shared" si="6"/>
        <v/>
      </c>
      <c r="T50" s="22" t="s">
        <v>468</v>
      </c>
      <c r="U50" s="12"/>
      <c r="V50" s="40"/>
      <c r="W50" s="40"/>
      <c r="X50" s="40"/>
      <c r="Y50" s="40"/>
      <c r="Z50" s="40"/>
      <c r="AA50" s="40"/>
      <c r="AB50" s="67"/>
      <c r="AC50" s="995"/>
      <c r="AD50" s="1405"/>
      <c r="AE50" s="1383" t="str">
        <f t="shared" si="4"/>
        <v>gezondheid overig</v>
      </c>
      <c r="AF50" s="1441"/>
      <c r="AG50" s="1447" t="str">
        <f t="shared" si="7"/>
        <v/>
      </c>
      <c r="AH50" s="1411" t="str">
        <f t="shared" si="8"/>
        <v/>
      </c>
      <c r="AI50" s="1410"/>
      <c r="AJ50" s="1447">
        <v>50</v>
      </c>
      <c r="AK50" s="22" t="s">
        <v>1784</v>
      </c>
      <c r="AL50" s="1405"/>
      <c r="AM50" s="1405"/>
      <c r="AN50" s="1405"/>
      <c r="AO50" s="1405"/>
      <c r="AP50" s="1405"/>
      <c r="AQ50" s="1405"/>
      <c r="AR50" s="1405"/>
      <c r="AS50" s="67"/>
      <c r="AT50" s="995"/>
      <c r="AU50" s="40"/>
      <c r="AV50" s="15" t="s">
        <v>1661</v>
      </c>
      <c r="AW50" s="15"/>
      <c r="AX50" s="15"/>
      <c r="AY50" s="15"/>
      <c r="AZ50" s="15"/>
      <c r="BA50" s="15"/>
      <c r="BB50" s="15"/>
      <c r="BC50" s="15"/>
      <c r="BD50" s="15"/>
      <c r="BE50" s="15"/>
      <c r="BF50" s="13"/>
      <c r="BG50" s="13"/>
      <c r="BH50" s="13"/>
      <c r="BI50" s="13"/>
    </row>
    <row r="51" spans="1:61">
      <c r="A51" s="139" t="s">
        <v>396</v>
      </c>
      <c r="B51" s="944"/>
      <c r="C51" s="944"/>
      <c r="D51" s="944"/>
      <c r="E51" s="14"/>
      <c r="F51" s="22" t="s">
        <v>423</v>
      </c>
      <c r="G51" s="47"/>
      <c r="H51" s="47"/>
      <c r="I51" s="16"/>
      <c r="J51" s="25"/>
      <c r="K51" s="47" t="s">
        <v>562</v>
      </c>
      <c r="L51" s="453"/>
      <c r="M51" s="24">
        <f t="shared" si="1"/>
        <v>0</v>
      </c>
      <c r="N51" s="47" t="s">
        <v>562</v>
      </c>
      <c r="O51" s="12"/>
      <c r="P51" s="24" t="str">
        <f t="shared" si="2"/>
        <v/>
      </c>
      <c r="Q51" s="22" t="str">
        <f t="shared" si="5"/>
        <v>kWh</v>
      </c>
      <c r="R51" s="12"/>
      <c r="S51" s="24" t="str">
        <f t="shared" si="6"/>
        <v/>
      </c>
      <c r="T51" s="22" t="s">
        <v>468</v>
      </c>
      <c r="U51" s="12"/>
      <c r="V51" s="40"/>
      <c r="W51" s="40"/>
      <c r="X51" s="40"/>
      <c r="Y51" s="40"/>
      <c r="Z51" s="40"/>
      <c r="AA51" s="40"/>
      <c r="AB51" s="67"/>
      <c r="AC51" s="995"/>
      <c r="AD51" s="1405"/>
      <c r="AE51" s="1383" t="str">
        <f t="shared" si="4"/>
        <v>gezondheid bedgebied</v>
      </c>
      <c r="AF51" s="1441"/>
      <c r="AG51" s="1447" t="str">
        <f t="shared" si="7"/>
        <v/>
      </c>
      <c r="AH51" s="1411" t="str">
        <f t="shared" si="8"/>
        <v/>
      </c>
      <c r="AI51" s="1410"/>
      <c r="AJ51" s="1447">
        <v>130</v>
      </c>
      <c r="AK51" s="22" t="s">
        <v>1784</v>
      </c>
      <c r="AL51" s="1405"/>
      <c r="AM51" s="1405"/>
      <c r="AN51" s="1405"/>
      <c r="AO51" s="1405"/>
      <c r="AP51" s="1405"/>
      <c r="AQ51" s="1405"/>
      <c r="AR51" s="1405"/>
      <c r="AS51" s="67"/>
      <c r="AT51" s="995"/>
      <c r="AU51" s="40"/>
      <c r="AV51" s="453" t="s">
        <v>1402</v>
      </c>
      <c r="AW51" s="453"/>
      <c r="AX51" s="453" t="str">
        <f>tabellen_EMD!G174</f>
        <v>Primaire energie</v>
      </c>
      <c r="AY51" s="453"/>
      <c r="AZ51" s="453"/>
      <c r="BA51" s="453" t="s">
        <v>1513</v>
      </c>
      <c r="BB51" s="15"/>
      <c r="BC51" s="977" t="str">
        <f>tabellen_EMD!$F$46</f>
        <v>Primaire energie</v>
      </c>
      <c r="BD51" s="979" t="str">
        <f>tabellen_EMD!$G$46</f>
        <v>Eenheid primaire energie</v>
      </c>
      <c r="BE51" s="979" t="str">
        <f>tabellen_EMD!$H$46</f>
        <v>Indicator primaire energie</v>
      </c>
      <c r="BF51" s="979" t="str">
        <f>tabellen_EMD!I46</f>
        <v>Primaire energie per m2</v>
      </c>
      <c r="BG51" s="13"/>
      <c r="BH51" s="13"/>
      <c r="BI51" s="13"/>
    </row>
    <row r="52" spans="1:61">
      <c r="E52" s="14"/>
      <c r="F52" s="22" t="s">
        <v>307</v>
      </c>
      <c r="G52" s="47"/>
      <c r="H52" s="47"/>
      <c r="I52" s="16"/>
      <c r="J52" s="25"/>
      <c r="K52" s="47" t="s">
        <v>562</v>
      </c>
      <c r="L52" s="453"/>
      <c r="M52" s="24">
        <f t="shared" si="1"/>
        <v>0</v>
      </c>
      <c r="N52" s="47" t="s">
        <v>562</v>
      </c>
      <c r="O52" s="12"/>
      <c r="P52" s="24" t="str">
        <f t="shared" si="2"/>
        <v/>
      </c>
      <c r="Q52" s="22" t="str">
        <f t="shared" si="5"/>
        <v>kWh</v>
      </c>
      <c r="R52" s="12"/>
      <c r="S52" s="24" t="str">
        <f t="shared" si="6"/>
        <v/>
      </c>
      <c r="T52" s="22" t="s">
        <v>468</v>
      </c>
      <c r="U52" s="12"/>
      <c r="V52" s="12"/>
      <c r="W52" s="12"/>
      <c r="X52" s="12"/>
      <c r="Y52" s="12"/>
      <c r="Z52" s="12"/>
      <c r="AA52" s="12"/>
      <c r="AB52" s="67"/>
      <c r="AC52" s="995"/>
      <c r="AD52" s="1405"/>
      <c r="AE52" s="1383" t="str">
        <f t="shared" si="4"/>
        <v>winkel</v>
      </c>
      <c r="AF52" s="1441"/>
      <c r="AG52" s="1447" t="str">
        <f t="shared" si="7"/>
        <v/>
      </c>
      <c r="AH52" s="1411" t="str">
        <f t="shared" si="8"/>
        <v/>
      </c>
      <c r="AI52" s="1410"/>
      <c r="AJ52" s="1447">
        <v>60</v>
      </c>
      <c r="AK52" s="22" t="s">
        <v>1784</v>
      </c>
      <c r="AL52" s="1405"/>
      <c r="AM52" s="1405"/>
      <c r="AN52" s="1405"/>
      <c r="AO52" s="1405"/>
      <c r="AP52" s="1405"/>
      <c r="AQ52" s="1405"/>
      <c r="AR52" s="1405"/>
      <c r="AS52" s="67"/>
      <c r="AT52" s="995"/>
      <c r="AU52" s="12"/>
      <c r="AV52" s="305" t="str" cm="1">
        <f t="array" ref="AV52:AV54">_xlfn._xlws.FILTER($AV$41:$AV$48,$AY$41:$AY$48,"kies een passend pakket")</f>
        <v>Enorm</v>
      </c>
      <c r="AW52" s="47"/>
      <c r="AX52" s="47" t="str">
        <f>IFERROR(VLOOKUP($AV52,tabellen_EMD!$C$175:$K$182,MATCH(AX$51,tabellen_EMD!$C$174:$K$174,0),FALSE),"")</f>
        <v>Enorm</v>
      </c>
      <c r="AY52" s="47"/>
      <c r="AZ52" s="453"/>
      <c r="BA52" s="305" t="str" cm="1">
        <f t="array" ref="BA52:BA54">_xlfn.UNIQUE(AX52:AX55)</f>
        <v>Enorm</v>
      </c>
      <c r="BB52" s="15"/>
      <c r="BC52" s="47" t="str">
        <f>VLOOKUP($BA52,tabellen_EMD!$C$47:$K$52,MATCH(BC$51,tabellen_EMD!$C$46:$K$46,0),FALSE)</f>
        <v>Enorm: EPtot</v>
      </c>
      <c r="BD52" s="47" t="str">
        <f>VLOOKUP($AX52,tabellen_EMD!$C$47:$K$52,MATCH(BD$51,tabellen_EMD!$C$46:$K$46,0),FALSE)</f>
        <v>MJ</v>
      </c>
      <c r="BE52" s="47" t="str">
        <f>VLOOKUP($AX52,tabellen_EMD!$C$47:$K$52,MATCH(BE$51,tabellen_EMD!$C$46:$K$46,0),FALSE)</f>
        <v>Enorm: Specifieke energieprestatie per m2</v>
      </c>
      <c r="BF52" s="46">
        <f>VLOOKUP($AX52,tabellen_EMD!$C$47:$K$52,MATCH(BF$51,tabellen_EMD!$C$46:$K$46,0),FALSE)</f>
        <v>0</v>
      </c>
      <c r="BG52" s="13"/>
      <c r="BH52" s="13"/>
      <c r="BI52" s="13"/>
    </row>
    <row r="53" spans="1:61">
      <c r="E53" s="14"/>
      <c r="F53" s="22" t="s">
        <v>306</v>
      </c>
      <c r="G53" s="47"/>
      <c r="H53" s="47"/>
      <c r="I53" s="16"/>
      <c r="J53" s="25"/>
      <c r="K53" s="47" t="s">
        <v>562</v>
      </c>
      <c r="L53" s="453"/>
      <c r="M53" s="24">
        <f t="shared" si="1"/>
        <v>0</v>
      </c>
      <c r="N53" s="47" t="s">
        <v>562</v>
      </c>
      <c r="O53" s="12"/>
      <c r="P53" s="24" t="str">
        <f t="shared" si="2"/>
        <v/>
      </c>
      <c r="Q53" s="22" t="str">
        <f t="shared" ref="Q53:Q55" si="9">IFERROR(INDEX(EP_Methode_BRON_per_GPR_Versie_Eenheid,MATCH(EP_doelmethode,GPR_Versie_En_EP_Methode,0)),"")</f>
        <v>kWh</v>
      </c>
      <c r="R53" s="12"/>
      <c r="S53" s="24" t="str">
        <f t="shared" si="6"/>
        <v/>
      </c>
      <c r="T53" s="22" t="s">
        <v>468</v>
      </c>
      <c r="U53" s="12"/>
      <c r="V53" s="12"/>
      <c r="W53" s="12"/>
      <c r="X53" s="12"/>
      <c r="Y53" s="12"/>
      <c r="Z53" s="12"/>
      <c r="AA53" s="12"/>
      <c r="AB53" s="67"/>
      <c r="AC53" s="995"/>
      <c r="AD53" s="1405"/>
      <c r="AE53" s="1383" t="str">
        <f t="shared" si="4"/>
        <v>sport</v>
      </c>
      <c r="AF53" s="1441"/>
      <c r="AG53" s="1447" t="str">
        <f t="shared" si="7"/>
        <v/>
      </c>
      <c r="AH53" s="1411" t="str">
        <f t="shared" si="8"/>
        <v/>
      </c>
      <c r="AI53" s="1410"/>
      <c r="AJ53" s="1447">
        <v>90</v>
      </c>
      <c r="AK53" s="22" t="s">
        <v>1784</v>
      </c>
      <c r="AL53" s="1405"/>
      <c r="AM53" s="1405"/>
      <c r="AN53" s="1405"/>
      <c r="AO53" s="1405"/>
      <c r="AP53" s="1405"/>
      <c r="AQ53" s="1405"/>
      <c r="AR53" s="1405"/>
      <c r="AS53" s="67"/>
      <c r="AT53" s="995"/>
      <c r="AU53" s="12"/>
      <c r="AV53" s="304" t="str">
        <v>Uniec 2 per functie</v>
      </c>
      <c r="AW53" s="47"/>
      <c r="AX53" s="47" t="str">
        <f>IFERROR(VLOOKUP($AV53,tabellen_EMD!$C$175:$K$182,MATCH(AX$51,tabellen_EMD!$C$174:$K$174,0),FALSE),"")</f>
        <v>Uniec 2</v>
      </c>
      <c r="AY53" s="47"/>
      <c r="AZ53" s="453"/>
      <c r="BA53" s="304" t="str">
        <v>Uniec 2</v>
      </c>
      <c r="BB53" s="15"/>
      <c r="BC53" s="47" t="str">
        <f>VLOOKUP($AX53,tabellen_EMD!$C$47:$K$52,MATCH(BC$51,tabellen_EMD!$C$46:$K$46,0),FALSE)</f>
        <v>Uniec 2: Karakteristiek energiegebruik EPtot</v>
      </c>
      <c r="BD53" s="47" t="str">
        <f>VLOOKUP($AX53,tabellen_EMD!$C$47:$K$52,MATCH(BD$51,tabellen_EMD!$C$46:$K$46,0),FALSE)</f>
        <v>MJ</v>
      </c>
      <c r="BE53" s="47" t="str">
        <f>VLOOKUP($AX53,tabellen_EMD!$C$47:$K$52,MATCH(BE$51,tabellen_EMD!$C$46:$K$46,0),FALSE)</f>
        <v>Uniec 2: Specifieke energieprestatie EP</v>
      </c>
      <c r="BF53" s="46">
        <f>VLOOKUP($AX53,tabellen_EMD!$C$47:$K$52,MATCH(BF$51,tabellen_EMD!$C$46:$K$46,0),FALSE)</f>
        <v>0</v>
      </c>
      <c r="BG53" s="13"/>
      <c r="BH53" s="13"/>
      <c r="BI53" s="13"/>
    </row>
    <row r="54" spans="1:61">
      <c r="E54" s="14"/>
      <c r="F54" s="22" t="s">
        <v>424</v>
      </c>
      <c r="G54" s="47"/>
      <c r="H54" s="47"/>
      <c r="I54" s="16"/>
      <c r="J54" s="25"/>
      <c r="K54" s="47" t="s">
        <v>562</v>
      </c>
      <c r="L54" s="453"/>
      <c r="M54" s="24">
        <f t="shared" si="1"/>
        <v>0</v>
      </c>
      <c r="N54" s="47" t="s">
        <v>562</v>
      </c>
      <c r="O54" s="12"/>
      <c r="P54" s="24" t="str">
        <f t="shared" si="2"/>
        <v/>
      </c>
      <c r="Q54" s="22" t="str">
        <f t="shared" si="9"/>
        <v>kWh</v>
      </c>
      <c r="R54" s="12"/>
      <c r="S54" s="24" t="str">
        <f t="shared" si="6"/>
        <v/>
      </c>
      <c r="T54" s="22" t="s">
        <v>468</v>
      </c>
      <c r="U54" s="12"/>
      <c r="V54" s="12"/>
      <c r="W54" s="12"/>
      <c r="X54" s="12"/>
      <c r="Y54" s="12"/>
      <c r="Z54" s="12"/>
      <c r="AA54" s="12"/>
      <c r="AB54" s="67"/>
      <c r="AC54" s="995"/>
      <c r="AD54" s="1405"/>
      <c r="AE54" s="1383" t="str">
        <f t="shared" si="4"/>
        <v>logies in logiesgebouw</v>
      </c>
      <c r="AF54" s="1441"/>
      <c r="AG54" s="1447" t="str">
        <f t="shared" si="7"/>
        <v/>
      </c>
      <c r="AH54" s="1411" t="str">
        <f t="shared" si="8"/>
        <v/>
      </c>
      <c r="AI54" s="1410"/>
      <c r="AJ54" s="1447">
        <v>130</v>
      </c>
      <c r="AK54" s="22" t="s">
        <v>1784</v>
      </c>
      <c r="AL54" s="1405"/>
      <c r="AM54" s="1405"/>
      <c r="AN54" s="1405"/>
      <c r="AO54" s="1405"/>
      <c r="AP54" s="1405"/>
      <c r="AQ54" s="1405"/>
      <c r="AR54" s="1405"/>
      <c r="AS54" s="67"/>
      <c r="AT54" s="995"/>
      <c r="AU54" s="12"/>
      <c r="AV54" s="304" t="str">
        <v>Uniec 2 finaal</v>
      </c>
      <c r="AW54" s="47"/>
      <c r="AX54" s="47" t="str">
        <f>IFERROR(VLOOKUP($AV54,tabellen_EMD!$C$175:$K$182,MATCH(AX$51,tabellen_EMD!$C$174:$K$174,0),FALSE),"")</f>
        <v>Uniec 2</v>
      </c>
      <c r="AY54" s="47"/>
      <c r="AZ54" s="12"/>
      <c r="BA54" s="304" t="str">
        <v/>
      </c>
      <c r="BB54" s="15"/>
      <c r="BC54" s="47"/>
      <c r="BD54" s="47"/>
      <c r="BE54" s="47"/>
      <c r="BF54" s="46"/>
      <c r="BG54" s="13"/>
      <c r="BH54" s="13"/>
      <c r="BI54" s="14"/>
    </row>
    <row r="55" spans="1:61">
      <c r="A55" s="139" t="s">
        <v>396</v>
      </c>
      <c r="B55" s="944"/>
      <c r="C55" s="944"/>
      <c r="D55" s="944"/>
      <c r="E55" s="14"/>
      <c r="F55" s="22" t="s">
        <v>425</v>
      </c>
      <c r="G55" s="47"/>
      <c r="H55" s="47"/>
      <c r="I55" s="16"/>
      <c r="J55" s="25"/>
      <c r="K55" s="47" t="s">
        <v>562</v>
      </c>
      <c r="L55" s="453"/>
      <c r="M55" s="24">
        <f t="shared" si="1"/>
        <v>0</v>
      </c>
      <c r="N55" s="47" t="s">
        <v>562</v>
      </c>
      <c r="O55" s="12"/>
      <c r="P55" s="24" t="str">
        <f t="shared" si="2"/>
        <v/>
      </c>
      <c r="Q55" s="22" t="str">
        <f t="shared" si="9"/>
        <v>kWh</v>
      </c>
      <c r="R55" s="12"/>
      <c r="S55" s="24" t="str">
        <f t="shared" si="6"/>
        <v/>
      </c>
      <c r="T55" s="22" t="s">
        <v>468</v>
      </c>
      <c r="U55" s="12"/>
      <c r="V55" s="12"/>
      <c r="W55" s="12"/>
      <c r="X55" s="12"/>
      <c r="Y55" s="12"/>
      <c r="Z55" s="12"/>
      <c r="AA55" s="12"/>
      <c r="AB55" s="67"/>
      <c r="AC55" s="995"/>
      <c r="AD55" s="1405"/>
      <c r="AE55" s="1383" t="str">
        <f t="shared" si="4"/>
        <v>cel</v>
      </c>
      <c r="AF55" s="1441"/>
      <c r="AG55" s="1447" t="str">
        <f t="shared" si="7"/>
        <v/>
      </c>
      <c r="AH55" s="1411" t="str">
        <f t="shared" si="8"/>
        <v/>
      </c>
      <c r="AI55" s="1410"/>
      <c r="AJ55" s="1447">
        <v>120</v>
      </c>
      <c r="AK55" s="22" t="s">
        <v>1784</v>
      </c>
      <c r="AL55" s="1405"/>
      <c r="AM55" s="1405"/>
      <c r="AN55" s="1405"/>
      <c r="AO55" s="1405"/>
      <c r="AP55" s="1405"/>
      <c r="AQ55" s="1405"/>
      <c r="AR55" s="1405"/>
      <c r="AS55" s="67"/>
      <c r="AT55" s="995"/>
      <c r="AU55" s="12"/>
      <c r="AV55" s="306"/>
      <c r="AW55" s="47"/>
      <c r="AX55" s="47" t="str">
        <f>IFERROR(VLOOKUP($AV55,tabellen_EMD!$C$175:$K$182,MATCH(AX$51,tabellen_EMD!$C$174:$K$174,0),FALSE),"")</f>
        <v/>
      </c>
      <c r="AY55" s="47"/>
      <c r="AZ55" s="12"/>
      <c r="BA55" s="306"/>
      <c r="BB55" s="40"/>
      <c r="BC55" s="40"/>
      <c r="BD55" s="13"/>
      <c r="BE55" s="13"/>
      <c r="BF55" s="13"/>
      <c r="BG55" s="13"/>
      <c r="BH55" s="13"/>
      <c r="BI55" s="14"/>
    </row>
    <row r="56" spans="1:61">
      <c r="E56" s="14"/>
      <c r="F56" s="22" t="s">
        <v>554</v>
      </c>
      <c r="G56" s="47"/>
      <c r="H56" s="47"/>
      <c r="I56" s="16"/>
      <c r="J56" s="25"/>
      <c r="K56" s="47" t="s">
        <v>562</v>
      </c>
      <c r="L56" s="453"/>
      <c r="M56" s="453"/>
      <c r="N56" s="12"/>
      <c r="O56" s="12"/>
      <c r="P56" s="13"/>
      <c r="Q56" s="39"/>
      <c r="R56" s="12"/>
      <c r="S56" s="13"/>
      <c r="T56" s="41"/>
      <c r="U56" s="12"/>
      <c r="V56" s="12"/>
      <c r="W56" s="12"/>
      <c r="X56" s="12"/>
      <c r="Y56" s="12"/>
      <c r="Z56" s="12"/>
      <c r="AA56" s="12"/>
      <c r="AB56" s="67"/>
      <c r="AC56" s="995"/>
      <c r="AD56" s="1405"/>
      <c r="AE56" s="1383" t="str">
        <f t="shared" si="4"/>
        <v>gemeenschappelijke ruimten</v>
      </c>
      <c r="AF56" s="1383"/>
      <c r="AG56" s="1408"/>
      <c r="AH56" s="1408"/>
      <c r="AI56" s="1410"/>
      <c r="AJ56" s="1410"/>
      <c r="AK56" s="1405"/>
      <c r="AL56" s="1405"/>
      <c r="AM56" s="1405"/>
      <c r="AN56" s="1405"/>
      <c r="AO56" s="1405"/>
      <c r="AP56" s="1405"/>
      <c r="AQ56" s="1405"/>
      <c r="AR56" s="1405"/>
      <c r="AS56" s="67"/>
      <c r="AT56" s="995"/>
      <c r="AU56" s="12"/>
      <c r="AV56" s="12"/>
      <c r="AW56" s="12"/>
      <c r="AX56" s="12"/>
      <c r="AY56" s="12"/>
      <c r="AZ56" s="12"/>
      <c r="BA56" s="12"/>
      <c r="BB56" s="12"/>
      <c r="BC56" s="12"/>
      <c r="BD56" s="12"/>
      <c r="BE56" s="40"/>
      <c r="BF56" s="13"/>
      <c r="BG56" s="13"/>
      <c r="BH56" s="13"/>
      <c r="BI56" s="14"/>
    </row>
    <row r="57" spans="1:61" hidden="1" collapsed="1">
      <c r="A57" s="212" t="s">
        <v>493</v>
      </c>
      <c r="B57" s="898"/>
      <c r="C57" s="898"/>
      <c r="D57" s="898"/>
      <c r="E57" s="14"/>
      <c r="F57" s="13"/>
      <c r="G57" s="13"/>
      <c r="H57" s="13"/>
      <c r="I57" s="16"/>
      <c r="J57" s="13"/>
      <c r="K57" s="13"/>
      <c r="L57" s="39"/>
      <c r="M57" s="39"/>
      <c r="N57" s="39"/>
      <c r="O57" s="12"/>
      <c r="P57" s="12"/>
      <c r="Q57" s="12"/>
      <c r="R57" s="12"/>
      <c r="S57" s="12"/>
      <c r="T57" s="41"/>
      <c r="U57" s="12"/>
      <c r="V57" s="12"/>
      <c r="W57" s="12"/>
      <c r="X57" s="12"/>
      <c r="Y57" s="12"/>
      <c r="Z57" s="12"/>
      <c r="AA57" s="12"/>
      <c r="AB57" s="67"/>
      <c r="AC57" s="995"/>
      <c r="AD57" s="1405"/>
      <c r="AE57" s="1405"/>
      <c r="AF57" s="1405"/>
      <c r="AG57" s="1405"/>
      <c r="AH57" s="1405"/>
      <c r="AI57" s="1405"/>
      <c r="AJ57" s="1405"/>
      <c r="AK57" s="1405"/>
      <c r="AL57" s="1405"/>
      <c r="AM57" s="1405"/>
      <c r="AN57" s="1405"/>
      <c r="AO57" s="1405"/>
      <c r="AP57" s="1405"/>
      <c r="AQ57" s="1405"/>
      <c r="AR57" s="1405"/>
      <c r="AS57" s="67"/>
      <c r="AT57" s="995"/>
      <c r="AU57" s="12"/>
      <c r="AV57" s="12"/>
      <c r="AW57" s="12"/>
      <c r="AX57" s="12"/>
      <c r="AY57" s="12"/>
      <c r="AZ57" s="12"/>
      <c r="BA57" s="12"/>
      <c r="BB57" s="12"/>
      <c r="BC57" s="12"/>
      <c r="BD57" s="12"/>
      <c r="BE57" s="40"/>
      <c r="BF57" s="13"/>
      <c r="BG57" s="13"/>
      <c r="BH57" s="13"/>
      <c r="BI57" s="14"/>
    </row>
    <row r="58" spans="1:61" hidden="1">
      <c r="A58" s="212" t="s">
        <v>493</v>
      </c>
      <c r="B58" s="898"/>
      <c r="C58" s="898"/>
      <c r="D58" s="898"/>
      <c r="E58" s="14"/>
      <c r="F58" s="22" t="str">
        <f>"in te voeren in "&amp;EP_doelmethode</f>
        <v>in te voeren in GPR 4.4 | NTA 8800</v>
      </c>
      <c r="G58" s="22"/>
      <c r="H58" s="22"/>
      <c r="I58" s="16"/>
      <c r="J58" s="24">
        <f>SUM(J44:J57)</f>
        <v>300</v>
      </c>
      <c r="K58" s="47" t="s">
        <v>562</v>
      </c>
      <c r="L58" s="453"/>
      <c r="M58" s="24">
        <f>SUM(M44:M56)</f>
        <v>300</v>
      </c>
      <c r="N58" s="47" t="s">
        <v>562</v>
      </c>
      <c r="O58" s="12"/>
      <c r="P58" s="24">
        <f>SUM(P44:P55)</f>
        <v>6370.1489300733465</v>
      </c>
      <c r="Q58" s="22" t="str">
        <f>INDEX(EP_Methode_BRON_per_GPR_Versie_Eenheid,MATCH(EP_doelmethode,GPR_Versie_En_EP_Methode,0))</f>
        <v>kWh</v>
      </c>
      <c r="R58" s="12"/>
      <c r="S58" s="24">
        <f>SUM(S44:S55)</f>
        <v>0</v>
      </c>
      <c r="T58" s="22" t="s">
        <v>468</v>
      </c>
      <c r="U58" s="12"/>
      <c r="V58" s="12"/>
      <c r="W58" s="12"/>
      <c r="X58" s="12"/>
      <c r="Y58" s="12"/>
      <c r="Z58" s="12"/>
      <c r="AA58" s="12"/>
      <c r="AB58" s="67"/>
      <c r="AC58" s="995"/>
      <c r="AD58" s="1405"/>
      <c r="AE58" s="1405"/>
      <c r="AF58" s="1405"/>
      <c r="AG58" s="1405"/>
      <c r="AH58" s="1405"/>
      <c r="AI58" s="1405"/>
      <c r="AJ58" s="24">
        <f>IFERROR(SUMPRODUCT($M$44:$M$55,$AJ$44:$AJ$55)/SUM($M$44:$M$55),"")</f>
        <v>56.666666666666664</v>
      </c>
      <c r="AK58" s="22" t="s">
        <v>1784</v>
      </c>
      <c r="AL58" s="1405"/>
      <c r="AM58" s="1405"/>
      <c r="AN58" s="1405"/>
      <c r="AO58" s="1405"/>
      <c r="AP58" s="1405"/>
      <c r="AQ58" s="1405"/>
      <c r="AR58" s="1405"/>
      <c r="AS58" s="67"/>
      <c r="AT58" s="995"/>
      <c r="AU58" s="12"/>
      <c r="AV58" s="12"/>
      <c r="AW58" s="12"/>
      <c r="AX58" s="12"/>
      <c r="AY58" s="12"/>
      <c r="AZ58" s="12"/>
      <c r="BA58" s="12"/>
      <c r="BB58" s="12"/>
      <c r="BC58" s="12"/>
      <c r="BD58" s="12"/>
      <c r="BE58" s="40"/>
      <c r="BF58" s="13"/>
      <c r="BG58" s="13"/>
      <c r="BH58" s="13"/>
      <c r="BI58" s="14"/>
    </row>
    <row r="59" spans="1:61">
      <c r="A59" s="212"/>
      <c r="B59" s="898"/>
      <c r="C59" s="898"/>
      <c r="D59" s="898"/>
      <c r="E59" s="14"/>
      <c r="F59" s="22" t="str">
        <f>"overgenomen uit "&amp;P23</f>
        <v>overgenomen uit Uniec 2 finaal</v>
      </c>
      <c r="G59" s="22"/>
      <c r="H59" s="22"/>
      <c r="I59" s="16"/>
      <c r="J59" s="24">
        <f>SUM(J44:J57)</f>
        <v>300</v>
      </c>
      <c r="K59" s="47" t="s">
        <v>562</v>
      </c>
      <c r="L59" s="453"/>
      <c r="M59" s="24">
        <f>SUM(M44:M55)</f>
        <v>300</v>
      </c>
      <c r="N59" s="47" t="s">
        <v>562</v>
      </c>
      <c r="O59" s="12"/>
      <c r="P59" s="12"/>
      <c r="Q59" s="12"/>
      <c r="R59" s="12"/>
      <c r="S59" s="12"/>
      <c r="T59" s="12"/>
      <c r="U59" s="12"/>
      <c r="V59" s="12"/>
      <c r="W59" s="12"/>
      <c r="X59" s="12"/>
      <c r="Y59" s="12"/>
      <c r="Z59" s="12"/>
      <c r="AA59" s="12"/>
      <c r="AB59" s="67"/>
      <c r="AC59" s="995"/>
      <c r="AD59" s="1405"/>
      <c r="AE59" s="1405"/>
      <c r="AF59" s="1405"/>
      <c r="AG59" s="1405"/>
      <c r="AH59" s="1405"/>
      <c r="AI59" s="1405"/>
      <c r="AJ59" s="1405"/>
      <c r="AK59" s="1405"/>
      <c r="AL59" s="1405"/>
      <c r="AM59" s="1405"/>
      <c r="AN59" s="1405"/>
      <c r="AO59" s="1405"/>
      <c r="AP59" s="1405"/>
      <c r="AQ59" s="1405"/>
      <c r="AR59" s="1405"/>
      <c r="AS59" s="67"/>
      <c r="AT59" s="995"/>
      <c r="AU59" s="12"/>
      <c r="AV59" s="12"/>
      <c r="AW59" s="12"/>
      <c r="AX59" s="12"/>
      <c r="AY59" s="12"/>
      <c r="AZ59" s="12"/>
      <c r="BA59" s="12"/>
      <c r="BB59" s="12"/>
      <c r="BC59" s="12"/>
      <c r="BD59" s="12"/>
      <c r="BE59" s="40"/>
      <c r="BF59" s="13"/>
      <c r="BG59" s="13"/>
      <c r="BH59" s="13"/>
      <c r="BI59" s="14"/>
    </row>
    <row r="60" spans="1:61">
      <c r="A60" s="18"/>
      <c r="B60" s="763"/>
      <c r="C60" s="763"/>
      <c r="D60" s="763"/>
      <c r="E60" s="14"/>
      <c r="F60" s="15"/>
      <c r="G60" s="16"/>
      <c r="H60" s="16"/>
      <c r="I60" s="16"/>
      <c r="J60" s="148"/>
      <c r="K60" s="14"/>
      <c r="L60" s="39"/>
      <c r="M60" s="15"/>
      <c r="N60" s="39"/>
      <c r="O60" s="39"/>
      <c r="P60" s="39"/>
      <c r="Q60" s="12"/>
      <c r="R60" s="12"/>
      <c r="S60" s="12"/>
      <c r="T60" s="12"/>
      <c r="U60" s="12"/>
      <c r="V60" s="12"/>
      <c r="W60" s="12"/>
      <c r="X60" s="12"/>
      <c r="Y60" s="12"/>
      <c r="Z60" s="12"/>
      <c r="AA60" s="12"/>
      <c r="AB60" s="67"/>
      <c r="AC60" s="995"/>
      <c r="AD60" s="1405"/>
      <c r="AE60" s="1405"/>
      <c r="AF60" s="1405"/>
      <c r="AG60" s="1405"/>
      <c r="AH60" s="1405"/>
      <c r="AI60" s="1405"/>
      <c r="AJ60" s="1405"/>
      <c r="AK60" s="1405"/>
      <c r="AL60" s="1405"/>
      <c r="AM60" s="1405"/>
      <c r="AN60" s="1405"/>
      <c r="AO60" s="1405"/>
      <c r="AP60" s="1405"/>
      <c r="AQ60" s="1405"/>
      <c r="AR60" s="1405"/>
      <c r="AS60" s="67"/>
      <c r="AT60" s="995"/>
      <c r="AU60" s="12"/>
      <c r="AV60" s="12"/>
      <c r="AW60" s="12"/>
      <c r="AX60" s="12"/>
      <c r="AY60" s="12"/>
      <c r="AZ60" s="12"/>
      <c r="BA60" s="12"/>
      <c r="BB60" s="12"/>
      <c r="BC60" s="12"/>
      <c r="BD60" s="12"/>
      <c r="BE60" s="40"/>
      <c r="BF60" s="13"/>
      <c r="BG60" s="13"/>
      <c r="BH60" s="13"/>
      <c r="BI60" s="14"/>
    </row>
    <row r="61" spans="1:61" s="896" customFormat="1" ht="25.5" customHeight="1">
      <c r="A61" s="86"/>
      <c r="B61" s="943"/>
      <c r="C61" s="943"/>
      <c r="D61" s="943"/>
      <c r="E61" s="897"/>
      <c r="F61" s="893" t="s">
        <v>1404</v>
      </c>
      <c r="G61" s="912"/>
      <c r="H61" s="913"/>
      <c r="I61" s="894"/>
      <c r="J61" s="912"/>
      <c r="K61" s="914"/>
      <c r="L61" s="895"/>
      <c r="M61" s="893"/>
      <c r="N61" s="893"/>
      <c r="O61" s="895"/>
      <c r="P61" s="895"/>
      <c r="Q61" s="893"/>
      <c r="R61" s="893"/>
      <c r="S61" s="893"/>
      <c r="T61" s="893"/>
      <c r="U61" s="893"/>
      <c r="V61" s="893"/>
      <c r="W61" s="893"/>
      <c r="X61" s="893"/>
      <c r="Y61" s="893"/>
      <c r="Z61" s="893"/>
      <c r="AA61" s="893"/>
      <c r="AB61" s="893"/>
      <c r="AC61" s="893"/>
      <c r="AD61" s="893"/>
      <c r="AE61" s="893"/>
      <c r="AF61" s="893"/>
      <c r="AG61" s="893"/>
      <c r="AH61" s="893"/>
      <c r="AI61" s="893"/>
      <c r="AJ61" s="893"/>
      <c r="AK61" s="893"/>
      <c r="AL61" s="893"/>
      <c r="AM61" s="893"/>
      <c r="AN61" s="893"/>
      <c r="AO61" s="893"/>
      <c r="AP61" s="893"/>
      <c r="AQ61" s="893"/>
      <c r="AR61" s="893"/>
      <c r="AS61" s="893"/>
      <c r="AT61" s="1381"/>
      <c r="AU61" s="893"/>
      <c r="AV61" s="893"/>
      <c r="AW61" s="893"/>
      <c r="AX61" s="893"/>
      <c r="AY61" s="893"/>
      <c r="AZ61" s="893"/>
      <c r="BA61" s="893"/>
      <c r="BB61" s="893"/>
      <c r="BC61" s="893"/>
      <c r="BD61" s="893"/>
      <c r="BE61" s="893"/>
      <c r="BF61" s="893"/>
      <c r="BG61" s="893"/>
      <c r="BH61" s="893"/>
      <c r="BI61" s="893"/>
    </row>
    <row r="62" spans="1:61" collapsed="1">
      <c r="A62" s="86"/>
      <c r="B62" s="15" t="s">
        <v>1513</v>
      </c>
      <c r="C62" s="15" t="s">
        <v>1489</v>
      </c>
      <c r="D62" s="943"/>
      <c r="E62" s="14"/>
      <c r="F62" s="13"/>
      <c r="G62" s="13"/>
      <c r="H62" s="13"/>
      <c r="I62" s="12"/>
      <c r="J62" s="39"/>
      <c r="K62" s="40"/>
      <c r="L62" s="39"/>
      <c r="M62" s="39"/>
      <c r="N62" s="39"/>
      <c r="O62" s="39"/>
      <c r="P62" s="39"/>
      <c r="Q62" s="39"/>
      <c r="R62" s="39"/>
      <c r="S62" s="39"/>
      <c r="T62" s="39"/>
      <c r="U62" s="39"/>
      <c r="V62" s="39"/>
      <c r="W62" s="39"/>
      <c r="X62" s="39"/>
      <c r="Y62" s="39"/>
      <c r="Z62" s="39"/>
      <c r="AA62" s="39"/>
      <c r="AB62" s="67"/>
      <c r="AC62" s="995"/>
      <c r="AD62" s="1405"/>
      <c r="AE62" s="1405"/>
      <c r="AF62" s="1405"/>
      <c r="AG62" s="1405"/>
      <c r="AH62" s="1405"/>
      <c r="AI62" s="1405"/>
      <c r="AJ62" s="1405"/>
      <c r="AK62" s="1405"/>
      <c r="AL62" s="1405"/>
      <c r="AM62" s="1405"/>
      <c r="AN62" s="1405"/>
      <c r="AO62" s="1405"/>
      <c r="AP62" s="1405"/>
      <c r="AQ62" s="1405"/>
      <c r="AR62" s="1405"/>
      <c r="AS62" s="67"/>
      <c r="AT62" s="995"/>
      <c r="AU62" s="12"/>
      <c r="AV62" s="12"/>
      <c r="AW62" s="12"/>
      <c r="AX62" s="12"/>
      <c r="AY62" s="12"/>
      <c r="AZ62" s="12"/>
      <c r="BA62" s="12"/>
      <c r="BB62" s="12"/>
      <c r="BC62" s="12"/>
      <c r="BD62" s="40"/>
      <c r="BE62" s="40"/>
      <c r="BF62" s="13"/>
      <c r="BG62" s="13"/>
      <c r="BH62" s="13"/>
      <c r="BI62" s="14"/>
    </row>
    <row r="63" spans="1:61" hidden="1">
      <c r="A63" s="139" t="s">
        <v>396</v>
      </c>
      <c r="B63" s="939" t="str">
        <f>tabellen_EMD!$C$181</f>
        <v>VABI EPA-U</v>
      </c>
      <c r="C63" s="939" t="str">
        <f>VLOOKUP(B63,'NEN 7120 naar GPR4'!$AV$40:$AY$48,COLUMNS($AV$40:$AX$40),FALSE)</f>
        <v>ISSO 75.3</v>
      </c>
      <c r="D63" s="943"/>
      <c r="E63" s="14"/>
      <c r="F63" s="15" t="str">
        <f>_xlfn.CONCAT("Overnemen uit '",B63,"': ",VLOOKUP(B63,$AV$41:$AZ$48,COLUMNS($AV$40:$AZ$40),FALSE))</f>
        <v>Overnemen uit 'VABI EPA-U': Energiegebruik per deelpost in de huidige situatie</v>
      </c>
      <c r="G63" s="15"/>
      <c r="H63" s="15"/>
      <c r="I63" s="905"/>
      <c r="J63" s="12"/>
      <c r="K63" s="12"/>
      <c r="L63" s="12"/>
      <c r="M63" s="909" t="s">
        <v>1485</v>
      </c>
      <c r="N63" s="41"/>
      <c r="O63" s="41"/>
      <c r="P63" s="453" t="s">
        <v>1487</v>
      </c>
      <c r="Q63" s="39"/>
      <c r="R63" s="39"/>
      <c r="S63" s="453" t="s">
        <v>1484</v>
      </c>
      <c r="T63" s="39"/>
      <c r="U63" s="39"/>
      <c r="V63" s="453" t="s">
        <v>1613</v>
      </c>
      <c r="W63" s="39"/>
      <c r="X63" s="39"/>
      <c r="Y63" s="12"/>
      <c r="Z63" s="453" t="s">
        <v>1536</v>
      </c>
      <c r="AA63" s="12"/>
      <c r="AB63" s="67"/>
      <c r="AC63" s="995"/>
      <c r="AD63" s="1405"/>
      <c r="AE63" s="1405"/>
      <c r="AF63" s="1405"/>
      <c r="AG63" s="1405"/>
      <c r="AH63" s="1405"/>
      <c r="AI63" s="1405"/>
      <c r="AJ63" s="1405"/>
      <c r="AK63" s="1405"/>
      <c r="AL63" s="1405"/>
      <c r="AM63" s="1405"/>
      <c r="AN63" s="1405"/>
      <c r="AO63" s="1405"/>
      <c r="AP63" s="1405"/>
      <c r="AQ63" s="1405"/>
      <c r="AR63" s="1405"/>
      <c r="AS63" s="67"/>
      <c r="AT63" s="995"/>
      <c r="AU63" s="12"/>
      <c r="AV63" s="15" t="str">
        <f t="shared" ref="AV63:AV75" si="10">F63</f>
        <v>Overnemen uit 'VABI EPA-U': Energiegebruik per deelpost in de huidige situatie</v>
      </c>
      <c r="AW63" s="12"/>
      <c r="AX63" s="12"/>
      <c r="AY63" s="12"/>
      <c r="AZ63" s="888" t="s">
        <v>1593</v>
      </c>
      <c r="BA63" s="888" t="s">
        <v>1628</v>
      </c>
      <c r="BB63" s="888" t="s">
        <v>1487</v>
      </c>
      <c r="BC63" s="452"/>
      <c r="BD63" s="452" t="s">
        <v>1488</v>
      </c>
      <c r="BE63" s="452"/>
      <c r="BF63" s="452"/>
      <c r="BG63" s="888" t="s">
        <v>510</v>
      </c>
      <c r="BH63" s="39"/>
      <c r="BI63" s="39"/>
    </row>
    <row r="64" spans="1:61" hidden="1">
      <c r="A64" s="139" t="s">
        <v>396</v>
      </c>
      <c r="B64" s="47" t="str">
        <f>B63</f>
        <v>VABI EPA-U</v>
      </c>
      <c r="C64" s="47" t="str">
        <f t="shared" ref="C64:C77" si="11">C63</f>
        <v>ISSO 75.3</v>
      </c>
      <c r="D64" s="943"/>
      <c r="E64" s="14"/>
      <c r="F64" s="892" t="s">
        <v>496</v>
      </c>
      <c r="G64" s="892"/>
      <c r="H64" s="892"/>
      <c r="I64" s="905"/>
      <c r="J64" s="909" t="s">
        <v>458</v>
      </c>
      <c r="K64" s="909"/>
      <c r="L64" s="889"/>
      <c r="M64" s="910" t="s">
        <v>1534</v>
      </c>
      <c r="N64" s="452" t="s">
        <v>204</v>
      </c>
      <c r="O64" s="39"/>
      <c r="P64" s="888" t="s">
        <v>1533</v>
      </c>
      <c r="Q64" s="910" t="s">
        <v>1532</v>
      </c>
      <c r="R64" s="452"/>
      <c r="S64" s="888" t="s">
        <v>1534</v>
      </c>
      <c r="T64" s="889" t="s">
        <v>204</v>
      </c>
      <c r="U64" s="39"/>
      <c r="V64" s="888" t="s">
        <v>1533</v>
      </c>
      <c r="W64" s="910" t="s">
        <v>1532</v>
      </c>
      <c r="X64" s="889" t="s">
        <v>204</v>
      </c>
      <c r="Y64" s="12"/>
      <c r="Z64" s="888" t="s">
        <v>1534</v>
      </c>
      <c r="AA64" s="889" t="s">
        <v>204</v>
      </c>
      <c r="AB64" s="67"/>
      <c r="AC64" s="995"/>
      <c r="AD64" s="1405"/>
      <c r="AE64" s="1405"/>
      <c r="AF64" s="1405"/>
      <c r="AG64" s="1405"/>
      <c r="AH64" s="1405"/>
      <c r="AI64" s="1405"/>
      <c r="AJ64" s="1405"/>
      <c r="AK64" s="1405"/>
      <c r="AL64" s="1405"/>
      <c r="AM64" s="1405"/>
      <c r="AN64" s="1405"/>
      <c r="AO64" s="1405"/>
      <c r="AP64" s="1405"/>
      <c r="AQ64" s="1405"/>
      <c r="AR64" s="1405"/>
      <c r="AS64" s="67"/>
      <c r="AT64" s="995"/>
      <c r="AU64" s="12"/>
      <c r="AV64" s="892" t="str">
        <f t="shared" si="10"/>
        <v>energiefunctie</v>
      </c>
      <c r="AW64" s="452" t="str">
        <f t="shared" ref="AW64:AW75" si="12">J64</f>
        <v>energiedrager</v>
      </c>
      <c r="AX64" s="910"/>
      <c r="AY64" s="12"/>
      <c r="AZ64" s="888" t="s">
        <v>1592</v>
      </c>
      <c r="BA64" s="888"/>
      <c r="BB64" s="888" t="s">
        <v>1535</v>
      </c>
      <c r="BC64" s="452"/>
      <c r="BD64" s="452" t="s">
        <v>1534</v>
      </c>
      <c r="BE64" s="452" t="s">
        <v>1537</v>
      </c>
      <c r="BF64" s="452"/>
      <c r="BG64" s="888" t="s">
        <v>1535</v>
      </c>
      <c r="BH64" s="888" t="s">
        <v>204</v>
      </c>
      <c r="BI64" s="452"/>
    </row>
    <row r="65" spans="1:61" hidden="1">
      <c r="A65" s="86"/>
      <c r="B65" s="47" t="str">
        <f t="shared" ref="B65:B77" si="13">B64</f>
        <v>VABI EPA-U</v>
      </c>
      <c r="C65" s="47" t="str">
        <f t="shared" si="11"/>
        <v>ISSO 75.3</v>
      </c>
      <c r="D65" s="943"/>
      <c r="E65" s="14"/>
      <c r="F65" s="22" t="s">
        <v>502</v>
      </c>
      <c r="G65" s="22"/>
      <c r="H65" s="22"/>
      <c r="I65" s="905"/>
      <c r="J65" s="1685" t="s">
        <v>465</v>
      </c>
      <c r="K65" s="1685"/>
      <c r="L65" s="16"/>
      <c r="M65" s="25"/>
      <c r="N65" s="22" t="str">
        <f t="shared" ref="N65:N75" si="14">INDEX(EP_methode_eenheid,1,MATCH($C65,EP_methode,0))</f>
        <v>MJ</v>
      </c>
      <c r="O65" s="15"/>
      <c r="P65" s="154">
        <v>12</v>
      </c>
      <c r="Q65" s="59">
        <f t="shared" ref="Q65:Q74" si="15">IFERROR(IF(AND(P65&lt;&gt;"",$BA65=1),P65,BB65),1)</f>
        <v>2.5641025641025639</v>
      </c>
      <c r="R65" s="15"/>
      <c r="S65" s="24">
        <f t="shared" ref="S65:S74" si="16">M65/Q65/BD65</f>
        <v>0</v>
      </c>
      <c r="T65" s="47" t="str">
        <f>IFERROR(INDEX(energiedragers_EP_eenheden,MATCH($J65,tabellen_EMD!$C$196:$C$204,0),MATCH($B65,energiedragers_EP_eenheden_titel,0)),"-")</f>
        <v>kWh</v>
      </c>
      <c r="U65" s="39"/>
      <c r="V65" s="154"/>
      <c r="W65" s="59">
        <f t="shared" ref="W65:W74" si="17">IF(AND(V65&lt;&gt;"",$BA65=1),V65,BG65)</f>
        <v>0.56599999999999995</v>
      </c>
      <c r="X65" s="47" t="str">
        <f t="shared" ref="X65:X74" si="18">BH65</f>
        <v>kg/kWh</v>
      </c>
      <c r="Y65" s="12"/>
      <c r="Z65" s="24">
        <f t="shared" ref="Z65:Z74" si="19">S65*W65*ABS(AZ65)</f>
        <v>0</v>
      </c>
      <c r="AA65" s="47" t="s">
        <v>468</v>
      </c>
      <c r="AB65" s="67"/>
      <c r="AC65" s="995"/>
      <c r="AD65" s="1405"/>
      <c r="AE65" s="1405"/>
      <c r="AF65" s="1405"/>
      <c r="AG65" s="1405"/>
      <c r="AH65" s="1405"/>
      <c r="AI65" s="1405"/>
      <c r="AJ65" s="1405"/>
      <c r="AK65" s="1405"/>
      <c r="AL65" s="1405"/>
      <c r="AM65" s="1405"/>
      <c r="AN65" s="1405"/>
      <c r="AO65" s="1405"/>
      <c r="AP65" s="1405"/>
      <c r="AQ65" s="1405"/>
      <c r="AR65" s="1405"/>
      <c r="AS65" s="67"/>
      <c r="AT65" s="995"/>
      <c r="AU65" s="12"/>
      <c r="AV65" s="22" t="str">
        <f t="shared" si="10"/>
        <v>verwarming</v>
      </c>
      <c r="AW65" s="46" t="str">
        <f t="shared" si="12"/>
        <v>elektriciteit</v>
      </c>
      <c r="AX65" s="24"/>
      <c r="AY65" s="12"/>
      <c r="AZ65" s="115">
        <v>1</v>
      </c>
      <c r="BA65" s="24">
        <f>IFERROR(INDEX(tabellen_EMD!$C$185:$N$193,MATCH($J65,tabellen_EMD!$C$185:$C$193,0),MATCH(BA$63,tabellen_EMD!$C$185:$N$185,0)),0)</f>
        <v>0</v>
      </c>
      <c r="BB65" s="115">
        <f t="shared" ref="BB65:BB74" si="20">VLOOKUP($J65,energiedragers_EP_PEF,MATCH(_xlfn.CONCAT($C65," | PEF"),energiedragers_EP_PEF_titel,0),FALSE)</f>
        <v>2.5641025641025639</v>
      </c>
      <c r="BC65" s="15"/>
      <c r="BD65" s="115">
        <f t="shared" ref="BD65:BD74" si="21">IFERROR(VLOOKUP($J65,energiedragers_EP_omrekenen,MATCH($B65,energiedragers_EP_omrekenen_titel,0),FALSE),1)</f>
        <v>3.6</v>
      </c>
      <c r="BE65" s="47" t="str">
        <f t="shared" ref="BE65:BE74" si="22">_xlfn.CONCAT(N65,"/",T65)</f>
        <v>MJ/kWh</v>
      </c>
      <c r="BF65" s="15"/>
      <c r="BG65" s="218">
        <f>IFERROR(INDEX(tabellen_EMD!$C$240:$Z$248,MATCH($J65,tabellen_EMD!$C$240:$C$248,0),MATCH($B65,tabellen_EMD!$C$240:$Z$240,0))*(F65&lt;&gt;"zomercomfort"),0)</f>
        <v>0.56599999999999995</v>
      </c>
      <c r="BH65" s="47" t="str">
        <f t="shared" ref="BH65:BH74" si="23">"kg/"&amp;T65</f>
        <v>kg/kWh</v>
      </c>
      <c r="BI65" s="15"/>
    </row>
    <row r="66" spans="1:61" hidden="1">
      <c r="A66" s="139" t="s">
        <v>396</v>
      </c>
      <c r="B66" s="47" t="str">
        <f t="shared" si="13"/>
        <v>VABI EPA-U</v>
      </c>
      <c r="C66" s="47" t="str">
        <f t="shared" si="11"/>
        <v>ISSO 75.3</v>
      </c>
      <c r="D66" s="943"/>
      <c r="E66" s="14"/>
      <c r="F66" s="22" t="s">
        <v>504</v>
      </c>
      <c r="G66" s="22"/>
      <c r="H66" s="22"/>
      <c r="I66" s="905"/>
      <c r="J66" s="1685"/>
      <c r="K66" s="1685"/>
      <c r="L66" s="16"/>
      <c r="M66" s="25"/>
      <c r="N66" s="22" t="str">
        <f t="shared" si="14"/>
        <v>MJ</v>
      </c>
      <c r="O66" s="15"/>
      <c r="P66" s="154"/>
      <c r="Q66" s="59">
        <f t="shared" si="15"/>
        <v>1</v>
      </c>
      <c r="R66" s="15"/>
      <c r="S66" s="24">
        <f t="shared" si="16"/>
        <v>0</v>
      </c>
      <c r="T66" s="47" t="str">
        <f>IFERROR(INDEX(energiedragers_EP_eenheden,MATCH($J66,tabellen_EMD!$C$196:$C$204,0),MATCH($B66,energiedragers_EP_eenheden_titel,0)),"-")</f>
        <v>-</v>
      </c>
      <c r="U66" s="39"/>
      <c r="V66" s="154"/>
      <c r="W66" s="59">
        <f t="shared" si="17"/>
        <v>0</v>
      </c>
      <c r="X66" s="47" t="str">
        <f t="shared" si="18"/>
        <v>kg/-</v>
      </c>
      <c r="Y66" s="12"/>
      <c r="Z66" s="24">
        <f t="shared" si="19"/>
        <v>0</v>
      </c>
      <c r="AA66" s="47" t="s">
        <v>468</v>
      </c>
      <c r="AB66" s="67"/>
      <c r="AC66" s="995"/>
      <c r="AD66" s="1405"/>
      <c r="AE66" s="1405"/>
      <c r="AF66" s="1405"/>
      <c r="AG66" s="1405"/>
      <c r="AH66" s="1405"/>
      <c r="AI66" s="1405"/>
      <c r="AJ66" s="1405"/>
      <c r="AK66" s="1405"/>
      <c r="AL66" s="1405"/>
      <c r="AM66" s="1405"/>
      <c r="AN66" s="1405"/>
      <c r="AO66" s="1405"/>
      <c r="AP66" s="1405"/>
      <c r="AQ66" s="1405"/>
      <c r="AR66" s="1405"/>
      <c r="AS66" s="67"/>
      <c r="AT66" s="995"/>
      <c r="AU66" s="12"/>
      <c r="AV66" s="22" t="str">
        <f t="shared" si="10"/>
        <v>koeling</v>
      </c>
      <c r="AW66" s="46">
        <f t="shared" si="12"/>
        <v>0</v>
      </c>
      <c r="AX66" s="24"/>
      <c r="AY66" s="12"/>
      <c r="AZ66" s="115">
        <v>1</v>
      </c>
      <c r="BA66" s="24">
        <f>IFERROR(INDEX(tabellen_EMD!$C$185:$N$193,MATCH($J66,tabellen_EMD!$C$185:$C$193,0),MATCH(BA$63,tabellen_EMD!$C$185:$N$185,0)),0)</f>
        <v>0</v>
      </c>
      <c r="BB66" s="115" t="e">
        <f t="shared" si="20"/>
        <v>#N/A</v>
      </c>
      <c r="BC66" s="15"/>
      <c r="BD66" s="115">
        <f t="shared" si="21"/>
        <v>1</v>
      </c>
      <c r="BE66" s="47" t="str">
        <f t="shared" si="22"/>
        <v>MJ/-</v>
      </c>
      <c r="BF66" s="15"/>
      <c r="BG66" s="218">
        <f>IFERROR(INDEX(tabellen_EMD!$C$240:$Z$248,MATCH($J66,tabellen_EMD!$C$240:$C$248,0),MATCH($B66,tabellen_EMD!$C$240:$Z$240,0))*(F66&lt;&gt;"zomercomfort"),0)</f>
        <v>0</v>
      </c>
      <c r="BH66" s="47" t="str">
        <f t="shared" si="23"/>
        <v>kg/-</v>
      </c>
      <c r="BI66" s="15"/>
    </row>
    <row r="67" spans="1:61" hidden="1">
      <c r="A67" s="86"/>
      <c r="B67" s="47" t="str">
        <f t="shared" si="13"/>
        <v>VABI EPA-U</v>
      </c>
      <c r="C67" s="47" t="str">
        <f t="shared" si="11"/>
        <v>ISSO 75.3</v>
      </c>
      <c r="D67" s="943"/>
      <c r="E67" s="14"/>
      <c r="F67" s="22" t="s">
        <v>503</v>
      </c>
      <c r="G67" s="22"/>
      <c r="H67" s="22"/>
      <c r="I67" s="905"/>
      <c r="J67" s="1685"/>
      <c r="K67" s="1685"/>
      <c r="L67" s="16"/>
      <c r="M67" s="25"/>
      <c r="N67" s="22" t="str">
        <f t="shared" si="14"/>
        <v>MJ</v>
      </c>
      <c r="O67" s="15"/>
      <c r="P67" s="154"/>
      <c r="Q67" s="59">
        <f t="shared" si="15"/>
        <v>1</v>
      </c>
      <c r="R67" s="15"/>
      <c r="S67" s="24">
        <f t="shared" si="16"/>
        <v>0</v>
      </c>
      <c r="T67" s="47" t="str">
        <f>IFERROR(INDEX(energiedragers_EP_eenheden,MATCH($J67,tabellen_EMD!$C$196:$C$204,0),MATCH($B67,energiedragers_EP_eenheden_titel,0)),"-")</f>
        <v>-</v>
      </c>
      <c r="U67" s="39"/>
      <c r="V67" s="154"/>
      <c r="W67" s="59">
        <f t="shared" si="17"/>
        <v>0</v>
      </c>
      <c r="X67" s="47" t="str">
        <f t="shared" si="18"/>
        <v>kg/-</v>
      </c>
      <c r="Y67" s="12"/>
      <c r="Z67" s="24">
        <f t="shared" si="19"/>
        <v>0</v>
      </c>
      <c r="AA67" s="47" t="s">
        <v>468</v>
      </c>
      <c r="AB67" s="67"/>
      <c r="AC67" s="995"/>
      <c r="AD67" s="1405"/>
      <c r="AE67" s="1405"/>
      <c r="AF67" s="1405"/>
      <c r="AG67" s="1405"/>
      <c r="AH67" s="1405"/>
      <c r="AI67" s="1405"/>
      <c r="AJ67" s="1405"/>
      <c r="AK67" s="1405"/>
      <c r="AL67" s="1405"/>
      <c r="AM67" s="1405"/>
      <c r="AN67" s="1405"/>
      <c r="AO67" s="1405"/>
      <c r="AP67" s="1405"/>
      <c r="AQ67" s="1405"/>
      <c r="AR67" s="1405"/>
      <c r="AS67" s="67"/>
      <c r="AT67" s="995"/>
      <c r="AU67" s="12"/>
      <c r="AV67" s="22" t="str">
        <f t="shared" si="10"/>
        <v>tapwater</v>
      </c>
      <c r="AW67" s="46">
        <f t="shared" si="12"/>
        <v>0</v>
      </c>
      <c r="AX67" s="24"/>
      <c r="AY67" s="12"/>
      <c r="AZ67" s="115">
        <v>1</v>
      </c>
      <c r="BA67" s="24">
        <f>IFERROR(INDEX(tabellen_EMD!$C$185:$N$193,MATCH($J67,tabellen_EMD!$C$185:$C$193,0),MATCH(BA$63,tabellen_EMD!$C$185:$N$185,0)),0)</f>
        <v>0</v>
      </c>
      <c r="BB67" s="115" t="e">
        <f t="shared" si="20"/>
        <v>#N/A</v>
      </c>
      <c r="BC67" s="15"/>
      <c r="BD67" s="115">
        <f t="shared" si="21"/>
        <v>1</v>
      </c>
      <c r="BE67" s="47" t="str">
        <f t="shared" si="22"/>
        <v>MJ/-</v>
      </c>
      <c r="BF67" s="15"/>
      <c r="BG67" s="218">
        <f>IFERROR(INDEX(tabellen_EMD!$C$240:$Z$248,MATCH($J67,tabellen_EMD!$C$240:$C$248,0),MATCH($B67,tabellen_EMD!$C$240:$Z$240,0))*(F67&lt;&gt;"zomercomfort"),0)</f>
        <v>0</v>
      </c>
      <c r="BH67" s="47" t="str">
        <f t="shared" si="23"/>
        <v>kg/-</v>
      </c>
      <c r="BI67" s="15"/>
    </row>
    <row r="68" spans="1:61" hidden="1">
      <c r="A68" s="86"/>
      <c r="B68" s="47" t="str">
        <f t="shared" si="13"/>
        <v>VABI EPA-U</v>
      </c>
      <c r="C68" s="47" t="str">
        <f t="shared" si="11"/>
        <v>ISSO 75.3</v>
      </c>
      <c r="D68" s="943"/>
      <c r="E68" s="14"/>
      <c r="F68" s="22" t="s">
        <v>505</v>
      </c>
      <c r="G68" s="22"/>
      <c r="H68" s="22"/>
      <c r="I68" s="905"/>
      <c r="J68" s="1691" t="s">
        <v>465</v>
      </c>
      <c r="K68" s="1698"/>
      <c r="L68" s="16"/>
      <c r="M68" s="25"/>
      <c r="N68" s="22" t="str">
        <f t="shared" si="14"/>
        <v>MJ</v>
      </c>
      <c r="O68" s="15"/>
      <c r="P68" s="39"/>
      <c r="Q68" s="59">
        <f t="shared" si="15"/>
        <v>2.5641025641025639</v>
      </c>
      <c r="R68" s="15"/>
      <c r="S68" s="24">
        <f t="shared" si="16"/>
        <v>0</v>
      </c>
      <c r="T68" s="47" t="str">
        <f>IFERROR(INDEX(energiedragers_EP_eenheden,MATCH($J68,tabellen_EMD!$C$196:$C$204,0),MATCH($B68,energiedragers_EP_eenheden_titel,0)),"-")</f>
        <v>kWh</v>
      </c>
      <c r="U68" s="39"/>
      <c r="V68" s="15"/>
      <c r="W68" s="59">
        <f t="shared" si="17"/>
        <v>0.56599999999999995</v>
      </c>
      <c r="X68" s="47" t="str">
        <f t="shared" si="18"/>
        <v>kg/kWh</v>
      </c>
      <c r="Y68" s="12"/>
      <c r="Z68" s="24">
        <f t="shared" si="19"/>
        <v>0</v>
      </c>
      <c r="AA68" s="47" t="s">
        <v>468</v>
      </c>
      <c r="AB68" s="67"/>
      <c r="AC68" s="995"/>
      <c r="AD68" s="1405"/>
      <c r="AE68" s="1405"/>
      <c r="AF68" s="1405"/>
      <c r="AG68" s="1405"/>
      <c r="AH68" s="1405"/>
      <c r="AI68" s="1405"/>
      <c r="AJ68" s="1405"/>
      <c r="AK68" s="1405"/>
      <c r="AL68" s="1405"/>
      <c r="AM68" s="1405"/>
      <c r="AN68" s="1405"/>
      <c r="AO68" s="1405"/>
      <c r="AP68" s="1405"/>
      <c r="AQ68" s="1405"/>
      <c r="AR68" s="1405"/>
      <c r="AS68" s="67"/>
      <c r="AT68" s="995"/>
      <c r="AU68" s="12"/>
      <c r="AV68" s="22" t="str">
        <f t="shared" si="10"/>
        <v>bevochtiging</v>
      </c>
      <c r="AW68" s="46" t="str">
        <f t="shared" si="12"/>
        <v>elektriciteit</v>
      </c>
      <c r="AX68" s="24"/>
      <c r="AY68" s="12"/>
      <c r="AZ68" s="115">
        <v>1</v>
      </c>
      <c r="BA68" s="24">
        <f>IFERROR(INDEX(tabellen_EMD!$C$185:$N$193,MATCH($J68,tabellen_EMD!$C$185:$C$193,0),MATCH(BA$63,tabellen_EMD!$C$185:$N$185,0)),0)</f>
        <v>0</v>
      </c>
      <c r="BB68" s="115">
        <f t="shared" si="20"/>
        <v>2.5641025641025639</v>
      </c>
      <c r="BC68" s="15"/>
      <c r="BD68" s="115">
        <f t="shared" si="21"/>
        <v>3.6</v>
      </c>
      <c r="BE68" s="47" t="str">
        <f t="shared" si="22"/>
        <v>MJ/kWh</v>
      </c>
      <c r="BF68" s="15"/>
      <c r="BG68" s="218">
        <f>IFERROR(INDEX(tabellen_EMD!$C$240:$Z$248,MATCH($J68,tabellen_EMD!$C$240:$C$248,0),MATCH($B68,tabellen_EMD!$C$240:$Z$240,0))*(F68&lt;&gt;"zomercomfort"),0)</f>
        <v>0.56599999999999995</v>
      </c>
      <c r="BH68" s="47" t="str">
        <f t="shared" si="23"/>
        <v>kg/kWh</v>
      </c>
      <c r="BI68" s="15"/>
    </row>
    <row r="69" spans="1:61" hidden="1">
      <c r="A69" s="86"/>
      <c r="B69" s="47" t="str">
        <f t="shared" si="13"/>
        <v>VABI EPA-U</v>
      </c>
      <c r="C69" s="47" t="str">
        <f t="shared" si="11"/>
        <v>ISSO 75.3</v>
      </c>
      <c r="D69" s="943"/>
      <c r="E69" s="14"/>
      <c r="F69" s="22" t="s">
        <v>507</v>
      </c>
      <c r="G69" s="22"/>
      <c r="H69" s="22"/>
      <c r="I69" s="905"/>
      <c r="J69" s="1691" t="s">
        <v>465</v>
      </c>
      <c r="K69" s="1698"/>
      <c r="L69" s="16"/>
      <c r="M69" s="25"/>
      <c r="N69" s="22" t="str">
        <f t="shared" si="14"/>
        <v>MJ</v>
      </c>
      <c r="O69" s="15"/>
      <c r="P69" s="39"/>
      <c r="Q69" s="59">
        <f t="shared" si="15"/>
        <v>2.5641025641025639</v>
      </c>
      <c r="R69" s="15"/>
      <c r="S69" s="24">
        <f t="shared" si="16"/>
        <v>0</v>
      </c>
      <c r="T69" s="47" t="str">
        <f>IFERROR(INDEX(energiedragers_EP_eenheden,MATCH($J69,tabellen_EMD!$C$196:$C$204,0),MATCH($B69,energiedragers_EP_eenheden_titel,0)),"-")</f>
        <v>kWh</v>
      </c>
      <c r="U69" s="39"/>
      <c r="V69" s="15"/>
      <c r="W69" s="59">
        <f t="shared" si="17"/>
        <v>0.56599999999999995</v>
      </c>
      <c r="X69" s="47" t="str">
        <f t="shared" si="18"/>
        <v>kg/kWh</v>
      </c>
      <c r="Y69" s="12"/>
      <c r="Z69" s="24">
        <f t="shared" si="19"/>
        <v>0</v>
      </c>
      <c r="AA69" s="47" t="s">
        <v>468</v>
      </c>
      <c r="AB69" s="67"/>
      <c r="AC69" s="995"/>
      <c r="AD69" s="1405"/>
      <c r="AE69" s="1405"/>
      <c r="AF69" s="1405"/>
      <c r="AG69" s="1405"/>
      <c r="AH69" s="1405"/>
      <c r="AI69" s="1405"/>
      <c r="AJ69" s="1405"/>
      <c r="AK69" s="1405"/>
      <c r="AL69" s="1405"/>
      <c r="AM69" s="1405"/>
      <c r="AN69" s="1405"/>
      <c r="AO69" s="1405"/>
      <c r="AP69" s="1405"/>
      <c r="AQ69" s="1405"/>
      <c r="AR69" s="1405"/>
      <c r="AS69" s="67"/>
      <c r="AT69" s="995"/>
      <c r="AU69" s="12"/>
      <c r="AV69" s="22" t="str">
        <f t="shared" si="10"/>
        <v>verlichting</v>
      </c>
      <c r="AW69" s="46" t="str">
        <f t="shared" si="12"/>
        <v>elektriciteit</v>
      </c>
      <c r="AX69" s="24"/>
      <c r="AY69" s="12"/>
      <c r="AZ69" s="115">
        <v>1</v>
      </c>
      <c r="BA69" s="24">
        <f>IFERROR(INDEX(tabellen_EMD!$C$185:$N$193,MATCH($J69,tabellen_EMD!$C$185:$C$193,0),MATCH(BA$63,tabellen_EMD!$C$185:$N$185,0)),0)</f>
        <v>0</v>
      </c>
      <c r="BB69" s="115">
        <f t="shared" si="20"/>
        <v>2.5641025641025639</v>
      </c>
      <c r="BC69" s="15"/>
      <c r="BD69" s="115">
        <f t="shared" si="21"/>
        <v>3.6</v>
      </c>
      <c r="BE69" s="47" t="str">
        <f t="shared" si="22"/>
        <v>MJ/kWh</v>
      </c>
      <c r="BF69" s="15"/>
      <c r="BG69" s="218">
        <f>IFERROR(INDEX(tabellen_EMD!$C$240:$Z$248,MATCH($J69,tabellen_EMD!$C$240:$C$248,0),MATCH($B69,tabellen_EMD!$C$240:$Z$240,0))*(F69&lt;&gt;"zomercomfort"),0)</f>
        <v>0.56599999999999995</v>
      </c>
      <c r="BH69" s="47" t="str">
        <f t="shared" si="23"/>
        <v>kg/kWh</v>
      </c>
      <c r="BI69" s="15"/>
    </row>
    <row r="70" spans="1:61" s="952" customFormat="1" hidden="1">
      <c r="B70" s="47" t="str">
        <f t="shared" si="13"/>
        <v>VABI EPA-U</v>
      </c>
      <c r="C70" s="47" t="str">
        <f t="shared" si="11"/>
        <v>ISSO 75.3</v>
      </c>
      <c r="D70" s="943"/>
      <c r="E70" s="953"/>
      <c r="F70" s="954" t="s">
        <v>1374</v>
      </c>
      <c r="G70" s="954"/>
      <c r="H70" s="954"/>
      <c r="I70" s="955"/>
      <c r="J70" s="1691" t="s">
        <v>465</v>
      </c>
      <c r="K70" s="1698"/>
      <c r="L70" s="140"/>
      <c r="M70" s="1325"/>
      <c r="N70" s="954" t="str">
        <f t="shared" si="14"/>
        <v>MJ</v>
      </c>
      <c r="O70" s="956"/>
      <c r="P70" s="39"/>
      <c r="Q70" s="59">
        <f t="shared" si="15"/>
        <v>2.5641025641025639</v>
      </c>
      <c r="R70" s="15"/>
      <c r="S70" s="24">
        <f t="shared" si="16"/>
        <v>0</v>
      </c>
      <c r="T70" s="47" t="str">
        <f>IFERROR(INDEX(energiedragers_EP_eenheden,MATCH($J70,tabellen_EMD!$C$196:$C$204,0),MATCH($B70,energiedragers_EP_eenheden_titel,0)),"-")</f>
        <v>kWh</v>
      </c>
      <c r="U70" s="39"/>
      <c r="V70" s="15"/>
      <c r="W70" s="59">
        <f t="shared" si="17"/>
        <v>0.56599999999999995</v>
      </c>
      <c r="X70" s="47" t="str">
        <f t="shared" si="18"/>
        <v>kg/kWh</v>
      </c>
      <c r="Y70" s="12"/>
      <c r="Z70" s="24">
        <f t="shared" si="19"/>
        <v>0</v>
      </c>
      <c r="AA70" s="47" t="s">
        <v>468</v>
      </c>
      <c r="AB70" s="1392"/>
      <c r="AC70" s="1000"/>
      <c r="AD70" s="1405"/>
      <c r="AE70" s="1405"/>
      <c r="AF70" s="1405"/>
      <c r="AG70" s="1405"/>
      <c r="AH70" s="1405"/>
      <c r="AI70" s="1405"/>
      <c r="AJ70" s="1405"/>
      <c r="AK70" s="1405"/>
      <c r="AL70" s="1405"/>
      <c r="AM70" s="1405"/>
      <c r="AN70" s="1405"/>
      <c r="AO70" s="1405"/>
      <c r="AP70" s="1405"/>
      <c r="AQ70" s="1405"/>
      <c r="AR70" s="1405"/>
      <c r="AS70" s="1392"/>
      <c r="AT70" s="1000"/>
      <c r="AU70" s="957"/>
      <c r="AV70" s="958" t="str">
        <f t="shared" si="10"/>
        <v>apparatuur</v>
      </c>
      <c r="AW70" s="959" t="str">
        <f t="shared" si="12"/>
        <v>elektriciteit</v>
      </c>
      <c r="AX70" s="960"/>
      <c r="AY70" s="957"/>
      <c r="AZ70" s="115">
        <v>0</v>
      </c>
      <c r="BA70" s="24">
        <f>IFERROR(INDEX(tabellen_EMD!$C$185:$N$193,MATCH($J70,tabellen_EMD!$C$185:$C$193,0),MATCH(BA$63,tabellen_EMD!$C$185:$N$185,0)),0)</f>
        <v>0</v>
      </c>
      <c r="BB70" s="962">
        <f t="shared" si="20"/>
        <v>2.5641025641025639</v>
      </c>
      <c r="BC70" s="963"/>
      <c r="BD70" s="962">
        <f t="shared" si="21"/>
        <v>3.6</v>
      </c>
      <c r="BE70" s="961" t="str">
        <f t="shared" si="22"/>
        <v>MJ/kWh</v>
      </c>
      <c r="BF70" s="963"/>
      <c r="BG70" s="964">
        <f>IFERROR(INDEX(tabellen_EMD!$C$240:$Z$248,MATCH($J70,tabellen_EMD!$C$240:$C$248,0),MATCH($B70,tabellen_EMD!$C$240:$Z$240,0))*(F70&lt;&gt;"zomercomfort"),0)</f>
        <v>0.56599999999999995</v>
      </c>
      <c r="BH70" s="961" t="str">
        <f t="shared" si="23"/>
        <v>kg/kWh</v>
      </c>
      <c r="BI70" s="963"/>
    </row>
    <row r="71" spans="1:61" hidden="1">
      <c r="A71" s="18"/>
      <c r="B71" s="47" t="str">
        <f t="shared" si="13"/>
        <v>VABI EPA-U</v>
      </c>
      <c r="C71" s="47" t="str">
        <f t="shared" si="11"/>
        <v>ISSO 75.3</v>
      </c>
      <c r="D71" s="943"/>
      <c r="E71" s="14"/>
      <c r="F71" s="22" t="s">
        <v>1375</v>
      </c>
      <c r="G71" s="22"/>
      <c r="H71" s="22"/>
      <c r="I71" s="905"/>
      <c r="J71" s="1691" t="s">
        <v>465</v>
      </c>
      <c r="K71" s="1698"/>
      <c r="L71" s="16"/>
      <c r="M71" s="25"/>
      <c r="N71" s="22" t="str">
        <f t="shared" si="14"/>
        <v>MJ</v>
      </c>
      <c r="O71" s="15"/>
      <c r="P71" s="39"/>
      <c r="Q71" s="59">
        <f t="shared" si="15"/>
        <v>2.5641025641025639</v>
      </c>
      <c r="R71" s="15"/>
      <c r="S71" s="24">
        <f t="shared" si="16"/>
        <v>0</v>
      </c>
      <c r="T71" s="47" t="str">
        <f>IFERROR(INDEX(energiedragers_EP_eenheden,MATCH($J71,tabellen_EMD!$C$196:$C$204,0),MATCH($B71,energiedragers_EP_eenheden_titel,0)),"-")</f>
        <v>kWh</v>
      </c>
      <c r="U71" s="39"/>
      <c r="V71" s="15"/>
      <c r="W71" s="59">
        <f t="shared" si="17"/>
        <v>0.56599999999999995</v>
      </c>
      <c r="X71" s="47" t="str">
        <f t="shared" si="18"/>
        <v>kg/kWh</v>
      </c>
      <c r="Y71" s="12"/>
      <c r="Z71" s="24">
        <f t="shared" si="19"/>
        <v>0</v>
      </c>
      <c r="AA71" s="47" t="s">
        <v>468</v>
      </c>
      <c r="AB71" s="67"/>
      <c r="AC71" s="995"/>
      <c r="AD71" s="1405"/>
      <c r="AE71" s="1405"/>
      <c r="AF71" s="1405"/>
      <c r="AG71" s="1405"/>
      <c r="AH71" s="1405"/>
      <c r="AI71" s="1405"/>
      <c r="AJ71" s="1405"/>
      <c r="AK71" s="1405"/>
      <c r="AL71" s="1405"/>
      <c r="AM71" s="1405"/>
      <c r="AN71" s="1405"/>
      <c r="AO71" s="1405"/>
      <c r="AP71" s="1405"/>
      <c r="AQ71" s="1405"/>
      <c r="AR71" s="1405"/>
      <c r="AS71" s="67"/>
      <c r="AT71" s="995"/>
      <c r="AU71" s="12"/>
      <c r="AV71" s="22" t="str">
        <f t="shared" si="10"/>
        <v>ventilatoren</v>
      </c>
      <c r="AW71" s="46" t="str">
        <f t="shared" si="12"/>
        <v>elektriciteit</v>
      </c>
      <c r="AX71" s="24"/>
      <c r="AY71" s="12"/>
      <c r="AZ71" s="115">
        <v>1</v>
      </c>
      <c r="BA71" s="24">
        <f>IFERROR(INDEX(tabellen_EMD!$C$185:$N$193,MATCH($J71,tabellen_EMD!$C$185:$C$193,0),MATCH(BA$63,tabellen_EMD!$C$185:$N$185,0)),0)</f>
        <v>0</v>
      </c>
      <c r="BB71" s="115">
        <f t="shared" si="20"/>
        <v>2.5641025641025639</v>
      </c>
      <c r="BC71" s="15"/>
      <c r="BD71" s="115">
        <f t="shared" si="21"/>
        <v>3.6</v>
      </c>
      <c r="BE71" s="47" t="str">
        <f t="shared" si="22"/>
        <v>MJ/kWh</v>
      </c>
      <c r="BF71" s="15"/>
      <c r="BG71" s="218">
        <f>IFERROR(INDEX(tabellen_EMD!$C$240:$Z$248,MATCH($J71,tabellen_EMD!$C$240:$C$248,0),MATCH($B71,tabellen_EMD!$C$240:$Z$240,0))*(F71&lt;&gt;"zomercomfort"),0)</f>
        <v>0.56599999999999995</v>
      </c>
      <c r="BH71" s="47" t="str">
        <f t="shared" si="23"/>
        <v>kg/kWh</v>
      </c>
      <c r="BI71" s="15"/>
    </row>
    <row r="72" spans="1:61" hidden="1">
      <c r="A72" s="18"/>
      <c r="B72" s="47" t="str">
        <f t="shared" si="13"/>
        <v>VABI EPA-U</v>
      </c>
      <c r="C72" s="47" t="str">
        <f t="shared" si="11"/>
        <v>ISSO 75.3</v>
      </c>
      <c r="D72" s="943"/>
      <c r="E72" s="14"/>
      <c r="F72" s="22" t="s">
        <v>1376</v>
      </c>
      <c r="G72" s="22"/>
      <c r="H72" s="22"/>
      <c r="I72" s="905"/>
      <c r="J72" s="1691" t="s">
        <v>465</v>
      </c>
      <c r="K72" s="1698"/>
      <c r="L72" s="16"/>
      <c r="M72" s="25"/>
      <c r="N72" s="22" t="str">
        <f t="shared" si="14"/>
        <v>MJ</v>
      </c>
      <c r="O72" s="15"/>
      <c r="P72" s="39"/>
      <c r="Q72" s="59">
        <f t="shared" si="15"/>
        <v>2.5641025641025639</v>
      </c>
      <c r="R72" s="15"/>
      <c r="S72" s="24">
        <f t="shared" si="16"/>
        <v>0</v>
      </c>
      <c r="T72" s="47" t="str">
        <f>IFERROR(INDEX(energiedragers_EP_eenheden,MATCH($J72,tabellen_EMD!$C$196:$C$204,0),MATCH($B72,energiedragers_EP_eenheden_titel,0)),"-")</f>
        <v>kWh</v>
      </c>
      <c r="U72" s="39"/>
      <c r="V72" s="15"/>
      <c r="W72" s="59">
        <f t="shared" si="17"/>
        <v>0.56599999999999995</v>
      </c>
      <c r="X72" s="47" t="str">
        <f t="shared" si="18"/>
        <v>kg/kWh</v>
      </c>
      <c r="Y72" s="12"/>
      <c r="Z72" s="24">
        <f t="shared" si="19"/>
        <v>0</v>
      </c>
      <c r="AA72" s="47" t="s">
        <v>468</v>
      </c>
      <c r="AB72" s="67"/>
      <c r="AC72" s="995"/>
      <c r="AD72" s="1405"/>
      <c r="AE72" s="1405"/>
      <c r="AF72" s="1405"/>
      <c r="AG72" s="1405"/>
      <c r="AH72" s="1405"/>
      <c r="AI72" s="1405"/>
      <c r="AJ72" s="1405"/>
      <c r="AK72" s="1405"/>
      <c r="AL72" s="1405"/>
      <c r="AM72" s="1405"/>
      <c r="AN72" s="1405"/>
      <c r="AO72" s="1405"/>
      <c r="AP72" s="1405"/>
      <c r="AQ72" s="1405"/>
      <c r="AR72" s="1405"/>
      <c r="AS72" s="67"/>
      <c r="AT72" s="995"/>
      <c r="AU72" s="12"/>
      <c r="AV72" s="22" t="str">
        <f t="shared" si="10"/>
        <v>pompen</v>
      </c>
      <c r="AW72" s="46" t="str">
        <f t="shared" si="12"/>
        <v>elektriciteit</v>
      </c>
      <c r="AX72" s="24"/>
      <c r="AY72" s="12"/>
      <c r="AZ72" s="115">
        <v>1</v>
      </c>
      <c r="BA72" s="24">
        <f>IFERROR(INDEX(tabellen_EMD!$C$185:$N$193,MATCH($J72,tabellen_EMD!$C$185:$C$193,0),MATCH(BA$63,tabellen_EMD!$C$185:$N$185,0)),0)</f>
        <v>0</v>
      </c>
      <c r="BB72" s="115">
        <f t="shared" si="20"/>
        <v>2.5641025641025639</v>
      </c>
      <c r="BC72" s="899"/>
      <c r="BD72" s="115">
        <f t="shared" si="21"/>
        <v>3.6</v>
      </c>
      <c r="BE72" s="47" t="str">
        <f t="shared" si="22"/>
        <v>MJ/kWh</v>
      </c>
      <c r="BF72" s="899"/>
      <c r="BG72" s="218">
        <f>IFERROR(INDEX(tabellen_EMD!$C$240:$Z$248,MATCH($J72,tabellen_EMD!$C$240:$C$248,0),MATCH($B72,tabellen_EMD!$C$240:$Z$240,0))*(F72&lt;&gt;"zomercomfort"),0)</f>
        <v>0.56599999999999995</v>
      </c>
      <c r="BH72" s="47" t="str">
        <f t="shared" si="23"/>
        <v>kg/kWh</v>
      </c>
      <c r="BI72" s="899"/>
    </row>
    <row r="73" spans="1:61" s="18" customFormat="1" hidden="1">
      <c r="A73" s="139" t="s">
        <v>396</v>
      </c>
      <c r="B73" s="47" t="str">
        <f t="shared" si="13"/>
        <v>VABI EPA-U</v>
      </c>
      <c r="C73" s="47" t="str">
        <f t="shared" si="11"/>
        <v>ISSO 75.3</v>
      </c>
      <c r="D73" s="943"/>
      <c r="E73" s="14"/>
      <c r="F73" s="22" t="s">
        <v>1467</v>
      </c>
      <c r="G73" s="22"/>
      <c r="H73" s="22"/>
      <c r="I73" s="905"/>
      <c r="J73" s="1691" t="s">
        <v>465</v>
      </c>
      <c r="K73" s="1698"/>
      <c r="L73" s="16"/>
      <c r="M73" s="25"/>
      <c r="N73" s="22" t="str">
        <f t="shared" si="14"/>
        <v>MJ</v>
      </c>
      <c r="O73" s="15"/>
      <c r="P73" s="39"/>
      <c r="Q73" s="59">
        <f t="shared" si="15"/>
        <v>2.5641025641025639</v>
      </c>
      <c r="R73" s="15"/>
      <c r="S73" s="24">
        <f t="shared" si="16"/>
        <v>0</v>
      </c>
      <c r="T73" s="47" t="str">
        <f>IFERROR(INDEX(energiedragers_EP_eenheden,MATCH($J73,tabellen_EMD!$C$196:$C$204,0),MATCH($B73,energiedragers_EP_eenheden_titel,0)),"-")</f>
        <v>kWh</v>
      </c>
      <c r="U73" s="39"/>
      <c r="V73" s="15"/>
      <c r="W73" s="59">
        <f t="shared" si="17"/>
        <v>0.56599999999999995</v>
      </c>
      <c r="X73" s="47" t="str">
        <f t="shared" si="18"/>
        <v>kg/kWh</v>
      </c>
      <c r="Y73" s="12"/>
      <c r="Z73" s="24">
        <f t="shared" si="19"/>
        <v>0</v>
      </c>
      <c r="AA73" s="47" t="s">
        <v>468</v>
      </c>
      <c r="AB73" s="67"/>
      <c r="AC73" s="995"/>
      <c r="AD73" s="1405"/>
      <c r="AE73" s="1405"/>
      <c r="AF73" s="1405"/>
      <c r="AG73" s="1405"/>
      <c r="AH73" s="1405"/>
      <c r="AI73" s="1405"/>
      <c r="AJ73" s="1405"/>
      <c r="AK73" s="1405"/>
      <c r="AL73" s="1405"/>
      <c r="AM73" s="1405"/>
      <c r="AN73" s="1405"/>
      <c r="AO73" s="1405"/>
      <c r="AP73" s="1405"/>
      <c r="AQ73" s="1405"/>
      <c r="AR73" s="1405"/>
      <c r="AS73" s="67"/>
      <c r="AT73" s="995"/>
      <c r="AU73" s="12"/>
      <c r="AV73" s="22" t="str">
        <f t="shared" si="10"/>
        <v>pv-cellen</v>
      </c>
      <c r="AW73" s="46" t="str">
        <f t="shared" si="12"/>
        <v>elektriciteit</v>
      </c>
      <c r="AX73" s="24"/>
      <c r="AY73" s="12"/>
      <c r="AZ73" s="115">
        <v>1</v>
      </c>
      <c r="BA73" s="24">
        <f>IFERROR(INDEX(tabellen_EMD!$C$185:$N$193,MATCH($J73,tabellen_EMD!$C$185:$C$193,0),MATCH(BA$63,tabellen_EMD!$C$185:$N$185,0)),0)</f>
        <v>0</v>
      </c>
      <c r="BB73" s="115">
        <f t="shared" si="20"/>
        <v>2.5641025641025639</v>
      </c>
      <c r="BC73" s="899"/>
      <c r="BD73" s="115">
        <f t="shared" si="21"/>
        <v>3.6</v>
      </c>
      <c r="BE73" s="47" t="str">
        <f t="shared" si="22"/>
        <v>MJ/kWh</v>
      </c>
      <c r="BF73" s="899"/>
      <c r="BG73" s="218">
        <f>IFERROR(INDEX(tabellen_EMD!$C$240:$Z$248,MATCH($J73,tabellen_EMD!$C$240:$C$248,0),MATCH($B73,tabellen_EMD!$C$240:$Z$240,0))*(F73&lt;&gt;"zomercomfort"),0)</f>
        <v>0.56599999999999995</v>
      </c>
      <c r="BH73" s="47" t="str">
        <f t="shared" si="23"/>
        <v>kg/kWh</v>
      </c>
      <c r="BI73" s="899"/>
    </row>
    <row r="74" spans="1:61" hidden="1">
      <c r="A74" s="18"/>
      <c r="B74" s="47" t="str">
        <f t="shared" si="13"/>
        <v>VABI EPA-U</v>
      </c>
      <c r="C74" s="47" t="str">
        <f t="shared" si="11"/>
        <v>ISSO 75.3</v>
      </c>
      <c r="D74" s="943"/>
      <c r="E74" s="14"/>
      <c r="F74" s="22" t="s">
        <v>1468</v>
      </c>
      <c r="G74" s="22"/>
      <c r="H74" s="22"/>
      <c r="I74" s="905"/>
      <c r="J74" s="1691" t="s">
        <v>463</v>
      </c>
      <c r="K74" s="1698"/>
      <c r="L74" s="16"/>
      <c r="M74" s="25"/>
      <c r="N74" s="22" t="str">
        <f t="shared" si="14"/>
        <v>MJ</v>
      </c>
      <c r="O74" s="15"/>
      <c r="P74" s="39"/>
      <c r="Q74" s="59">
        <f t="shared" si="15"/>
        <v>1</v>
      </c>
      <c r="R74" s="15"/>
      <c r="S74" s="24">
        <f t="shared" si="16"/>
        <v>0</v>
      </c>
      <c r="T74" s="47" t="str">
        <f>IFERROR(INDEX(energiedragers_EP_eenheden,MATCH($J74,tabellen_EMD!$C$196:$C$204,0),MATCH($B74,energiedragers_EP_eenheden_titel,0)),"-")</f>
        <v>m3</v>
      </c>
      <c r="U74" s="39"/>
      <c r="V74" s="15"/>
      <c r="W74" s="59">
        <f t="shared" si="17"/>
        <v>1.78</v>
      </c>
      <c r="X74" s="47" t="str">
        <f t="shared" si="18"/>
        <v>kg/m3</v>
      </c>
      <c r="Y74" s="12"/>
      <c r="Z74" s="24">
        <f t="shared" si="19"/>
        <v>0</v>
      </c>
      <c r="AA74" s="47" t="s">
        <v>468</v>
      </c>
      <c r="AB74" s="67"/>
      <c r="AC74" s="995"/>
      <c r="AD74" s="1405"/>
      <c r="AE74" s="1405"/>
      <c r="AF74" s="1405"/>
      <c r="AG74" s="1405"/>
      <c r="AH74" s="1405"/>
      <c r="AI74" s="1405"/>
      <c r="AJ74" s="1405"/>
      <c r="AK74" s="1405"/>
      <c r="AL74" s="1405"/>
      <c r="AM74" s="1405"/>
      <c r="AN74" s="1405"/>
      <c r="AO74" s="1405"/>
      <c r="AP74" s="1405"/>
      <c r="AQ74" s="1405"/>
      <c r="AR74" s="1405"/>
      <c r="AS74" s="67"/>
      <c r="AT74" s="995"/>
      <c r="AU74" s="12"/>
      <c r="AV74" s="22" t="str">
        <f t="shared" si="10"/>
        <v>warmtekracht</v>
      </c>
      <c r="AW74" s="46" t="str">
        <f t="shared" si="12"/>
        <v>aardgas</v>
      </c>
      <c r="AX74" s="24"/>
      <c r="AY74" s="12"/>
      <c r="AZ74" s="115">
        <v>1</v>
      </c>
      <c r="BA74" s="24">
        <f>IFERROR(INDEX(tabellen_EMD!$C$185:$N$193,MATCH($J74,tabellen_EMD!$C$185:$C$193,0),MATCH(BA$63,tabellen_EMD!$C$185:$N$185,0)),0)</f>
        <v>0</v>
      </c>
      <c r="BB74" s="115">
        <f t="shared" si="20"/>
        <v>1</v>
      </c>
      <c r="BC74" s="899"/>
      <c r="BD74" s="115">
        <f t="shared" si="21"/>
        <v>35.17</v>
      </c>
      <c r="BE74" s="47" t="str">
        <f t="shared" si="22"/>
        <v>MJ/m3</v>
      </c>
      <c r="BF74" s="899"/>
      <c r="BG74" s="218">
        <f>IFERROR(INDEX(tabellen_EMD!$C$240:$Z$248,MATCH($J74,tabellen_EMD!$C$240:$C$248,0),MATCH($B74,tabellen_EMD!$C$240:$Z$240,0))*(F74&lt;&gt;"zomercomfort"),0)</f>
        <v>1.78</v>
      </c>
      <c r="BH74" s="47" t="str">
        <f t="shared" si="23"/>
        <v>kg/m3</v>
      </c>
      <c r="BI74" s="899"/>
    </row>
    <row r="75" spans="1:61" s="940" customFormat="1" hidden="1">
      <c r="A75" s="18"/>
      <c r="B75" s="47" t="str">
        <f t="shared" si="13"/>
        <v>VABI EPA-U</v>
      </c>
      <c r="C75" s="47" t="str">
        <f t="shared" si="11"/>
        <v>ISSO 75.3</v>
      </c>
      <c r="D75" s="945"/>
      <c r="E75" s="14"/>
      <c r="F75" s="15" t="s">
        <v>1391</v>
      </c>
      <c r="G75" s="15"/>
      <c r="H75" s="15"/>
      <c r="I75" s="905"/>
      <c r="J75" s="43" t="s">
        <v>1391</v>
      </c>
      <c r="K75" s="43"/>
      <c r="L75" s="16"/>
      <c r="M75" s="950">
        <f>SUM(M65:M69,M71:M72,M74)-M73</f>
        <v>0</v>
      </c>
      <c r="N75" s="15" t="str">
        <f t="shared" si="14"/>
        <v>MJ</v>
      </c>
      <c r="O75" s="15"/>
      <c r="P75" s="39"/>
      <c r="Q75" s="39"/>
      <c r="R75" s="15"/>
      <c r="S75" s="899"/>
      <c r="T75" s="899"/>
      <c r="U75" s="39"/>
      <c r="V75" s="39"/>
      <c r="W75" s="39"/>
      <c r="X75" s="39"/>
      <c r="Y75" s="12"/>
      <c r="Z75" s="922">
        <f>SUM(Z65:Z74)</f>
        <v>0</v>
      </c>
      <c r="AA75" s="939" t="s">
        <v>468</v>
      </c>
      <c r="AB75" s="67"/>
      <c r="AC75" s="995"/>
      <c r="AD75" s="1405"/>
      <c r="AE75" s="1405"/>
      <c r="AF75" s="1405"/>
      <c r="AG75" s="1405"/>
      <c r="AH75" s="1405"/>
      <c r="AI75" s="1405"/>
      <c r="AJ75" s="1405"/>
      <c r="AK75" s="1405"/>
      <c r="AL75" s="1405"/>
      <c r="AM75" s="1405"/>
      <c r="AN75" s="1405"/>
      <c r="AO75" s="1405"/>
      <c r="AP75" s="1405"/>
      <c r="AQ75" s="1405"/>
      <c r="AR75" s="1405"/>
      <c r="AS75" s="67"/>
      <c r="AT75" s="995"/>
      <c r="AU75" s="12"/>
      <c r="AV75" s="15" t="str">
        <f t="shared" si="10"/>
        <v>totaal</v>
      </c>
      <c r="AW75" s="15" t="str">
        <f t="shared" si="12"/>
        <v>totaal</v>
      </c>
      <c r="AX75" s="16"/>
      <c r="AY75" s="12"/>
      <c r="AZ75" s="12"/>
      <c r="BA75" s="12"/>
      <c r="BB75" s="12"/>
      <c r="BC75" s="899"/>
      <c r="BD75" s="899"/>
      <c r="BE75" s="899"/>
      <c r="BF75" s="899"/>
      <c r="BG75" s="15"/>
      <c r="BH75" s="15"/>
      <c r="BI75" s="899"/>
    </row>
    <row r="76" spans="1:61" s="49" customFormat="1" hidden="1">
      <c r="A76" s="212"/>
      <c r="B76" s="47" t="str">
        <f t="shared" si="13"/>
        <v>VABI EPA-U</v>
      </c>
      <c r="C76" s="47" t="str">
        <f t="shared" si="11"/>
        <v>ISSO 75.3</v>
      </c>
      <c r="D76" s="943"/>
      <c r="E76" s="50"/>
      <c r="F76" s="452" t="str">
        <f>IFERROR(IF($P$23=$B76,_xlfn.CONCAT("Bij 1.1 ingevuld: ",FIXED($J$35,2,FALSE)," ",$K$35),""),"invoer niet correct")</f>
        <v/>
      </c>
      <c r="G76" s="452"/>
      <c r="H76" s="452"/>
      <c r="I76" s="905"/>
      <c r="J76" s="909" t="str">
        <f>IFERROR(IF($P$23=$B76,IF(ABS((M76-$J$35)/$J$35)&gt;1%,"Afwijking &gt;1% met subthema 1.1",""),""),"invoer niet correct")</f>
        <v/>
      </c>
      <c r="K76" s="909"/>
      <c r="L76" s="910"/>
      <c r="M76" s="1339" t="str">
        <f>IFERROR(IF($P$23=$B76,M75/$J$59,""),"")</f>
        <v/>
      </c>
      <c r="N76" s="452" t="str">
        <f>IF($P$23=$B76,_xlfn.CONCAT(N75,"/m2"),"")</f>
        <v/>
      </c>
      <c r="O76" s="452"/>
      <c r="P76" s="39"/>
      <c r="Q76" s="39"/>
      <c r="R76" s="899"/>
      <c r="S76" s="899"/>
      <c r="T76" s="899"/>
      <c r="U76" s="39"/>
      <c r="V76" s="39"/>
      <c r="W76" s="910" t="str">
        <f>IFERROR(IF($P$23=$B76,_xlfn.CONCAT("Bij 1.1 ingevuld: ",FIXED($AG$40,1,FALSE)," ",$AH$40),""),"invoer niet correct")</f>
        <v/>
      </c>
      <c r="X76" s="909" t="str">
        <f>IFERROR(IF($P$23=$B76,IF(ABS((Z76-$AG$40)/$AG$40)&gt;1%,"afwijking &gt;1% met subthema 1.1",""),""),"invoer niet correct")</f>
        <v/>
      </c>
      <c r="Y76" s="12"/>
      <c r="Z76" s="951" t="str">
        <f>IFERROR(IF($P$23=$B76,Z75/$J$58,""),"")</f>
        <v/>
      </c>
      <c r="AA76" s="452" t="str">
        <f>IF($P$23=$B76,_xlfn.CONCAT(AA75,"/m2"),"")</f>
        <v/>
      </c>
      <c r="AB76" s="1393"/>
      <c r="AC76" s="1001"/>
      <c r="AD76" s="1405"/>
      <c r="AE76" s="1405"/>
      <c r="AF76" s="1405"/>
      <c r="AG76" s="1405"/>
      <c r="AH76" s="1405"/>
      <c r="AI76" s="1405"/>
      <c r="AJ76" s="1405"/>
      <c r="AK76" s="1405"/>
      <c r="AL76" s="1405"/>
      <c r="AM76" s="1405"/>
      <c r="AN76" s="1405"/>
      <c r="AO76" s="1405"/>
      <c r="AP76" s="1405"/>
      <c r="AQ76" s="1405"/>
      <c r="AR76" s="1405"/>
      <c r="AS76" s="1393"/>
      <c r="AT76" s="1001"/>
      <c r="AU76" s="12"/>
      <c r="AV76" s="452"/>
      <c r="AW76" s="452"/>
      <c r="AX76" s="452"/>
      <c r="AY76" s="452"/>
      <c r="AZ76" s="452"/>
      <c r="BA76" s="452"/>
      <c r="BB76" s="452"/>
      <c r="BC76" s="452"/>
      <c r="BD76" s="452"/>
      <c r="BE76" s="452"/>
      <c r="BF76" s="452"/>
      <c r="BG76" s="452"/>
      <c r="BH76" s="452"/>
      <c r="BI76" s="899"/>
    </row>
    <row r="77" spans="1:61" s="49" customFormat="1" hidden="1">
      <c r="A77" s="18"/>
      <c r="B77" s="47" t="str">
        <f t="shared" si="13"/>
        <v>VABI EPA-U</v>
      </c>
      <c r="C77" s="47" t="str">
        <f t="shared" si="11"/>
        <v>ISSO 75.3</v>
      </c>
      <c r="D77" s="943"/>
      <c r="E77" s="50"/>
      <c r="F77" s="43"/>
      <c r="G77" s="43"/>
      <c r="H77" s="43"/>
      <c r="I77" s="905"/>
      <c r="J77" s="44"/>
      <c r="K77" s="44"/>
      <c r="L77" s="44"/>
      <c r="M77" s="44"/>
      <c r="N77" s="44"/>
      <c r="O77" s="44"/>
      <c r="P77" s="39"/>
      <c r="Q77" s="39"/>
      <c r="R77" s="899"/>
      <c r="S77" s="899"/>
      <c r="T77" s="899"/>
      <c r="U77" s="39"/>
      <c r="V77" s="39"/>
      <c r="W77" s="39"/>
      <c r="X77" s="39"/>
      <c r="Y77" s="12"/>
      <c r="Z77" s="899"/>
      <c r="AA77" s="899"/>
      <c r="AB77" s="1393"/>
      <c r="AC77" s="1001"/>
      <c r="AD77" s="1405"/>
      <c r="AE77" s="1405"/>
      <c r="AF77" s="1405"/>
      <c r="AG77" s="1405"/>
      <c r="AH77" s="1405"/>
      <c r="AI77" s="1405"/>
      <c r="AJ77" s="1405"/>
      <c r="AK77" s="1405"/>
      <c r="AL77" s="1405"/>
      <c r="AM77" s="1405"/>
      <c r="AN77" s="1405"/>
      <c r="AO77" s="1405"/>
      <c r="AP77" s="1405"/>
      <c r="AQ77" s="1405"/>
      <c r="AR77" s="1405"/>
      <c r="AS77" s="1393"/>
      <c r="AT77" s="1001"/>
      <c r="AU77" s="12"/>
      <c r="AV77" s="12"/>
      <c r="AW77" s="12"/>
      <c r="AX77" s="12"/>
      <c r="AY77" s="12"/>
      <c r="AZ77" s="44"/>
      <c r="BA77" s="12"/>
      <c r="BB77" s="44"/>
      <c r="BC77" s="899"/>
      <c r="BD77" s="899"/>
      <c r="BE77" s="899"/>
      <c r="BF77" s="899"/>
      <c r="BG77" s="899"/>
      <c r="BH77" s="899"/>
      <c r="BI77" s="899"/>
    </row>
    <row r="78" spans="1:61" hidden="1">
      <c r="A78" s="86"/>
      <c r="B78" s="939" t="str">
        <f>tabellen_EMD!$C$182</f>
        <v>Energielabel utiliteit</v>
      </c>
      <c r="C78" s="939" t="str">
        <f>VLOOKUP(B78,'NEN 7120 naar GPR4'!$AV$40:$AY$48,COLUMNS($AV$40:$AX$40),FALSE)</f>
        <v>ISSO 75.3</v>
      </c>
      <c r="D78" s="943"/>
      <c r="E78" s="14"/>
      <c r="F78" s="15" t="str">
        <f>_xlfn.CONCAT("Overnemen uit '",B78,"': ",VLOOKUP(B78,$AV$41:$AZ$48,COLUMNS($AV$40:$AZ$40),FALSE))</f>
        <v>Overnemen uit 'Energielabel utiliteit': Standaard energiegebruik voor dit gebouw</v>
      </c>
      <c r="G78" s="15"/>
      <c r="H78" s="15"/>
      <c r="I78" s="905"/>
      <c r="J78" s="43"/>
      <c r="K78" s="43"/>
      <c r="L78" s="16"/>
      <c r="M78" s="909" t="s">
        <v>1485</v>
      </c>
      <c r="N78" s="41"/>
      <c r="O78" s="41"/>
      <c r="P78" s="453" t="s">
        <v>1487</v>
      </c>
      <c r="Q78" s="39"/>
      <c r="R78" s="39"/>
      <c r="S78" s="453" t="s">
        <v>1484</v>
      </c>
      <c r="T78" s="39"/>
      <c r="U78" s="39"/>
      <c r="V78" s="453" t="s">
        <v>1613</v>
      </c>
      <c r="W78" s="39"/>
      <c r="X78" s="39"/>
      <c r="Y78" s="12"/>
      <c r="Z78" s="453" t="s">
        <v>1536</v>
      </c>
      <c r="AA78" s="12"/>
      <c r="AB78" s="67"/>
      <c r="AC78" s="995"/>
      <c r="AD78" s="1405"/>
      <c r="AE78" s="1405"/>
      <c r="AF78" s="1405"/>
      <c r="AG78" s="1405"/>
      <c r="AH78" s="1405"/>
      <c r="AI78" s="1405"/>
      <c r="AJ78" s="1405"/>
      <c r="AK78" s="1405"/>
      <c r="AL78" s="1405"/>
      <c r="AM78" s="1405"/>
      <c r="AN78" s="1405"/>
      <c r="AO78" s="1405"/>
      <c r="AP78" s="1405"/>
      <c r="AQ78" s="1405"/>
      <c r="AR78" s="1405"/>
      <c r="AS78" s="67"/>
      <c r="AT78" s="995"/>
      <c r="AU78" s="12"/>
      <c r="AV78" s="12"/>
      <c r="AW78" s="12"/>
      <c r="AX78" s="12"/>
      <c r="AY78" s="12"/>
      <c r="AZ78" s="888" t="str">
        <f>AZ$63</f>
        <v>Eenheid energie</v>
      </c>
      <c r="BA78" s="888" t="s">
        <v>1628</v>
      </c>
      <c r="BB78" s="888" t="str">
        <f>BB$63</f>
        <v>PEF finaal → primair</v>
      </c>
      <c r="BC78" s="452"/>
      <c r="BD78" s="452" t="str">
        <f>BD$63</f>
        <v>eenheden omrekenen</v>
      </c>
      <c r="BE78" s="452"/>
      <c r="BF78" s="452"/>
      <c r="BG78" s="888" t="str">
        <f>BG$63</f>
        <v>CO2</v>
      </c>
      <c r="BH78" s="39"/>
      <c r="BI78" s="899"/>
    </row>
    <row r="79" spans="1:61" hidden="1">
      <c r="A79" s="18"/>
      <c r="B79" s="47" t="str">
        <f t="shared" ref="B79:C85" si="24">B78</f>
        <v>Energielabel utiliteit</v>
      </c>
      <c r="C79" s="47" t="str">
        <f t="shared" si="24"/>
        <v>ISSO 75.3</v>
      </c>
      <c r="D79" s="943"/>
      <c r="E79" s="14"/>
      <c r="F79" s="892" t="s">
        <v>496</v>
      </c>
      <c r="G79" s="892"/>
      <c r="H79" s="892"/>
      <c r="I79" s="905"/>
      <c r="J79" s="909" t="s">
        <v>458</v>
      </c>
      <c r="K79" s="909"/>
      <c r="L79" s="889"/>
      <c r="M79" s="910" t="s">
        <v>1534</v>
      </c>
      <c r="N79" s="452" t="s">
        <v>204</v>
      </c>
      <c r="O79" s="39"/>
      <c r="P79" s="888" t="s">
        <v>1533</v>
      </c>
      <c r="Q79" s="910" t="s">
        <v>1532</v>
      </c>
      <c r="R79" s="452"/>
      <c r="S79" s="888" t="s">
        <v>1534</v>
      </c>
      <c r="T79" s="889" t="s">
        <v>204</v>
      </c>
      <c r="U79" s="39"/>
      <c r="V79" s="888" t="s">
        <v>1533</v>
      </c>
      <c r="W79" s="910" t="s">
        <v>1532</v>
      </c>
      <c r="X79" s="889" t="s">
        <v>204</v>
      </c>
      <c r="Y79" s="12"/>
      <c r="Z79" s="888" t="s">
        <v>1534</v>
      </c>
      <c r="AA79" s="889" t="s">
        <v>204</v>
      </c>
      <c r="AB79" s="67"/>
      <c r="AC79" s="995"/>
      <c r="AD79" s="1405"/>
      <c r="AE79" s="1405"/>
      <c r="AF79" s="1405"/>
      <c r="AG79" s="1405"/>
      <c r="AH79" s="1405"/>
      <c r="AI79" s="1405"/>
      <c r="AJ79" s="1405"/>
      <c r="AK79" s="1405"/>
      <c r="AL79" s="1405"/>
      <c r="AM79" s="1405"/>
      <c r="AN79" s="1405"/>
      <c r="AO79" s="1405"/>
      <c r="AP79" s="1405"/>
      <c r="AQ79" s="1405"/>
      <c r="AR79" s="1405"/>
      <c r="AS79" s="67"/>
      <c r="AT79" s="995"/>
      <c r="AU79" s="12"/>
      <c r="AV79" s="892" t="str">
        <f>F79</f>
        <v>energiefunctie</v>
      </c>
      <c r="AW79" s="452" t="str">
        <f>J79</f>
        <v>energiedrager</v>
      </c>
      <c r="AX79" s="910"/>
      <c r="AY79" s="12"/>
      <c r="AZ79" s="888" t="str">
        <f>AZ$64</f>
        <v>pos/neg</v>
      </c>
      <c r="BA79" s="888"/>
      <c r="BB79" s="888" t="str">
        <f>BB$64</f>
        <v>default</v>
      </c>
      <c r="BC79" s="452"/>
      <c r="BD79" s="452" t="str">
        <f>BD$64</f>
        <v>waarde</v>
      </c>
      <c r="BE79" s="452" t="str">
        <f>BE$64</f>
        <v>eenheden</v>
      </c>
      <c r="BF79" s="452"/>
      <c r="BG79" s="888" t="str">
        <f>BG$64</f>
        <v>default</v>
      </c>
      <c r="BH79" s="888" t="str">
        <f>BH$64</f>
        <v>eenheid</v>
      </c>
      <c r="BI79" s="452"/>
    </row>
    <row r="80" spans="1:61" hidden="1">
      <c r="A80" s="86"/>
      <c r="B80" s="47" t="str">
        <f t="shared" si="24"/>
        <v>Energielabel utiliteit</v>
      </c>
      <c r="C80" s="47" t="str">
        <f t="shared" si="24"/>
        <v>ISSO 75.3</v>
      </c>
      <c r="D80" s="943"/>
      <c r="E80" s="14"/>
      <c r="F80" s="22" t="s">
        <v>1465</v>
      </c>
      <c r="G80" s="22"/>
      <c r="H80" s="22"/>
      <c r="I80" s="905"/>
      <c r="J80" s="1691" t="s">
        <v>465</v>
      </c>
      <c r="K80" s="1698"/>
      <c r="L80" s="16"/>
      <c r="M80" s="24">
        <f>Q80*S80*BD80</f>
        <v>0</v>
      </c>
      <c r="N80" s="22" t="str">
        <f>INDEX(EP_methode_eenheid,1,MATCH($C80,EP_methode,0))</f>
        <v>MJ</v>
      </c>
      <c r="O80" s="909"/>
      <c r="P80" s="39"/>
      <c r="Q80" s="59">
        <f>IFERROR(IF(AND(P80&lt;&gt;"",$BA80=1),P80,BB80),1)</f>
        <v>2.5641025641025639</v>
      </c>
      <c r="R80" s="15"/>
      <c r="S80" s="25"/>
      <c r="T80" s="47" t="str">
        <f>IFERROR(INDEX(energiedragers_EP_eenheden,MATCH($J80,tabellen_EMD!$C$196:$C$204,0),MATCH($B80,energiedragers_EP_eenheden_titel,0)),"-")</f>
        <v>kWh</v>
      </c>
      <c r="U80" s="39"/>
      <c r="V80" s="15"/>
      <c r="W80" s="59">
        <f>IF(AND(V80&lt;&gt;"",$BA80=1),V80,BG80)</f>
        <v>0.56599999999999995</v>
      </c>
      <c r="X80" s="47" t="str">
        <f>BH80</f>
        <v>kg/kWh</v>
      </c>
      <c r="Y80" s="12"/>
      <c r="Z80" s="24">
        <f>S80*W80*ABS(AZ80)</f>
        <v>0</v>
      </c>
      <c r="AA80" s="47" t="s">
        <v>468</v>
      </c>
      <c r="AB80" s="67"/>
      <c r="AC80" s="995"/>
      <c r="AD80" s="1405"/>
      <c r="AE80" s="1405"/>
      <c r="AF80" s="1405"/>
      <c r="AG80" s="1405"/>
      <c r="AH80" s="1405"/>
      <c r="AI80" s="1405"/>
      <c r="AJ80" s="1405"/>
      <c r="AK80" s="1405"/>
      <c r="AL80" s="1405"/>
      <c r="AM80" s="1405"/>
      <c r="AN80" s="1405"/>
      <c r="AO80" s="1405"/>
      <c r="AP80" s="1405"/>
      <c r="AQ80" s="1405"/>
      <c r="AR80" s="1405"/>
      <c r="AS80" s="67"/>
      <c r="AT80" s="995"/>
      <c r="AU80" s="12"/>
      <c r="AV80" s="22" t="str">
        <f>F80</f>
        <v>elektriciteitsverbruik</v>
      </c>
      <c r="AW80" s="46" t="str">
        <f>J80</f>
        <v>elektriciteit</v>
      </c>
      <c r="AX80" s="24"/>
      <c r="AY80" s="12"/>
      <c r="AZ80" s="115">
        <v>1</v>
      </c>
      <c r="BA80" s="24">
        <f>IFERROR(INDEX(tabellen_EMD!$C$185:$N$193,MATCH($J80,tabellen_EMD!$C$185:$C$193,0),MATCH(BA$63,tabellen_EMD!$C$185:$N$185,0)),0)</f>
        <v>0</v>
      </c>
      <c r="BB80" s="115">
        <f>VLOOKUP($J80,energiedragers_EP_PEF,MATCH(_xlfn.CONCAT($C80," | PEF"),energiedragers_EP_PEF_titel,0),FALSE)</f>
        <v>2.5641025641025639</v>
      </c>
      <c r="BC80" s="899"/>
      <c r="BD80" s="115">
        <f>IFERROR(VLOOKUP($J80,energiedragers_EP_omrekenen,MATCH($B80,energiedragers_EP_omrekenen_titel,0),FALSE),1)</f>
        <v>3.6</v>
      </c>
      <c r="BE80" s="47" t="str">
        <f>_xlfn.CONCAT(N80,"/",T80)</f>
        <v>MJ/kWh</v>
      </c>
      <c r="BF80" s="899"/>
      <c r="BG80" s="218">
        <f>IFERROR(INDEX(tabellen_EMD!$C$240:$Z$248,MATCH($J80,tabellen_EMD!$C$240:$C$248,0),MATCH($B80,tabellen_EMD!$C$240:$Z$240,0))*(F80&lt;&gt;"zomercomfort"),0)</f>
        <v>0.56599999999999995</v>
      </c>
      <c r="BH80" s="47" t="str">
        <f>"kg/"&amp;T80</f>
        <v>kg/kWh</v>
      </c>
      <c r="BI80" s="899"/>
    </row>
    <row r="81" spans="1:61" hidden="1">
      <c r="A81" s="86"/>
      <c r="B81" s="47" t="str">
        <f t="shared" si="24"/>
        <v>Energielabel utiliteit</v>
      </c>
      <c r="C81" s="47" t="str">
        <f t="shared" si="24"/>
        <v>ISSO 75.3</v>
      </c>
      <c r="D81" s="943"/>
      <c r="E81" s="14"/>
      <c r="F81" s="22" t="s">
        <v>1464</v>
      </c>
      <c r="G81" s="22"/>
      <c r="H81" s="22"/>
      <c r="I81" s="905"/>
      <c r="J81" s="1691" t="s">
        <v>463</v>
      </c>
      <c r="K81" s="1698"/>
      <c r="L81" s="16"/>
      <c r="M81" s="24">
        <f>Q81*S81*BD81</f>
        <v>0</v>
      </c>
      <c r="N81" s="22" t="str">
        <f>INDEX(EP_methode_eenheid,1,MATCH($C81,EP_methode,0))</f>
        <v>MJ</v>
      </c>
      <c r="O81" s="909"/>
      <c r="P81" s="39"/>
      <c r="Q81" s="59">
        <f>IFERROR(IF(AND(P81&lt;&gt;"",$BA81=1),P81,BB81),1)</f>
        <v>1</v>
      </c>
      <c r="R81" s="15"/>
      <c r="S81" s="25"/>
      <c r="T81" s="47" t="str">
        <f>IFERROR(INDEX(energiedragers_EP_eenheden,MATCH($J81,tabellen_EMD!$C$196:$C$204,0),MATCH($B81,energiedragers_EP_eenheden_titel,0)),"-")</f>
        <v>m3</v>
      </c>
      <c r="U81" s="39"/>
      <c r="V81" s="15"/>
      <c r="W81" s="59">
        <f>IF(AND(V81&lt;&gt;"",$BA81=1),V81,BG81)</f>
        <v>1.78</v>
      </c>
      <c r="X81" s="47" t="str">
        <f>BH81</f>
        <v>kg/m3</v>
      </c>
      <c r="Y81" s="12"/>
      <c r="Z81" s="24">
        <f>S81*W81*ABS(AZ81)</f>
        <v>0</v>
      </c>
      <c r="AA81" s="47" t="s">
        <v>468</v>
      </c>
      <c r="AB81" s="67"/>
      <c r="AC81" s="995"/>
      <c r="AD81" s="1405"/>
      <c r="AE81" s="1405"/>
      <c r="AF81" s="1405"/>
      <c r="AG81" s="1405"/>
      <c r="AH81" s="1405"/>
      <c r="AI81" s="1405"/>
      <c r="AJ81" s="1405"/>
      <c r="AK81" s="1405"/>
      <c r="AL81" s="1405"/>
      <c r="AM81" s="1405"/>
      <c r="AN81" s="1405"/>
      <c r="AO81" s="1405"/>
      <c r="AP81" s="1405"/>
      <c r="AQ81" s="1405"/>
      <c r="AR81" s="1405"/>
      <c r="AS81" s="67"/>
      <c r="AT81" s="995"/>
      <c r="AU81" s="12"/>
      <c r="AV81" s="22" t="str">
        <f>F81</f>
        <v>gasverbruik</v>
      </c>
      <c r="AW81" s="46" t="str">
        <f>J81</f>
        <v>aardgas</v>
      </c>
      <c r="AX81" s="24"/>
      <c r="AY81" s="12"/>
      <c r="AZ81" s="115">
        <v>1</v>
      </c>
      <c r="BA81" s="24">
        <f>IFERROR(INDEX(tabellen_EMD!$C$185:$N$193,MATCH($J81,tabellen_EMD!$C$185:$C$193,0),MATCH(BA$63,tabellen_EMD!$C$185:$N$185,0)),0)</f>
        <v>0</v>
      </c>
      <c r="BB81" s="115">
        <f>VLOOKUP($J81,energiedragers_EP_PEF,MATCH(_xlfn.CONCAT($C81," | PEF"),energiedragers_EP_PEF_titel,0),FALSE)</f>
        <v>1</v>
      </c>
      <c r="BC81" s="899"/>
      <c r="BD81" s="115">
        <f>IFERROR(VLOOKUP($J81,energiedragers_EP_omrekenen,MATCH($B81,energiedragers_EP_omrekenen_titel,0),FALSE),1)</f>
        <v>35.17</v>
      </c>
      <c r="BE81" s="47" t="str">
        <f>_xlfn.CONCAT(N81,"/",T81)</f>
        <v>MJ/m3</v>
      </c>
      <c r="BF81" s="899"/>
      <c r="BG81" s="218">
        <f>IFERROR(INDEX(tabellen_EMD!$C$240:$Z$248,MATCH($J81,tabellen_EMD!$C$240:$C$248,0),MATCH($B81,tabellen_EMD!$C$240:$Z$240,0))*(F81&lt;&gt;"zomercomfort"),0)</f>
        <v>1.78</v>
      </c>
      <c r="BH81" s="47" t="str">
        <f>"kg/"&amp;T81</f>
        <v>kg/m3</v>
      </c>
      <c r="BI81" s="899"/>
    </row>
    <row r="82" spans="1:61" hidden="1">
      <c r="A82" s="86"/>
      <c r="B82" s="47" t="str">
        <f t="shared" si="24"/>
        <v>Energielabel utiliteit</v>
      </c>
      <c r="C82" s="47" t="str">
        <f t="shared" si="24"/>
        <v>ISSO 75.3</v>
      </c>
      <c r="D82" s="943"/>
      <c r="E82" s="14"/>
      <c r="F82" s="22" t="s">
        <v>1466</v>
      </c>
      <c r="G82" s="22"/>
      <c r="H82" s="22"/>
      <c r="I82" s="905"/>
      <c r="J82" s="1691" t="s">
        <v>1539</v>
      </c>
      <c r="K82" s="1698"/>
      <c r="L82" s="16"/>
      <c r="M82" s="24">
        <f>Q82*S82*BD82</f>
        <v>0</v>
      </c>
      <c r="N82" s="22" t="str">
        <f>INDEX(EP_methode_eenheid,1,MATCH($C82,EP_methode,0))</f>
        <v>MJ</v>
      </c>
      <c r="O82" s="909"/>
      <c r="P82" s="39"/>
      <c r="Q82" s="59">
        <f>IFERROR(IF(AND(P82&lt;&gt;"",$BA82=1),P82,BB82),1)</f>
        <v>0.90909090909090906</v>
      </c>
      <c r="R82" s="15"/>
      <c r="S82" s="25"/>
      <c r="T82" s="47" t="str">
        <f>IFERROR(INDEX(energiedragers_EP_eenheden,MATCH($J82,tabellen_EMD!$C$196:$C$204,0),MATCH($B82,energiedragers_EP_eenheden_titel,0)),"-")</f>
        <v>GJ</v>
      </c>
      <c r="U82" s="39"/>
      <c r="V82" s="154"/>
      <c r="W82" s="59">
        <f>IF(AND(V82&lt;&gt;"",$BA82=1),V82,BG82)</f>
        <v>87.7</v>
      </c>
      <c r="X82" s="47" t="str">
        <f>BH82</f>
        <v>kg/GJ</v>
      </c>
      <c r="Y82" s="12"/>
      <c r="Z82" s="24">
        <f>S82*W82*ABS(AZ82)</f>
        <v>0</v>
      </c>
      <c r="AA82" s="47" t="s">
        <v>468</v>
      </c>
      <c r="AB82" s="67"/>
      <c r="AC82" s="995"/>
      <c r="AD82" s="1405"/>
      <c r="AE82" s="1405"/>
      <c r="AF82" s="1405"/>
      <c r="AG82" s="1405"/>
      <c r="AH82" s="1405"/>
      <c r="AI82" s="1405"/>
      <c r="AJ82" s="1405"/>
      <c r="AK82" s="1405"/>
      <c r="AL82" s="1405"/>
      <c r="AM82" s="1405"/>
      <c r="AN82" s="1405"/>
      <c r="AO82" s="1405"/>
      <c r="AP82" s="1405"/>
      <c r="AQ82" s="1405"/>
      <c r="AR82" s="1405"/>
      <c r="AS82" s="67"/>
      <c r="AT82" s="995"/>
      <c r="AU82" s="12"/>
      <c r="AV82" s="12"/>
      <c r="AW82" s="12"/>
      <c r="AX82" s="12"/>
      <c r="AY82" s="12"/>
      <c r="AZ82" s="115">
        <v>1</v>
      </c>
      <c r="BA82" s="24">
        <f>IFERROR(INDEX(tabellen_EMD!$C$185:$N$193,MATCH($J82,tabellen_EMD!$C$185:$C$193,0),MATCH(BA$63,tabellen_EMD!$C$185:$N$185,0)),0)</f>
        <v>1</v>
      </c>
      <c r="BB82" s="115">
        <f>VLOOKUP($J82,energiedragers_EP_PEF,MATCH(_xlfn.CONCAT($C82," | PEF"),energiedragers_EP_PEF_titel,0),FALSE)</f>
        <v>0.90909090909090906</v>
      </c>
      <c r="BC82" s="899"/>
      <c r="BD82" s="115">
        <f>IFERROR(VLOOKUP($J82,energiedragers_EP_omrekenen,MATCH($B82,energiedragers_EP_omrekenen_titel,0),FALSE),1)</f>
        <v>1000</v>
      </c>
      <c r="BE82" s="47" t="str">
        <f>_xlfn.CONCAT(N82,"/",T82)</f>
        <v>MJ/GJ</v>
      </c>
      <c r="BF82" s="899"/>
      <c r="BG82" s="218">
        <f>IFERROR(INDEX(tabellen_EMD!$C$240:$Z$248,MATCH($J82,tabellen_EMD!$C$240:$C$248,0),MATCH($B82,tabellen_EMD!$C$240:$Z$240,0))*(F82&lt;&gt;"zomercomfort"),0)</f>
        <v>87.7</v>
      </c>
      <c r="BH82" s="47" t="str">
        <f>"kg/"&amp;T82</f>
        <v>kg/GJ</v>
      </c>
      <c r="BI82" s="899"/>
    </row>
    <row r="83" spans="1:61" s="940" customFormat="1" hidden="1">
      <c r="A83" s="18"/>
      <c r="B83" s="47" t="str">
        <f t="shared" si="24"/>
        <v>Energielabel utiliteit</v>
      </c>
      <c r="C83" s="47" t="str">
        <f t="shared" si="24"/>
        <v>ISSO 75.3</v>
      </c>
      <c r="D83" s="943"/>
      <c r="E83" s="14"/>
      <c r="F83" s="15" t="s">
        <v>1391</v>
      </c>
      <c r="G83" s="15"/>
      <c r="H83" s="15"/>
      <c r="I83" s="905"/>
      <c r="J83" s="43" t="s">
        <v>1391</v>
      </c>
      <c r="K83" s="43"/>
      <c r="L83" s="16"/>
      <c r="M83" s="950">
        <f>SUM(M80:M82)</f>
        <v>0</v>
      </c>
      <c r="N83" s="15" t="str">
        <f>INDEX(EP_methode_eenheid,1,MATCH($C83,EP_methode,0))</f>
        <v>MJ</v>
      </c>
      <c r="O83" s="15"/>
      <c r="P83" s="39"/>
      <c r="Q83" s="39"/>
      <c r="R83" s="15"/>
      <c r="S83" s="899"/>
      <c r="T83" s="899"/>
      <c r="U83" s="39"/>
      <c r="V83" s="39"/>
      <c r="W83" s="39"/>
      <c r="X83" s="39"/>
      <c r="Y83" s="12"/>
      <c r="Z83" s="950">
        <f>SUM(Z80:Z82)</f>
        <v>0</v>
      </c>
      <c r="AA83" s="15" t="s">
        <v>468</v>
      </c>
      <c r="AB83" s="67"/>
      <c r="AC83" s="995"/>
      <c r="AD83" s="1405"/>
      <c r="AE83" s="1405"/>
      <c r="AF83" s="1405"/>
      <c r="AG83" s="1405"/>
      <c r="AH83" s="1405"/>
      <c r="AI83" s="1405"/>
      <c r="AJ83" s="1405"/>
      <c r="AK83" s="1405"/>
      <c r="AL83" s="1405"/>
      <c r="AM83" s="1405"/>
      <c r="AN83" s="1405"/>
      <c r="AO83" s="1405"/>
      <c r="AP83" s="1405"/>
      <c r="AQ83" s="1405"/>
      <c r="AR83" s="1405"/>
      <c r="AS83" s="67"/>
      <c r="AT83" s="995"/>
      <c r="AU83" s="12"/>
      <c r="AV83" s="12"/>
      <c r="AW83" s="12"/>
      <c r="AX83" s="12"/>
      <c r="AY83" s="12"/>
      <c r="AZ83" s="12"/>
      <c r="BA83" s="12"/>
      <c r="BB83" s="12"/>
      <c r="BC83" s="899"/>
      <c r="BD83" s="899"/>
      <c r="BE83" s="899"/>
      <c r="BF83" s="899"/>
      <c r="BG83" s="15"/>
      <c r="BH83" s="15"/>
      <c r="BI83" s="899"/>
    </row>
    <row r="84" spans="1:61" s="49" customFormat="1" hidden="1">
      <c r="A84" s="212"/>
      <c r="B84" s="47" t="str">
        <f t="shared" si="24"/>
        <v>Energielabel utiliteit</v>
      </c>
      <c r="C84" s="47" t="str">
        <f t="shared" si="24"/>
        <v>ISSO 75.3</v>
      </c>
      <c r="D84" s="943"/>
      <c r="E84" s="50"/>
      <c r="F84" s="452" t="str">
        <f>IFERROR(IF($P$23=$B84,_xlfn.CONCAT("Bij 1.1 ingevuld: ",FIXED($J$35,2,FALSE)," ",$K$35),""),"invoer niet correct")</f>
        <v/>
      </c>
      <c r="G84" s="452"/>
      <c r="H84" s="452"/>
      <c r="I84" s="905"/>
      <c r="J84" s="909" t="str">
        <f>IFERROR(IF($P$23=$B84,IF(ABS((M84-$J$35)/$J$35)&gt;1%,"Afwijking &gt;1% met subthema 1.1",""),""),"invoer niet correct")</f>
        <v/>
      </c>
      <c r="K84" s="909"/>
      <c r="L84" s="910"/>
      <c r="M84" s="1339" t="str">
        <f>IFERROR(IF($P$23=$B84,M83/$J$59,""),"")</f>
        <v/>
      </c>
      <c r="N84" s="452" t="str">
        <f>IF($P$23=$B84,_xlfn.CONCAT(N83,"/m2"),"")</f>
        <v/>
      </c>
      <c r="O84" s="452"/>
      <c r="P84" s="39"/>
      <c r="Q84" s="39"/>
      <c r="R84" s="899"/>
      <c r="S84" s="899"/>
      <c r="T84" s="899"/>
      <c r="U84" s="39"/>
      <c r="V84" s="39"/>
      <c r="W84" s="910" t="str">
        <f>IFERROR(IF($P$23=$B84,_xlfn.CONCAT("Bij 1.1 ingevuld: ",FIXED($AG$40,1,FALSE)," ",$AH$40),""),"invoer niet correct")</f>
        <v/>
      </c>
      <c r="X84" s="909" t="str">
        <f>IFERROR(IF($P$23=$B84,IF(ABS((Z84-$AG$40)/$AG$40)&gt;1%,"afwijking &gt;1% met subthema 1.1",""),""),"invoer niet correct")</f>
        <v/>
      </c>
      <c r="Y84" s="12"/>
      <c r="Z84" s="951" t="str">
        <f>IFERROR(IF($P$23=$B84,Z83/$J$58,""),"")</f>
        <v/>
      </c>
      <c r="AA84" s="452" t="str">
        <f>IF($P$23=$B84,_xlfn.CONCAT(AA83,"/m2"),"")</f>
        <v/>
      </c>
      <c r="AB84" s="1393"/>
      <c r="AC84" s="1001"/>
      <c r="AD84" s="1405"/>
      <c r="AE84" s="1405"/>
      <c r="AF84" s="1405"/>
      <c r="AG84" s="1405"/>
      <c r="AH84" s="1405"/>
      <c r="AI84" s="1405"/>
      <c r="AJ84" s="1405"/>
      <c r="AK84" s="1405"/>
      <c r="AL84" s="1405"/>
      <c r="AM84" s="1405"/>
      <c r="AN84" s="1405"/>
      <c r="AO84" s="1405"/>
      <c r="AP84" s="1405"/>
      <c r="AQ84" s="1405"/>
      <c r="AR84" s="1405"/>
      <c r="AS84" s="1393"/>
      <c r="AT84" s="1001"/>
      <c r="AU84" s="12"/>
      <c r="AV84" s="452"/>
      <c r="AW84" s="452"/>
      <c r="AX84" s="452"/>
      <c r="AY84" s="452"/>
      <c r="AZ84" s="452"/>
      <c r="BA84" s="452"/>
      <c r="BB84" s="452"/>
      <c r="BC84" s="452"/>
      <c r="BD84" s="452"/>
      <c r="BE84" s="452"/>
      <c r="BF84" s="452"/>
      <c r="BG84" s="452"/>
      <c r="BH84" s="452"/>
      <c r="BI84" s="899"/>
    </row>
    <row r="85" spans="1:61" s="49" customFormat="1" hidden="1">
      <c r="A85" s="18"/>
      <c r="B85" s="47" t="str">
        <f t="shared" si="24"/>
        <v>Energielabel utiliteit</v>
      </c>
      <c r="C85" s="47" t="str">
        <f t="shared" si="24"/>
        <v>ISSO 75.3</v>
      </c>
      <c r="D85" s="943"/>
      <c r="E85" s="50"/>
      <c r="F85" s="43"/>
      <c r="G85" s="43"/>
      <c r="H85" s="43"/>
      <c r="I85" s="905"/>
      <c r="J85" s="44"/>
      <c r="K85" s="44"/>
      <c r="L85" s="44"/>
      <c r="M85" s="44"/>
      <c r="N85" s="44"/>
      <c r="O85" s="44"/>
      <c r="P85" s="39"/>
      <c r="Q85" s="39"/>
      <c r="R85" s="899"/>
      <c r="S85" s="899"/>
      <c r="T85" s="899"/>
      <c r="U85" s="39"/>
      <c r="V85" s="39"/>
      <c r="W85" s="39"/>
      <c r="X85" s="39"/>
      <c r="Y85" s="12"/>
      <c r="Z85" s="899"/>
      <c r="AA85" s="899"/>
      <c r="AB85" s="1393"/>
      <c r="AC85" s="1001"/>
      <c r="AD85" s="1405"/>
      <c r="AE85" s="1405"/>
      <c r="AF85" s="1405"/>
      <c r="AG85" s="1405"/>
      <c r="AH85" s="1405"/>
      <c r="AI85" s="1405"/>
      <c r="AJ85" s="1405"/>
      <c r="AK85" s="1405"/>
      <c r="AL85" s="1405"/>
      <c r="AM85" s="1405"/>
      <c r="AN85" s="1405"/>
      <c r="AO85" s="1405"/>
      <c r="AP85" s="1405"/>
      <c r="AQ85" s="1405"/>
      <c r="AR85" s="1405"/>
      <c r="AS85" s="1393"/>
      <c r="AT85" s="1001"/>
      <c r="AU85" s="12"/>
      <c r="AV85" s="12"/>
      <c r="AW85" s="12"/>
      <c r="AX85" s="12"/>
      <c r="AY85" s="12"/>
      <c r="AZ85" s="44"/>
      <c r="BA85" s="12"/>
      <c r="BB85" s="44"/>
      <c r="BC85" s="899"/>
      <c r="BD85" s="899"/>
      <c r="BE85" s="899"/>
      <c r="BF85" s="899"/>
      <c r="BG85" s="899"/>
      <c r="BH85" s="899"/>
      <c r="BI85" s="899"/>
    </row>
    <row r="86" spans="1:61">
      <c r="A86" s="139"/>
      <c r="B86" s="939" t="str">
        <f>tabellen_EMD!$C$175</f>
        <v>Enorm</v>
      </c>
      <c r="C86" s="939" t="str">
        <f>VLOOKUP(B86,'NEN 7120 naar GPR4'!$AV$40:$AY$48,COLUMNS($AV$40:$AX$40),FALSE)</f>
        <v>NEN 7120</v>
      </c>
      <c r="D86" s="943"/>
      <c r="E86" s="14"/>
      <c r="F86" s="15" t="str">
        <f>_xlfn.CONCAT("Overnemen uit '",B86,"': ",VLOOKUP(B86,$AV$41:$AZ$48,COLUMNS($AV$40:$AZ$40),FALSE))</f>
        <v>Overnemen uit 'Enorm': Resultaten | Primair energiegebruik</v>
      </c>
      <c r="G86" s="15"/>
      <c r="H86" s="15"/>
      <c r="I86" s="905"/>
      <c r="J86" s="41"/>
      <c r="K86" s="41"/>
      <c r="L86" s="12"/>
      <c r="M86" s="909" t="s">
        <v>1485</v>
      </c>
      <c r="N86" s="41"/>
      <c r="O86" s="41"/>
      <c r="P86" s="453" t="s">
        <v>1487</v>
      </c>
      <c r="Q86" s="39"/>
      <c r="R86" s="39"/>
      <c r="S86" s="453" t="s">
        <v>1484</v>
      </c>
      <c r="T86" s="39"/>
      <c r="U86" s="39"/>
      <c r="V86" s="453" t="s">
        <v>1613</v>
      </c>
      <c r="W86" s="39"/>
      <c r="X86" s="39"/>
      <c r="Y86" s="12"/>
      <c r="Z86" s="453" t="s">
        <v>1536</v>
      </c>
      <c r="AA86" s="12"/>
      <c r="AB86" s="67"/>
      <c r="AC86" s="995"/>
      <c r="AD86" s="1405"/>
      <c r="AE86" s="1405"/>
      <c r="AF86" s="1405"/>
      <c r="AG86" s="1405"/>
      <c r="AH86" s="1405"/>
      <c r="AI86" s="1405"/>
      <c r="AJ86" s="1405"/>
      <c r="AK86" s="1405"/>
      <c r="AL86" s="1405"/>
      <c r="AM86" s="1405"/>
      <c r="AN86" s="1405"/>
      <c r="AO86" s="1405"/>
      <c r="AP86" s="1405"/>
      <c r="AQ86" s="1405"/>
      <c r="AR86" s="1405"/>
      <c r="AS86" s="67"/>
      <c r="AT86" s="995"/>
      <c r="AU86" s="12"/>
      <c r="AV86" s="12"/>
      <c r="AW86" s="12"/>
      <c r="AX86" s="12"/>
      <c r="AY86" s="12"/>
      <c r="AZ86" s="453" t="str">
        <f>AZ$63</f>
        <v>Eenheid energie</v>
      </c>
      <c r="BA86" s="888" t="s">
        <v>1628</v>
      </c>
      <c r="BB86" s="453" t="str">
        <f>BB$63</f>
        <v>PEF finaal → primair</v>
      </c>
      <c r="BC86" s="452"/>
      <c r="BD86" s="452" t="str">
        <f>BD$63</f>
        <v>eenheden omrekenen</v>
      </c>
      <c r="BE86" s="452"/>
      <c r="BF86" s="452"/>
      <c r="BG86" s="453" t="str">
        <f>BG$63</f>
        <v>CO2</v>
      </c>
      <c r="BH86" s="888"/>
      <c r="BI86" s="452"/>
    </row>
    <row r="87" spans="1:61">
      <c r="A87" s="18"/>
      <c r="B87" s="47" t="str">
        <f t="shared" ref="B87:C102" si="25">B86</f>
        <v>Enorm</v>
      </c>
      <c r="C87" s="47" t="str">
        <f t="shared" si="25"/>
        <v>NEN 7120</v>
      </c>
      <c r="D87" s="943"/>
      <c r="E87" s="14"/>
      <c r="F87" s="892" t="s">
        <v>496</v>
      </c>
      <c r="G87" s="892"/>
      <c r="H87" s="892"/>
      <c r="I87" s="905"/>
      <c r="J87" s="909" t="s">
        <v>458</v>
      </c>
      <c r="K87" s="909"/>
      <c r="L87" s="889"/>
      <c r="M87" s="910" t="s">
        <v>1534</v>
      </c>
      <c r="N87" s="452" t="s">
        <v>204</v>
      </c>
      <c r="O87" s="39"/>
      <c r="P87" s="888" t="s">
        <v>1533</v>
      </c>
      <c r="Q87" s="910" t="s">
        <v>1532</v>
      </c>
      <c r="R87" s="452"/>
      <c r="S87" s="888" t="s">
        <v>1534</v>
      </c>
      <c r="T87" s="889" t="s">
        <v>204</v>
      </c>
      <c r="U87" s="39"/>
      <c r="V87" s="888" t="s">
        <v>1533</v>
      </c>
      <c r="W87" s="910" t="s">
        <v>1532</v>
      </c>
      <c r="X87" s="889" t="s">
        <v>204</v>
      </c>
      <c r="Y87" s="888"/>
      <c r="Z87" s="888" t="s">
        <v>1534</v>
      </c>
      <c r="AA87" s="889" t="s">
        <v>204</v>
      </c>
      <c r="AB87" s="67"/>
      <c r="AC87" s="995"/>
      <c r="AD87" s="1405"/>
      <c r="AE87" s="1405"/>
      <c r="AF87" s="1405"/>
      <c r="AG87" s="1405"/>
      <c r="AH87" s="1405"/>
      <c r="AI87" s="1405"/>
      <c r="AJ87" s="1405"/>
      <c r="AK87" s="1405"/>
      <c r="AL87" s="1405"/>
      <c r="AM87" s="1405"/>
      <c r="AN87" s="1405"/>
      <c r="AO87" s="1405"/>
      <c r="AP87" s="1405"/>
      <c r="AQ87" s="1405"/>
      <c r="AR87" s="1405"/>
      <c r="AS87" s="67"/>
      <c r="AT87" s="995"/>
      <c r="AU87" s="12"/>
      <c r="AV87" s="892" t="str">
        <f t="shared" ref="AV87:AV104" si="26">F87</f>
        <v>energiefunctie</v>
      </c>
      <c r="AW87" s="452" t="str">
        <f t="shared" ref="AW87:AW104" si="27">J87</f>
        <v>energiedrager</v>
      </c>
      <c r="AX87" s="910"/>
      <c r="AY87" s="12"/>
      <c r="AZ87" s="888" t="str">
        <f>AZ$64</f>
        <v>pos/neg</v>
      </c>
      <c r="BA87" s="888"/>
      <c r="BB87" s="888" t="str">
        <f>BB$64</f>
        <v>default</v>
      </c>
      <c r="BC87" s="452"/>
      <c r="BD87" s="910" t="str">
        <f>BD$64</f>
        <v>waarde</v>
      </c>
      <c r="BE87" s="452" t="str">
        <f>BE$64</f>
        <v>eenheden</v>
      </c>
      <c r="BF87" s="452"/>
      <c r="BG87" s="888" t="str">
        <f>BG$64</f>
        <v>default</v>
      </c>
      <c r="BH87" s="888" t="str">
        <f>BH$64</f>
        <v>eenheid</v>
      </c>
      <c r="BI87" s="452"/>
    </row>
    <row r="88" spans="1:61">
      <c r="A88" s="86"/>
      <c r="B88" s="47" t="str">
        <f t="shared" si="25"/>
        <v>Enorm</v>
      </c>
      <c r="C88" s="47" t="str">
        <f t="shared" si="25"/>
        <v>NEN 7120</v>
      </c>
      <c r="D88" s="943"/>
      <c r="E88" s="14"/>
      <c r="F88" s="22" t="s">
        <v>502</v>
      </c>
      <c r="G88" s="22"/>
      <c r="H88" s="22"/>
      <c r="I88" s="905"/>
      <c r="J88" s="1685"/>
      <c r="K88" s="1685"/>
      <c r="L88" s="16"/>
      <c r="M88" s="25"/>
      <c r="N88" s="22" t="str">
        <f t="shared" ref="N88:N104" si="28">INDEX(EP_methode_eenheid,1,MATCH($C88,EP_methode,0))</f>
        <v>MJ</v>
      </c>
      <c r="O88" s="39" t="s">
        <v>1631</v>
      </c>
      <c r="P88" s="154"/>
      <c r="Q88" s="59">
        <f t="shared" ref="Q88:Q98" si="29">IFERROR(IF(AND(P88&lt;&gt;"",$BA88=1),P88,BB88),1)</f>
        <v>1</v>
      </c>
      <c r="R88" s="15"/>
      <c r="S88" s="24">
        <f t="shared" ref="S88:S98" si="30">M88/Q88/BD88</f>
        <v>0</v>
      </c>
      <c r="T88" s="47" t="str">
        <f>IFERROR(INDEX(energiedragers_EP_eenheden,MATCH($J88,tabellen_EMD!$C$196:$C$204,0),MATCH($B88,energiedragers_EP_eenheden_titel,0)),"-")</f>
        <v>-</v>
      </c>
      <c r="U88" s="39"/>
      <c r="V88" s="154"/>
      <c r="W88" s="59">
        <f t="shared" ref="W88:W98" si="31">IF(AND(V88&lt;&gt;"",$BA88=1),V88,BG88)</f>
        <v>0</v>
      </c>
      <c r="X88" s="47" t="str">
        <f t="shared" ref="X88:X98" si="32">BH88</f>
        <v>kg/-</v>
      </c>
      <c r="Y88" s="39"/>
      <c r="Z88" s="24">
        <f t="shared" ref="Z88:Z98" si="33">S88*W88*ABS(AZ88)</f>
        <v>0</v>
      </c>
      <c r="AA88" s="47" t="s">
        <v>468</v>
      </c>
      <c r="AB88" s="67"/>
      <c r="AC88" s="995"/>
      <c r="AD88" s="1405"/>
      <c r="AE88" s="1405"/>
      <c r="AF88" s="1405"/>
      <c r="AG88" s="1405"/>
      <c r="AH88" s="1405"/>
      <c r="AI88" s="1405"/>
      <c r="AJ88" s="1405"/>
      <c r="AK88" s="1405"/>
      <c r="AL88" s="1405"/>
      <c r="AM88" s="1405"/>
      <c r="AN88" s="1405"/>
      <c r="AO88" s="1405"/>
      <c r="AP88" s="1405"/>
      <c r="AQ88" s="1405"/>
      <c r="AR88" s="1405"/>
      <c r="AS88" s="67"/>
      <c r="AT88" s="995"/>
      <c r="AU88" s="12"/>
      <c r="AV88" s="22" t="str">
        <f t="shared" si="26"/>
        <v>verwarming</v>
      </c>
      <c r="AW88" s="46">
        <f t="shared" si="27"/>
        <v>0</v>
      </c>
      <c r="AX88" s="24"/>
      <c r="AY88" s="12"/>
      <c r="AZ88" s="115">
        <v>1</v>
      </c>
      <c r="BA88" s="24">
        <f>IFERROR(INDEX(tabellen_EMD!$C$185:$N$193,MATCH($J88,tabellen_EMD!$C$185:$C$193,0),MATCH(BA$63,tabellen_EMD!$C$185:$N$185,0)),0)</f>
        <v>0</v>
      </c>
      <c r="BB88" s="115" t="e">
        <f t="shared" ref="BB88:BB98" si="34">VLOOKUP($J88,energiedragers_EP_PEF,MATCH(_xlfn.CONCAT($C88," | PEF"),energiedragers_EP_PEF_titel,0),FALSE)</f>
        <v>#N/A</v>
      </c>
      <c r="BC88" s="15"/>
      <c r="BD88" s="115">
        <f t="shared" ref="BD88:BD98" si="35">IFERROR(VLOOKUP($J88,energiedragers_EP_omrekenen,MATCH($B88,energiedragers_EP_omrekenen_titel,0),FALSE),1)</f>
        <v>1</v>
      </c>
      <c r="BE88" s="47" t="str">
        <f t="shared" ref="BE88:BE98" si="36">_xlfn.CONCAT(N88,"/",T88)</f>
        <v>MJ/-</v>
      </c>
      <c r="BF88" s="15"/>
      <c r="BG88" s="218">
        <f>IFERROR(INDEX(tabellen_EMD!$C$240:$Z$248,MATCH($J88,tabellen_EMD!$C$240:$C$248,0),MATCH($B88,tabellen_EMD!$C$240:$Z$240,0))*(F88&lt;&gt;"zomercomfort"),0)</f>
        <v>0</v>
      </c>
      <c r="BH88" s="47" t="str">
        <f t="shared" ref="BH88:BH98" si="37">"kg/"&amp;T88</f>
        <v>kg/-</v>
      </c>
      <c r="BI88" s="15"/>
    </row>
    <row r="89" spans="1:61">
      <c r="A89" s="86"/>
      <c r="B89" s="47" t="str">
        <f t="shared" si="25"/>
        <v>Enorm</v>
      </c>
      <c r="C89" s="47" t="str">
        <f t="shared" si="25"/>
        <v>NEN 7120</v>
      </c>
      <c r="D89" s="943"/>
      <c r="E89" s="14"/>
      <c r="F89" s="209" t="s">
        <v>1502</v>
      </c>
      <c r="G89" s="209"/>
      <c r="H89" s="209"/>
      <c r="I89" s="905"/>
      <c r="J89" s="1691" t="s">
        <v>465</v>
      </c>
      <c r="K89" s="1698"/>
      <c r="L89" s="16"/>
      <c r="M89" s="25"/>
      <c r="N89" s="22" t="str">
        <f t="shared" si="28"/>
        <v>MJ</v>
      </c>
      <c r="O89" s="39"/>
      <c r="P89" s="39"/>
      <c r="Q89" s="59">
        <f t="shared" si="29"/>
        <v>2.56</v>
      </c>
      <c r="R89" s="15"/>
      <c r="S89" s="24">
        <f t="shared" si="30"/>
        <v>0</v>
      </c>
      <c r="T89" s="47" t="str">
        <f>IFERROR(INDEX(energiedragers_EP_eenheden,MATCH($J89,tabellen_EMD!$C$196:$C$204,0),MATCH($B89,energiedragers_EP_eenheden_titel,0)),"-")</f>
        <v>kWh</v>
      </c>
      <c r="U89" s="39"/>
      <c r="V89" s="15"/>
      <c r="W89" s="59">
        <f t="shared" si="31"/>
        <v>0.56499999999999995</v>
      </c>
      <c r="X89" s="47" t="str">
        <f t="shared" si="32"/>
        <v>kg/kWh</v>
      </c>
      <c r="Y89" s="12"/>
      <c r="Z89" s="24">
        <f t="shared" si="33"/>
        <v>0</v>
      </c>
      <c r="AA89" s="47" t="s">
        <v>468</v>
      </c>
      <c r="AB89" s="67"/>
      <c r="AC89" s="995"/>
      <c r="AD89" s="1405"/>
      <c r="AE89" s="1405"/>
      <c r="AF89" s="1405"/>
      <c r="AG89" s="1405"/>
      <c r="AH89" s="1405"/>
      <c r="AI89" s="1405"/>
      <c r="AJ89" s="1405"/>
      <c r="AK89" s="1405"/>
      <c r="AL89" s="1405"/>
      <c r="AM89" s="1405"/>
      <c r="AN89" s="1405"/>
      <c r="AO89" s="1405"/>
      <c r="AP89" s="1405"/>
      <c r="AQ89" s="1405"/>
      <c r="AR89" s="1405"/>
      <c r="AS89" s="67"/>
      <c r="AT89" s="995"/>
      <c r="AU89" s="12"/>
      <c r="AV89" s="22" t="str">
        <f t="shared" si="26"/>
        <v>hulpenergie</v>
      </c>
      <c r="AW89" s="46" t="str">
        <f t="shared" si="27"/>
        <v>elektriciteit</v>
      </c>
      <c r="AX89" s="24"/>
      <c r="AY89" s="12"/>
      <c r="AZ89" s="115">
        <v>1</v>
      </c>
      <c r="BA89" s="24">
        <f>IFERROR(INDEX(tabellen_EMD!$C$185:$N$193,MATCH($J89,tabellen_EMD!$C$185:$C$193,0),MATCH(BA$63,tabellen_EMD!$C$185:$N$185,0)),0)</f>
        <v>0</v>
      </c>
      <c r="BB89" s="115">
        <f t="shared" si="34"/>
        <v>2.56</v>
      </c>
      <c r="BC89" s="15"/>
      <c r="BD89" s="115">
        <f t="shared" si="35"/>
        <v>3.6</v>
      </c>
      <c r="BE89" s="47" t="str">
        <f t="shared" si="36"/>
        <v>MJ/kWh</v>
      </c>
      <c r="BF89" s="15"/>
      <c r="BG89" s="218">
        <f>IFERROR(INDEX(tabellen_EMD!$C$240:$Z$248,MATCH($J89,tabellen_EMD!$C$240:$C$248,0),MATCH($B89,tabellen_EMD!$C$240:$Z$240,0))*(F89&lt;&gt;"zomercomfort"),0)</f>
        <v>0.56499999999999995</v>
      </c>
      <c r="BH89" s="47" t="str">
        <f t="shared" si="37"/>
        <v>kg/kWh</v>
      </c>
      <c r="BI89" s="15"/>
    </row>
    <row r="90" spans="1:61">
      <c r="A90" s="86"/>
      <c r="B90" s="47" t="str">
        <f>B88</f>
        <v>Enorm</v>
      </c>
      <c r="C90" s="47" t="str">
        <f>C88</f>
        <v>NEN 7120</v>
      </c>
      <c r="D90" s="943"/>
      <c r="E90" s="14"/>
      <c r="F90" s="22" t="s">
        <v>503</v>
      </c>
      <c r="G90" s="22"/>
      <c r="H90" s="22"/>
      <c r="I90" s="905"/>
      <c r="J90" s="1685"/>
      <c r="K90" s="1685"/>
      <c r="L90" s="16"/>
      <c r="M90" s="25"/>
      <c r="N90" s="22" t="str">
        <f t="shared" si="28"/>
        <v>MJ</v>
      </c>
      <c r="O90" s="39"/>
      <c r="P90" s="154"/>
      <c r="Q90" s="59">
        <f>IFERROR(IF(AND(P90&lt;&gt;"",$BA90=1),P90,BB90),1)</f>
        <v>1</v>
      </c>
      <c r="R90" s="15"/>
      <c r="S90" s="24">
        <f t="shared" si="30"/>
        <v>0</v>
      </c>
      <c r="T90" s="47" t="str">
        <f>IFERROR(INDEX(energiedragers_EP_eenheden,MATCH($J90,tabellen_EMD!$C$196:$C$204,0),MATCH($B90,energiedragers_EP_eenheden_titel,0)),"-")</f>
        <v>-</v>
      </c>
      <c r="U90" s="39"/>
      <c r="V90" s="154"/>
      <c r="W90" s="59">
        <f t="shared" si="31"/>
        <v>0</v>
      </c>
      <c r="X90" s="47" t="str">
        <f t="shared" si="32"/>
        <v>kg/-</v>
      </c>
      <c r="Y90" s="39"/>
      <c r="Z90" s="24">
        <f t="shared" si="33"/>
        <v>0</v>
      </c>
      <c r="AA90" s="47" t="s">
        <v>468</v>
      </c>
      <c r="AB90" s="67"/>
      <c r="AC90" s="995"/>
      <c r="AD90" s="1405"/>
      <c r="AE90" s="1405"/>
      <c r="AF90" s="1405"/>
      <c r="AG90" s="1405"/>
      <c r="AH90" s="1405"/>
      <c r="AI90" s="1405"/>
      <c r="AJ90" s="1405"/>
      <c r="AK90" s="1405"/>
      <c r="AL90" s="1405"/>
      <c r="AM90" s="1405"/>
      <c r="AN90" s="1405"/>
      <c r="AO90" s="1405"/>
      <c r="AP90" s="1405"/>
      <c r="AQ90" s="1405"/>
      <c r="AR90" s="1405"/>
      <c r="AS90" s="67"/>
      <c r="AT90" s="995"/>
      <c r="AU90" s="12"/>
      <c r="AV90" s="22" t="str">
        <f t="shared" si="26"/>
        <v>tapwater</v>
      </c>
      <c r="AW90" s="46">
        <f t="shared" si="27"/>
        <v>0</v>
      </c>
      <c r="AX90" s="24"/>
      <c r="AY90" s="12"/>
      <c r="AZ90" s="115">
        <v>1</v>
      </c>
      <c r="BA90" s="24">
        <f>IFERROR(INDEX(tabellen_EMD!$C$185:$N$193,MATCH($J90,tabellen_EMD!$C$185:$C$193,0),MATCH(BA$63,tabellen_EMD!$C$185:$N$185,0)),0)</f>
        <v>0</v>
      </c>
      <c r="BB90" s="115" t="e">
        <f t="shared" si="34"/>
        <v>#N/A</v>
      </c>
      <c r="BC90" s="15"/>
      <c r="BD90" s="115">
        <f t="shared" si="35"/>
        <v>1</v>
      </c>
      <c r="BE90" s="47" t="str">
        <f t="shared" si="36"/>
        <v>MJ/-</v>
      </c>
      <c r="BF90" s="15"/>
      <c r="BG90" s="218">
        <f>IFERROR(INDEX(tabellen_EMD!$C$240:$Z$248,MATCH($J90,tabellen_EMD!$C$240:$C$248,0),MATCH($B90,tabellen_EMD!$C$240:$Z$240,0))*(F90&lt;&gt;"zomercomfort"),0)</f>
        <v>0</v>
      </c>
      <c r="BH90" s="47" t="str">
        <f t="shared" si="37"/>
        <v>kg/-</v>
      </c>
      <c r="BI90" s="15"/>
    </row>
    <row r="91" spans="1:61">
      <c r="A91" s="86"/>
      <c r="B91" s="47" t="str">
        <f t="shared" si="25"/>
        <v>Enorm</v>
      </c>
      <c r="C91" s="47" t="str">
        <f t="shared" si="25"/>
        <v>NEN 7120</v>
      </c>
      <c r="D91" s="943"/>
      <c r="E91" s="14"/>
      <c r="F91" s="209" t="s">
        <v>1502</v>
      </c>
      <c r="G91" s="209"/>
      <c r="H91" s="209"/>
      <c r="I91" s="905"/>
      <c r="J91" s="1691" t="s">
        <v>465</v>
      </c>
      <c r="K91" s="1698"/>
      <c r="L91" s="16"/>
      <c r="M91" s="25"/>
      <c r="N91" s="22" t="str">
        <f t="shared" si="28"/>
        <v>MJ</v>
      </c>
      <c r="O91" s="39"/>
      <c r="P91" s="39"/>
      <c r="Q91" s="59">
        <f t="shared" si="29"/>
        <v>2.56</v>
      </c>
      <c r="R91" s="15"/>
      <c r="S91" s="24">
        <f t="shared" si="30"/>
        <v>0</v>
      </c>
      <c r="T91" s="47" t="str">
        <f>IFERROR(INDEX(energiedragers_EP_eenheden,MATCH($J91,tabellen_EMD!$C$196:$C$204,0),MATCH($B91,energiedragers_EP_eenheden_titel,0)),"-")</f>
        <v>kWh</v>
      </c>
      <c r="U91" s="39"/>
      <c r="V91" s="15"/>
      <c r="W91" s="59">
        <f t="shared" si="31"/>
        <v>0.56499999999999995</v>
      </c>
      <c r="X91" s="47" t="str">
        <f t="shared" si="32"/>
        <v>kg/kWh</v>
      </c>
      <c r="Y91" s="12"/>
      <c r="Z91" s="24">
        <f t="shared" si="33"/>
        <v>0</v>
      </c>
      <c r="AA91" s="47" t="s">
        <v>468</v>
      </c>
      <c r="AB91" s="67"/>
      <c r="AC91" s="995"/>
      <c r="AD91" s="1405"/>
      <c r="AE91" s="1405"/>
      <c r="AF91" s="1405"/>
      <c r="AG91" s="1405"/>
      <c r="AH91" s="1405"/>
      <c r="AI91" s="1405"/>
      <c r="AJ91" s="1405"/>
      <c r="AK91" s="1405"/>
      <c r="AL91" s="1405"/>
      <c r="AM91" s="1405"/>
      <c r="AN91" s="1405"/>
      <c r="AO91" s="1405"/>
      <c r="AP91" s="1405"/>
      <c r="AQ91" s="1405"/>
      <c r="AR91" s="1405"/>
      <c r="AS91" s="67"/>
      <c r="AT91" s="995"/>
      <c r="AU91" s="12"/>
      <c r="AV91" s="22" t="str">
        <f t="shared" si="26"/>
        <v>hulpenergie</v>
      </c>
      <c r="AW91" s="46" t="str">
        <f t="shared" si="27"/>
        <v>elektriciteit</v>
      </c>
      <c r="AX91" s="24"/>
      <c r="AY91" s="12"/>
      <c r="AZ91" s="115">
        <v>1</v>
      </c>
      <c r="BA91" s="24">
        <f>IFERROR(INDEX(tabellen_EMD!$C$185:$N$193,MATCH($J91,tabellen_EMD!$C$185:$C$193,0),MATCH(BA$63,tabellen_EMD!$C$185:$N$185,0)),0)</f>
        <v>0</v>
      </c>
      <c r="BB91" s="115">
        <f t="shared" si="34"/>
        <v>2.56</v>
      </c>
      <c r="BC91" s="15"/>
      <c r="BD91" s="115">
        <f t="shared" si="35"/>
        <v>3.6</v>
      </c>
      <c r="BE91" s="47" t="str">
        <f t="shared" si="36"/>
        <v>MJ/kWh</v>
      </c>
      <c r="BF91" s="15"/>
      <c r="BG91" s="218">
        <f>IFERROR(INDEX(tabellen_EMD!$C$240:$Z$248,MATCH($J91,tabellen_EMD!$C$240:$C$248,0),MATCH($B91,tabellen_EMD!$C$240:$Z$240,0))*(F91&lt;&gt;"zomercomfort"),0)</f>
        <v>0.56499999999999995</v>
      </c>
      <c r="BH91" s="47" t="str">
        <f t="shared" si="37"/>
        <v>kg/kWh</v>
      </c>
      <c r="BI91" s="15"/>
    </row>
    <row r="92" spans="1:61">
      <c r="A92" s="86"/>
      <c r="B92" s="47" t="str">
        <f>B90</f>
        <v>Enorm</v>
      </c>
      <c r="C92" s="47" t="str">
        <f>C90</f>
        <v>NEN 7120</v>
      </c>
      <c r="D92" s="943"/>
      <c r="E92" s="14"/>
      <c r="F92" s="22" t="s">
        <v>504</v>
      </c>
      <c r="G92" s="22"/>
      <c r="H92" s="22"/>
      <c r="I92" s="905"/>
      <c r="J92" s="1685"/>
      <c r="K92" s="1685"/>
      <c r="L92" s="16"/>
      <c r="M92" s="25"/>
      <c r="N92" s="22" t="str">
        <f t="shared" si="28"/>
        <v>MJ</v>
      </c>
      <c r="O92" s="39"/>
      <c r="P92" s="154"/>
      <c r="Q92" s="59">
        <f t="shared" si="29"/>
        <v>1</v>
      </c>
      <c r="R92" s="15"/>
      <c r="S92" s="24">
        <f t="shared" si="30"/>
        <v>0</v>
      </c>
      <c r="T92" s="47" t="str">
        <f>IFERROR(INDEX(energiedragers_EP_eenheden,MATCH($J92,tabellen_EMD!$C$196:$C$204,0),MATCH($B92,energiedragers_EP_eenheden_titel,0)),"-")</f>
        <v>-</v>
      </c>
      <c r="U92" s="39"/>
      <c r="V92" s="154"/>
      <c r="W92" s="59">
        <f t="shared" si="31"/>
        <v>0</v>
      </c>
      <c r="X92" s="47" t="str">
        <f t="shared" si="32"/>
        <v>kg/-</v>
      </c>
      <c r="Y92" s="39"/>
      <c r="Z92" s="24">
        <f t="shared" si="33"/>
        <v>0</v>
      </c>
      <c r="AA92" s="47" t="s">
        <v>468</v>
      </c>
      <c r="AB92" s="67"/>
      <c r="AC92" s="995"/>
      <c r="AD92" s="1405"/>
      <c r="AE92" s="1405"/>
      <c r="AF92" s="1405"/>
      <c r="AG92" s="1405"/>
      <c r="AH92" s="1405"/>
      <c r="AI92" s="1405"/>
      <c r="AJ92" s="1405"/>
      <c r="AK92" s="1405"/>
      <c r="AL92" s="1405"/>
      <c r="AM92" s="1405"/>
      <c r="AN92" s="1405"/>
      <c r="AO92" s="1405"/>
      <c r="AP92" s="1405"/>
      <c r="AQ92" s="1405"/>
      <c r="AR92" s="1405"/>
      <c r="AS92" s="67"/>
      <c r="AT92" s="995"/>
      <c r="AU92" s="12"/>
      <c r="AV92" s="22" t="str">
        <f t="shared" si="26"/>
        <v>koeling</v>
      </c>
      <c r="AW92" s="46">
        <f t="shared" si="27"/>
        <v>0</v>
      </c>
      <c r="AX92" s="24"/>
      <c r="AY92" s="12"/>
      <c r="AZ92" s="115">
        <v>1</v>
      </c>
      <c r="BA92" s="24">
        <f>IFERROR(INDEX(tabellen_EMD!$C$185:$N$193,MATCH($J92,tabellen_EMD!$C$185:$C$193,0),MATCH(BA$63,tabellen_EMD!$C$185:$N$185,0)),0)</f>
        <v>0</v>
      </c>
      <c r="BB92" s="115" t="e">
        <f t="shared" si="34"/>
        <v>#N/A</v>
      </c>
      <c r="BC92" s="15"/>
      <c r="BD92" s="115">
        <f t="shared" si="35"/>
        <v>1</v>
      </c>
      <c r="BE92" s="47" t="str">
        <f t="shared" si="36"/>
        <v>MJ/-</v>
      </c>
      <c r="BF92" s="15"/>
      <c r="BG92" s="218">
        <f>IFERROR(INDEX(tabellen_EMD!$C$240:$Z$248,MATCH($J92,tabellen_EMD!$C$240:$C$248,0),MATCH($B92,tabellen_EMD!$C$240:$Z$240,0))*(F92&lt;&gt;"zomercomfort"),0)</f>
        <v>0</v>
      </c>
      <c r="BH92" s="47" t="str">
        <f t="shared" si="37"/>
        <v>kg/-</v>
      </c>
      <c r="BI92" s="15"/>
    </row>
    <row r="93" spans="1:61">
      <c r="A93" s="86"/>
      <c r="B93" s="47" t="str">
        <f t="shared" si="25"/>
        <v>Enorm</v>
      </c>
      <c r="C93" s="47" t="str">
        <f t="shared" si="25"/>
        <v>NEN 7120</v>
      </c>
      <c r="D93" s="943"/>
      <c r="E93" s="14"/>
      <c r="F93" s="209" t="s">
        <v>1502</v>
      </c>
      <c r="G93" s="209"/>
      <c r="H93" s="209"/>
      <c r="I93" s="905"/>
      <c r="J93" s="1691" t="s">
        <v>465</v>
      </c>
      <c r="K93" s="1698"/>
      <c r="L93" s="16"/>
      <c r="M93" s="25"/>
      <c r="N93" s="22" t="str">
        <f t="shared" si="28"/>
        <v>MJ</v>
      </c>
      <c r="O93" s="39"/>
      <c r="P93" s="39"/>
      <c r="Q93" s="59">
        <f t="shared" si="29"/>
        <v>2.56</v>
      </c>
      <c r="R93" s="15"/>
      <c r="S93" s="24">
        <f t="shared" si="30"/>
        <v>0</v>
      </c>
      <c r="T93" s="47" t="str">
        <f>IFERROR(INDEX(energiedragers_EP_eenheden,MATCH($J93,tabellen_EMD!$C$196:$C$204,0),MATCH($B93,energiedragers_EP_eenheden_titel,0)),"-")</f>
        <v>kWh</v>
      </c>
      <c r="U93" s="39"/>
      <c r="V93" s="15"/>
      <c r="W93" s="59">
        <f t="shared" si="31"/>
        <v>0.56499999999999995</v>
      </c>
      <c r="X93" s="47" t="str">
        <f t="shared" si="32"/>
        <v>kg/kWh</v>
      </c>
      <c r="Y93" s="12"/>
      <c r="Z93" s="24">
        <f t="shared" si="33"/>
        <v>0</v>
      </c>
      <c r="AA93" s="47" t="s">
        <v>468</v>
      </c>
      <c r="AB93" s="67"/>
      <c r="AC93" s="995"/>
      <c r="AD93" s="1405"/>
      <c r="AE93" s="1405"/>
      <c r="AF93" s="1405"/>
      <c r="AG93" s="1405"/>
      <c r="AH93" s="1405"/>
      <c r="AI93" s="1405"/>
      <c r="AJ93" s="1405"/>
      <c r="AK93" s="1405"/>
      <c r="AL93" s="1405"/>
      <c r="AM93" s="1405"/>
      <c r="AN93" s="1405"/>
      <c r="AO93" s="1405"/>
      <c r="AP93" s="1405"/>
      <c r="AQ93" s="1405"/>
      <c r="AR93" s="1405"/>
      <c r="AS93" s="67"/>
      <c r="AT93" s="995"/>
      <c r="AU93" s="12"/>
      <c r="AV93" s="22" t="str">
        <f t="shared" si="26"/>
        <v>hulpenergie</v>
      </c>
      <c r="AW93" s="46" t="str">
        <f t="shared" si="27"/>
        <v>elektriciteit</v>
      </c>
      <c r="AX93" s="24"/>
      <c r="AY93" s="12"/>
      <c r="AZ93" s="115">
        <v>1</v>
      </c>
      <c r="BA93" s="24">
        <f>IFERROR(INDEX(tabellen_EMD!$C$185:$N$193,MATCH($J93,tabellen_EMD!$C$185:$C$193,0),MATCH(BA$63,tabellen_EMD!$C$185:$N$185,0)),0)</f>
        <v>0</v>
      </c>
      <c r="BB93" s="115">
        <f t="shared" si="34"/>
        <v>2.56</v>
      </c>
      <c r="BC93" s="15"/>
      <c r="BD93" s="115">
        <f t="shared" si="35"/>
        <v>3.6</v>
      </c>
      <c r="BE93" s="47" t="str">
        <f t="shared" si="36"/>
        <v>MJ/kWh</v>
      </c>
      <c r="BF93" s="15"/>
      <c r="BG93" s="218">
        <f>IFERROR(INDEX(tabellen_EMD!$C$240:$Z$248,MATCH($J93,tabellen_EMD!$C$240:$C$248,0),MATCH($B93,tabellen_EMD!$C$240:$Z$240,0))*(F93&lt;&gt;"zomercomfort"),0)</f>
        <v>0.56499999999999995</v>
      </c>
      <c r="BH93" s="47" t="str">
        <f t="shared" si="37"/>
        <v>kg/kWh</v>
      </c>
      <c r="BI93" s="15"/>
    </row>
    <row r="94" spans="1:61">
      <c r="A94" s="86"/>
      <c r="B94" s="47" t="str">
        <f>B92</f>
        <v>Enorm</v>
      </c>
      <c r="C94" s="47" t="str">
        <f>C92</f>
        <v>NEN 7120</v>
      </c>
      <c r="D94" s="943"/>
      <c r="E94" s="14"/>
      <c r="F94" s="22" t="s">
        <v>1396</v>
      </c>
      <c r="G94" s="22"/>
      <c r="H94" s="22"/>
      <c r="I94" s="905"/>
      <c r="J94" s="1691" t="s">
        <v>465</v>
      </c>
      <c r="K94" s="1698"/>
      <c r="L94" s="16"/>
      <c r="M94" s="25"/>
      <c r="N94" s="22" t="str">
        <f t="shared" si="28"/>
        <v>MJ</v>
      </c>
      <c r="O94" s="39"/>
      <c r="P94" s="39"/>
      <c r="Q94" s="59">
        <f t="shared" si="29"/>
        <v>2.56</v>
      </c>
      <c r="R94" s="15"/>
      <c r="S94" s="24">
        <f t="shared" si="30"/>
        <v>0</v>
      </c>
      <c r="T94" s="47" t="str">
        <f>IFERROR(INDEX(energiedragers_EP_eenheden,MATCH($J94,tabellen_EMD!$C$196:$C$204,0),MATCH($B94,energiedragers_EP_eenheden_titel,0)),"-")</f>
        <v>kWh</v>
      </c>
      <c r="U94" s="39"/>
      <c r="V94" s="15"/>
      <c r="W94" s="59">
        <f t="shared" si="31"/>
        <v>0</v>
      </c>
      <c r="X94" s="47" t="str">
        <f t="shared" si="32"/>
        <v>kg/kWh</v>
      </c>
      <c r="Y94" s="12"/>
      <c r="Z94" s="24">
        <f t="shared" si="33"/>
        <v>0</v>
      </c>
      <c r="AA94" s="47" t="s">
        <v>468</v>
      </c>
      <c r="AB94" s="67"/>
      <c r="AC94" s="995"/>
      <c r="AD94" s="1405"/>
      <c r="AE94" s="1405"/>
      <c r="AF94" s="1405"/>
      <c r="AG94" s="1405"/>
      <c r="AH94" s="1405"/>
      <c r="AI94" s="1405"/>
      <c r="AJ94" s="1405"/>
      <c r="AK94" s="1405"/>
      <c r="AL94" s="1405"/>
      <c r="AM94" s="1405"/>
      <c r="AN94" s="1405"/>
      <c r="AO94" s="1405"/>
      <c r="AP94" s="1405"/>
      <c r="AQ94" s="1405"/>
      <c r="AR94" s="1405"/>
      <c r="AS94" s="67"/>
      <c r="AT94" s="995"/>
      <c r="AU94" s="12"/>
      <c r="AV94" s="22" t="str">
        <f t="shared" si="26"/>
        <v>zomercomfort</v>
      </c>
      <c r="AW94" s="46" t="str">
        <f t="shared" si="27"/>
        <v>elektriciteit</v>
      </c>
      <c r="AX94" s="24"/>
      <c r="AY94" s="12"/>
      <c r="AZ94" s="115">
        <v>1</v>
      </c>
      <c r="BA94" s="24">
        <f>IFERROR(INDEX(tabellen_EMD!$C$185:$N$193,MATCH($J94,tabellen_EMD!$C$185:$C$193,0),MATCH(BA$63,tabellen_EMD!$C$185:$N$185,0)),0)</f>
        <v>0</v>
      </c>
      <c r="BB94" s="115">
        <f t="shared" si="34"/>
        <v>2.56</v>
      </c>
      <c r="BC94" s="15"/>
      <c r="BD94" s="115">
        <f t="shared" si="35"/>
        <v>3.6</v>
      </c>
      <c r="BE94" s="47" t="str">
        <f t="shared" si="36"/>
        <v>MJ/kWh</v>
      </c>
      <c r="BF94" s="15"/>
      <c r="BG94" s="218">
        <f>IFERROR(INDEX(tabellen_EMD!$C$240:$Z$248,MATCH($J94,tabellen_EMD!$C$240:$C$248,0),MATCH($B94,tabellen_EMD!$C$240:$Z$240,0))*(F94&lt;&gt;"zomercomfort"),0)</f>
        <v>0</v>
      </c>
      <c r="BH94" s="47" t="str">
        <f t="shared" si="37"/>
        <v>kg/kWh</v>
      </c>
      <c r="BI94" s="15"/>
    </row>
    <row r="95" spans="1:61">
      <c r="A95" s="86"/>
      <c r="B95" s="47" t="str">
        <f t="shared" si="25"/>
        <v>Enorm</v>
      </c>
      <c r="C95" s="47" t="str">
        <f t="shared" si="25"/>
        <v>NEN 7120</v>
      </c>
      <c r="D95" s="943"/>
      <c r="E95" s="14"/>
      <c r="F95" s="22" t="s">
        <v>505</v>
      </c>
      <c r="G95" s="22"/>
      <c r="H95" s="22"/>
      <c r="I95" s="905"/>
      <c r="J95" s="1691" t="s">
        <v>465</v>
      </c>
      <c r="K95" s="1698"/>
      <c r="L95" s="16"/>
      <c r="M95" s="25"/>
      <c r="N95" s="22" t="str">
        <f t="shared" si="28"/>
        <v>MJ</v>
      </c>
      <c r="O95" s="39"/>
      <c r="P95" s="39"/>
      <c r="Q95" s="59">
        <f t="shared" si="29"/>
        <v>2.56</v>
      </c>
      <c r="R95" s="15"/>
      <c r="S95" s="24">
        <f t="shared" si="30"/>
        <v>0</v>
      </c>
      <c r="T95" s="47" t="str">
        <f>IFERROR(INDEX(energiedragers_EP_eenheden,MATCH($J95,tabellen_EMD!$C$196:$C$204,0),MATCH($B95,energiedragers_EP_eenheden_titel,0)),"-")</f>
        <v>kWh</v>
      </c>
      <c r="U95" s="39"/>
      <c r="V95" s="15"/>
      <c r="W95" s="59">
        <f t="shared" si="31"/>
        <v>0.56499999999999995</v>
      </c>
      <c r="X95" s="47" t="str">
        <f t="shared" si="32"/>
        <v>kg/kWh</v>
      </c>
      <c r="Y95" s="12"/>
      <c r="Z95" s="24">
        <f t="shared" si="33"/>
        <v>0</v>
      </c>
      <c r="AA95" s="47" t="s">
        <v>468</v>
      </c>
      <c r="AB95" s="67"/>
      <c r="AC95" s="995"/>
      <c r="AD95" s="1405"/>
      <c r="AE95" s="1405"/>
      <c r="AF95" s="1405"/>
      <c r="AG95" s="1405"/>
      <c r="AH95" s="1405"/>
      <c r="AI95" s="1405"/>
      <c r="AJ95" s="1405"/>
      <c r="AK95" s="1405"/>
      <c r="AL95" s="1405"/>
      <c r="AM95" s="1405"/>
      <c r="AN95" s="1405"/>
      <c r="AO95" s="1405"/>
      <c r="AP95" s="1405"/>
      <c r="AQ95" s="1405"/>
      <c r="AR95" s="1405"/>
      <c r="AS95" s="67"/>
      <c r="AT95" s="995"/>
      <c r="AU95" s="12"/>
      <c r="AV95" s="22" t="str">
        <f t="shared" si="26"/>
        <v>bevochtiging</v>
      </c>
      <c r="AW95" s="46" t="str">
        <f t="shared" si="27"/>
        <v>elektriciteit</v>
      </c>
      <c r="AX95" s="24"/>
      <c r="AY95" s="12"/>
      <c r="AZ95" s="115">
        <v>1</v>
      </c>
      <c r="BA95" s="24">
        <f>IFERROR(INDEX(tabellen_EMD!$C$185:$N$193,MATCH($J95,tabellen_EMD!$C$185:$C$193,0),MATCH(BA$63,tabellen_EMD!$C$185:$N$185,0)),0)</f>
        <v>0</v>
      </c>
      <c r="BB95" s="115">
        <f t="shared" si="34"/>
        <v>2.56</v>
      </c>
      <c r="BC95" s="15"/>
      <c r="BD95" s="115">
        <f t="shared" si="35"/>
        <v>3.6</v>
      </c>
      <c r="BE95" s="47" t="str">
        <f t="shared" si="36"/>
        <v>MJ/kWh</v>
      </c>
      <c r="BF95" s="15"/>
      <c r="BG95" s="218">
        <f>IFERROR(INDEX(tabellen_EMD!$C$240:$Z$248,MATCH($J95,tabellen_EMD!$C$240:$C$248,0),MATCH($B95,tabellen_EMD!$C$240:$Z$240,0))*(F95&lt;&gt;"zomercomfort"),0)</f>
        <v>0.56499999999999995</v>
      </c>
      <c r="BH95" s="47" t="str">
        <f t="shared" si="37"/>
        <v>kg/kWh</v>
      </c>
      <c r="BI95" s="15"/>
    </row>
    <row r="96" spans="1:61">
      <c r="A96" s="86"/>
      <c r="B96" s="47" t="str">
        <f t="shared" si="25"/>
        <v>Enorm</v>
      </c>
      <c r="C96" s="47" t="str">
        <f t="shared" si="25"/>
        <v>NEN 7120</v>
      </c>
      <c r="D96" s="943"/>
      <c r="E96" s="14"/>
      <c r="F96" s="22" t="s">
        <v>506</v>
      </c>
      <c r="G96" s="22"/>
      <c r="H96" s="22"/>
      <c r="I96" s="905"/>
      <c r="J96" s="1691" t="s">
        <v>465</v>
      </c>
      <c r="K96" s="1698"/>
      <c r="L96" s="16"/>
      <c r="M96" s="25"/>
      <c r="N96" s="22" t="str">
        <f t="shared" si="28"/>
        <v>MJ</v>
      </c>
      <c r="O96" s="905"/>
      <c r="P96" s="39"/>
      <c r="Q96" s="59">
        <f t="shared" si="29"/>
        <v>2.56</v>
      </c>
      <c r="R96" s="15"/>
      <c r="S96" s="24">
        <f t="shared" si="30"/>
        <v>0</v>
      </c>
      <c r="T96" s="47" t="str">
        <f>IFERROR(INDEX(energiedragers_EP_eenheden,MATCH($J96,tabellen_EMD!$C$196:$C$204,0),MATCH($B96,energiedragers_EP_eenheden_titel,0)),"-")</f>
        <v>kWh</v>
      </c>
      <c r="U96" s="39"/>
      <c r="V96" s="15"/>
      <c r="W96" s="59">
        <f t="shared" si="31"/>
        <v>0.56499999999999995</v>
      </c>
      <c r="X96" s="47" t="str">
        <f t="shared" si="32"/>
        <v>kg/kWh</v>
      </c>
      <c r="Y96" s="12"/>
      <c r="Z96" s="24">
        <f t="shared" si="33"/>
        <v>0</v>
      </c>
      <c r="AA96" s="47" t="s">
        <v>468</v>
      </c>
      <c r="AB96" s="67"/>
      <c r="AC96" s="995"/>
      <c r="AD96" s="1405"/>
      <c r="AE96" s="1405"/>
      <c r="AF96" s="1405"/>
      <c r="AG96" s="1405"/>
      <c r="AH96" s="1405"/>
      <c r="AI96" s="1405"/>
      <c r="AJ96" s="1405"/>
      <c r="AK96" s="1405"/>
      <c r="AL96" s="1405"/>
      <c r="AM96" s="1405"/>
      <c r="AN96" s="1405"/>
      <c r="AO96" s="1405"/>
      <c r="AP96" s="1405"/>
      <c r="AQ96" s="1405"/>
      <c r="AR96" s="1405"/>
      <c r="AS96" s="67"/>
      <c r="AT96" s="995"/>
      <c r="AU96" s="12"/>
      <c r="AV96" s="22" t="str">
        <f t="shared" si="26"/>
        <v>ontvochtiging</v>
      </c>
      <c r="AW96" s="46" t="str">
        <f t="shared" si="27"/>
        <v>elektriciteit</v>
      </c>
      <c r="AX96" s="24"/>
      <c r="AY96" s="12"/>
      <c r="AZ96" s="115">
        <v>1</v>
      </c>
      <c r="BA96" s="24">
        <f>IFERROR(INDEX(tabellen_EMD!$C$185:$N$193,MATCH($J96,tabellen_EMD!$C$185:$C$193,0),MATCH(BA$63,tabellen_EMD!$C$185:$N$185,0)),0)</f>
        <v>0</v>
      </c>
      <c r="BB96" s="115">
        <f t="shared" si="34"/>
        <v>2.56</v>
      </c>
      <c r="BC96" s="15"/>
      <c r="BD96" s="115">
        <f t="shared" si="35"/>
        <v>3.6</v>
      </c>
      <c r="BE96" s="47" t="str">
        <f t="shared" si="36"/>
        <v>MJ/kWh</v>
      </c>
      <c r="BF96" s="15"/>
      <c r="BG96" s="218">
        <f>IFERROR(INDEX(tabellen_EMD!$C$240:$Z$248,MATCH($J96,tabellen_EMD!$C$240:$C$248,0),MATCH($B96,tabellen_EMD!$C$240:$Z$240,0))*(F96&lt;&gt;"zomercomfort"),0)</f>
        <v>0.56499999999999995</v>
      </c>
      <c r="BH96" s="47" t="str">
        <f t="shared" si="37"/>
        <v>kg/kWh</v>
      </c>
      <c r="BI96" s="15"/>
    </row>
    <row r="97" spans="1:61">
      <c r="A97" s="86"/>
      <c r="B97" s="47" t="str">
        <f t="shared" si="25"/>
        <v>Enorm</v>
      </c>
      <c r="C97" s="47" t="str">
        <f t="shared" si="25"/>
        <v>NEN 7120</v>
      </c>
      <c r="D97" s="943"/>
      <c r="E97" s="14"/>
      <c r="F97" s="22" t="s">
        <v>1375</v>
      </c>
      <c r="G97" s="22"/>
      <c r="H97" s="22"/>
      <c r="I97" s="905"/>
      <c r="J97" s="1691" t="s">
        <v>465</v>
      </c>
      <c r="K97" s="1698"/>
      <c r="L97" s="16"/>
      <c r="M97" s="25"/>
      <c r="N97" s="22" t="str">
        <f t="shared" si="28"/>
        <v>MJ</v>
      </c>
      <c r="O97" s="899"/>
      <c r="P97" s="39"/>
      <c r="Q97" s="59">
        <f t="shared" si="29"/>
        <v>2.56</v>
      </c>
      <c r="R97" s="15"/>
      <c r="S97" s="24">
        <f t="shared" si="30"/>
        <v>0</v>
      </c>
      <c r="T97" s="47" t="str">
        <f>IFERROR(INDEX(energiedragers_EP_eenheden,MATCH($J97,tabellen_EMD!$C$196:$C$204,0),MATCH($B97,energiedragers_EP_eenheden_titel,0)),"-")</f>
        <v>kWh</v>
      </c>
      <c r="U97" s="39"/>
      <c r="V97" s="15"/>
      <c r="W97" s="59">
        <f t="shared" si="31"/>
        <v>0.56499999999999995</v>
      </c>
      <c r="X97" s="47" t="str">
        <f t="shared" si="32"/>
        <v>kg/kWh</v>
      </c>
      <c r="Y97" s="12"/>
      <c r="Z97" s="24">
        <f t="shared" si="33"/>
        <v>0</v>
      </c>
      <c r="AA97" s="47" t="s">
        <v>468</v>
      </c>
      <c r="AB97" s="67"/>
      <c r="AC97" s="995"/>
      <c r="AD97" s="1405"/>
      <c r="AE97" s="1405"/>
      <c r="AF97" s="1405"/>
      <c r="AG97" s="1405"/>
      <c r="AH97" s="1405"/>
      <c r="AI97" s="1405"/>
      <c r="AJ97" s="1405"/>
      <c r="AK97" s="1405"/>
      <c r="AL97" s="1405"/>
      <c r="AM97" s="1405"/>
      <c r="AN97" s="1405"/>
      <c r="AO97" s="1405"/>
      <c r="AP97" s="1405"/>
      <c r="AQ97" s="1405"/>
      <c r="AR97" s="1405"/>
      <c r="AS97" s="67"/>
      <c r="AT97" s="995"/>
      <c r="AU97" s="12"/>
      <c r="AV97" s="22" t="str">
        <f t="shared" si="26"/>
        <v>ventilatoren</v>
      </c>
      <c r="AW97" s="46" t="str">
        <f t="shared" si="27"/>
        <v>elektriciteit</v>
      </c>
      <c r="AX97" s="24"/>
      <c r="AY97" s="12"/>
      <c r="AZ97" s="115">
        <v>1</v>
      </c>
      <c r="BA97" s="24">
        <f>IFERROR(INDEX(tabellen_EMD!$C$185:$N$193,MATCH($J97,tabellen_EMD!$C$185:$C$193,0),MATCH(BA$63,tabellen_EMD!$C$185:$N$185,0)),0)</f>
        <v>0</v>
      </c>
      <c r="BB97" s="115">
        <f t="shared" si="34"/>
        <v>2.56</v>
      </c>
      <c r="BC97" s="15"/>
      <c r="BD97" s="115">
        <f t="shared" si="35"/>
        <v>3.6</v>
      </c>
      <c r="BE97" s="47" t="str">
        <f t="shared" si="36"/>
        <v>MJ/kWh</v>
      </c>
      <c r="BF97" s="15"/>
      <c r="BG97" s="218">
        <f>IFERROR(INDEX(tabellen_EMD!$C$240:$Z$248,MATCH($J97,tabellen_EMD!$C$240:$C$248,0),MATCH($B97,tabellen_EMD!$C$240:$Z$240,0))*(F97&lt;&gt;"zomercomfort"),0)</f>
        <v>0.56499999999999995</v>
      </c>
      <c r="BH97" s="47" t="str">
        <f t="shared" si="37"/>
        <v>kg/kWh</v>
      </c>
      <c r="BI97" s="15"/>
    </row>
    <row r="98" spans="1:61">
      <c r="A98" s="18"/>
      <c r="B98" s="47" t="str">
        <f t="shared" si="25"/>
        <v>Enorm</v>
      </c>
      <c r="C98" s="47" t="str">
        <f t="shared" si="25"/>
        <v>NEN 7120</v>
      </c>
      <c r="D98" s="943"/>
      <c r="E98" s="14"/>
      <c r="F98" s="22" t="s">
        <v>507</v>
      </c>
      <c r="G98" s="22"/>
      <c r="H98" s="22"/>
      <c r="I98" s="905"/>
      <c r="J98" s="1691" t="s">
        <v>465</v>
      </c>
      <c r="K98" s="1698"/>
      <c r="L98" s="16"/>
      <c r="M98" s="25"/>
      <c r="N98" s="22" t="str">
        <f t="shared" si="28"/>
        <v>MJ</v>
      </c>
      <c r="O98" s="899"/>
      <c r="P98" s="39"/>
      <c r="Q98" s="59">
        <f t="shared" si="29"/>
        <v>2.56</v>
      </c>
      <c r="R98" s="15"/>
      <c r="S98" s="24">
        <f t="shared" si="30"/>
        <v>0</v>
      </c>
      <c r="T98" s="47" t="str">
        <f>IFERROR(INDEX(energiedragers_EP_eenheden,MATCH($J98,tabellen_EMD!$C$196:$C$204,0),MATCH($B98,energiedragers_EP_eenheden_titel,0)),"-")</f>
        <v>kWh</v>
      </c>
      <c r="U98" s="39"/>
      <c r="V98" s="15"/>
      <c r="W98" s="59">
        <f t="shared" si="31"/>
        <v>0.56499999999999995</v>
      </c>
      <c r="X98" s="47" t="str">
        <f t="shared" si="32"/>
        <v>kg/kWh</v>
      </c>
      <c r="Y98" s="12"/>
      <c r="Z98" s="24">
        <f t="shared" si="33"/>
        <v>0</v>
      </c>
      <c r="AA98" s="47" t="s">
        <v>468</v>
      </c>
      <c r="AB98" s="67"/>
      <c r="AC98" s="995"/>
      <c r="AD98" s="1405"/>
      <c r="AE98" s="1405"/>
      <c r="AF98" s="1405"/>
      <c r="AG98" s="1405"/>
      <c r="AH98" s="1405"/>
      <c r="AI98" s="1405"/>
      <c r="AJ98" s="1405"/>
      <c r="AK98" s="1405"/>
      <c r="AL98" s="1405"/>
      <c r="AM98" s="1405"/>
      <c r="AN98" s="1405"/>
      <c r="AO98" s="1405"/>
      <c r="AP98" s="1405"/>
      <c r="AQ98" s="1405"/>
      <c r="AR98" s="1405"/>
      <c r="AS98" s="67"/>
      <c r="AT98" s="995"/>
      <c r="AU98" s="12"/>
      <c r="AV98" s="22" t="str">
        <f t="shared" si="26"/>
        <v>verlichting</v>
      </c>
      <c r="AW98" s="46" t="str">
        <f t="shared" si="27"/>
        <v>elektriciteit</v>
      </c>
      <c r="AX98" s="24"/>
      <c r="AY98" s="12"/>
      <c r="AZ98" s="115">
        <v>1</v>
      </c>
      <c r="BA98" s="24">
        <f>IFERROR(INDEX(tabellen_EMD!$C$185:$N$193,MATCH($J98,tabellen_EMD!$C$185:$C$193,0),MATCH(BA$63,tabellen_EMD!$C$185:$N$185,0)),0)</f>
        <v>0</v>
      </c>
      <c r="BB98" s="115">
        <f t="shared" si="34"/>
        <v>2.56</v>
      </c>
      <c r="BC98" s="15"/>
      <c r="BD98" s="115">
        <f t="shared" si="35"/>
        <v>3.6</v>
      </c>
      <c r="BE98" s="47" t="str">
        <f t="shared" si="36"/>
        <v>MJ/kWh</v>
      </c>
      <c r="BF98" s="15"/>
      <c r="BG98" s="218">
        <f>IFERROR(INDEX(tabellen_EMD!$C$240:$Z$248,MATCH($J98,tabellen_EMD!$C$240:$C$248,0),MATCH($B98,tabellen_EMD!$C$240:$Z$240,0))*(F98&lt;&gt;"zomercomfort"),0)</f>
        <v>0.56499999999999995</v>
      </c>
      <c r="BH98" s="47" t="str">
        <f t="shared" si="37"/>
        <v>kg/kWh</v>
      </c>
      <c r="BI98" s="15"/>
    </row>
    <row r="99" spans="1:61">
      <c r="A99" s="18"/>
      <c r="B99" s="47" t="str">
        <f t="shared" si="25"/>
        <v>Enorm</v>
      </c>
      <c r="C99" s="47" t="str">
        <f t="shared" si="25"/>
        <v>NEN 7120</v>
      </c>
      <c r="D99" s="943"/>
      <c r="E99" s="14"/>
      <c r="F99" s="330" t="s">
        <v>1391</v>
      </c>
      <c r="G99" s="330"/>
      <c r="H99" s="330"/>
      <c r="I99" s="905"/>
      <c r="J99" s="965" t="s">
        <v>1391</v>
      </c>
      <c r="K99" s="965"/>
      <c r="L99" s="16"/>
      <c r="M99" s="950">
        <f>SUM(M88:M98)</f>
        <v>0</v>
      </c>
      <c r="N99" s="15" t="str">
        <f t="shared" si="28"/>
        <v>MJ</v>
      </c>
      <c r="O99" s="899"/>
      <c r="P99" s="39"/>
      <c r="Q99" s="984"/>
      <c r="R99" s="15"/>
      <c r="S99" s="15"/>
      <c r="T99" s="15"/>
      <c r="U99" s="39"/>
      <c r="V99" s="15"/>
      <c r="W99" s="984"/>
      <c r="X99" s="15"/>
      <c r="Y99" s="39"/>
      <c r="Z99" s="950">
        <f>SUM(Z88:Z98)</f>
        <v>0</v>
      </c>
      <c r="AA99" s="15" t="s">
        <v>468</v>
      </c>
      <c r="AB99" s="67"/>
      <c r="AC99" s="995"/>
      <c r="AD99" s="1405"/>
      <c r="AE99" s="1405"/>
      <c r="AF99" s="1405"/>
      <c r="AG99" s="1405"/>
      <c r="AH99" s="1405"/>
      <c r="AI99" s="1405"/>
      <c r="AJ99" s="1405"/>
      <c r="AK99" s="1405"/>
      <c r="AL99" s="1405"/>
      <c r="AM99" s="1405"/>
      <c r="AN99" s="1405"/>
      <c r="AO99" s="1405"/>
      <c r="AP99" s="1405"/>
      <c r="AQ99" s="1405"/>
      <c r="AR99" s="1405"/>
      <c r="AS99" s="67"/>
      <c r="AT99" s="995"/>
      <c r="AU99" s="12"/>
      <c r="AV99" s="22" t="str">
        <f t="shared" si="26"/>
        <v>totaal</v>
      </c>
      <c r="AW99" s="46" t="str">
        <f t="shared" si="27"/>
        <v>totaal</v>
      </c>
      <c r="AX99" s="24"/>
      <c r="AY99" s="12"/>
      <c r="AZ99" s="15"/>
      <c r="BA99" s="12"/>
      <c r="BB99" s="15"/>
      <c r="BC99" s="15"/>
      <c r="BD99" s="15"/>
      <c r="BE99" s="15"/>
      <c r="BF99" s="15"/>
      <c r="BG99" s="899"/>
      <c r="BH99" s="899"/>
      <c r="BI99" s="15"/>
    </row>
    <row r="100" spans="1:61">
      <c r="A100" s="18"/>
      <c r="B100" s="47" t="str">
        <f t="shared" si="25"/>
        <v>Enorm</v>
      </c>
      <c r="C100" s="47" t="str">
        <f t="shared" si="25"/>
        <v>NEN 7120</v>
      </c>
      <c r="D100" s="943"/>
      <c r="E100" s="14"/>
      <c r="F100" s="22" t="s">
        <v>1392</v>
      </c>
      <c r="G100" s="22"/>
      <c r="H100" s="22"/>
      <c r="I100" s="905"/>
      <c r="J100" s="1691" t="s">
        <v>466</v>
      </c>
      <c r="K100" s="1698"/>
      <c r="L100" s="16"/>
      <c r="M100" s="25"/>
      <c r="N100" s="22" t="str">
        <f t="shared" si="28"/>
        <v>MJ</v>
      </c>
      <c r="O100" s="899"/>
      <c r="P100" s="39"/>
      <c r="Q100" s="59">
        <f>IFERROR(IF(AND(P100&lt;&gt;"",$BA100=1),P100,BB100),1)</f>
        <v>2.56</v>
      </c>
      <c r="R100" s="15"/>
      <c r="S100" s="24">
        <f>M100/Q100/BD100</f>
        <v>0</v>
      </c>
      <c r="T100" s="47" t="str">
        <f>IFERROR(INDEX(energiedragers_EP_eenheden,MATCH($J100,tabellen_EMD!$C$196:$C$204,0),MATCH($B100,energiedragers_EP_eenheden_titel,0)),"-")</f>
        <v>kWh</v>
      </c>
      <c r="U100" s="39"/>
      <c r="V100" s="15"/>
      <c r="W100" s="59">
        <f>IF(AND(V100&lt;&gt;"",$BA100=1),V100,BG100)</f>
        <v>0.56499999999999995</v>
      </c>
      <c r="X100" s="47" t="str">
        <f>BH100</f>
        <v>kg/kWh</v>
      </c>
      <c r="Y100" s="12"/>
      <c r="Z100" s="24">
        <f>S100*W100*ABS(AZ100)</f>
        <v>0</v>
      </c>
      <c r="AA100" s="47" t="s">
        <v>468</v>
      </c>
      <c r="AB100" s="67"/>
      <c r="AC100" s="995"/>
      <c r="AD100" s="1405"/>
      <c r="AE100" s="1405"/>
      <c r="AF100" s="1405"/>
      <c r="AG100" s="1405"/>
      <c r="AH100" s="1405"/>
      <c r="AI100" s="1405"/>
      <c r="AJ100" s="1405"/>
      <c r="AK100" s="1405"/>
      <c r="AL100" s="1405"/>
      <c r="AM100" s="1405"/>
      <c r="AN100" s="1405"/>
      <c r="AO100" s="1405"/>
      <c r="AP100" s="1405"/>
      <c r="AQ100" s="1405"/>
      <c r="AR100" s="1405"/>
      <c r="AS100" s="67"/>
      <c r="AT100" s="995"/>
      <c r="AU100" s="12"/>
      <c r="AV100" s="22" t="str">
        <f t="shared" si="26"/>
        <v>elektriciteitsproductie gebouwgebonden</v>
      </c>
      <c r="AW100" s="46" t="str">
        <f t="shared" si="27"/>
        <v>elektriciteit opgewekt</v>
      </c>
      <c r="AX100" s="24"/>
      <c r="AY100" s="12"/>
      <c r="AZ100" s="115">
        <v>-1</v>
      </c>
      <c r="BA100" s="24">
        <f>IFERROR(INDEX(tabellen_EMD!$C$185:$N$193,MATCH($J100,tabellen_EMD!$C$185:$C$193,0),MATCH(BA$63,tabellen_EMD!$C$185:$N$185,0)),0)</f>
        <v>0</v>
      </c>
      <c r="BB100" s="115">
        <f>VLOOKUP($J100,energiedragers_EP_PEF,MATCH(_xlfn.CONCAT($C100," | PEF"),energiedragers_EP_PEF_titel,0),FALSE)</f>
        <v>2.56</v>
      </c>
      <c r="BC100" s="15"/>
      <c r="BD100" s="115">
        <f>IFERROR(VLOOKUP($J100,energiedragers_EP_omrekenen,MATCH($B100,energiedragers_EP_omrekenen_titel,0),FALSE),1)</f>
        <v>3.6</v>
      </c>
      <c r="BE100" s="47" t="str">
        <f>_xlfn.CONCAT(N100,"/",T100)</f>
        <v>MJ/kWh</v>
      </c>
      <c r="BF100" s="15"/>
      <c r="BG100" s="218">
        <f>IFERROR(INDEX(tabellen_EMD!$C$240:$Z$248,MATCH($J100,tabellen_EMD!$C$240:$C$248,0),MATCH($B100,tabellen_EMD!$C$240:$Z$240,0))*(F100&lt;&gt;"zomercomfort"),0)</f>
        <v>0.56499999999999995</v>
      </c>
      <c r="BH100" s="47" t="str">
        <f>"kg/"&amp;T100</f>
        <v>kg/kWh</v>
      </c>
      <c r="BI100" s="15"/>
    </row>
    <row r="101" spans="1:61" s="18" customFormat="1">
      <c r="B101" s="47" t="str">
        <f t="shared" si="25"/>
        <v>Enorm</v>
      </c>
      <c r="C101" s="47" t="str">
        <f t="shared" si="25"/>
        <v>NEN 7120</v>
      </c>
      <c r="D101" s="943"/>
      <c r="E101" s="14"/>
      <c r="F101" s="330" t="s">
        <v>1393</v>
      </c>
      <c r="G101" s="330"/>
      <c r="H101" s="330"/>
      <c r="I101" s="905"/>
      <c r="J101" s="965" t="s">
        <v>1391</v>
      </c>
      <c r="K101" s="965"/>
      <c r="L101" s="16"/>
      <c r="M101" s="950">
        <f>SUM(M99,M100)</f>
        <v>0</v>
      </c>
      <c r="N101" s="15" t="str">
        <f t="shared" si="28"/>
        <v>MJ</v>
      </c>
      <c r="O101" s="899"/>
      <c r="P101" s="39"/>
      <c r="Q101" s="984"/>
      <c r="R101" s="15"/>
      <c r="S101" s="15"/>
      <c r="T101" s="15"/>
      <c r="U101" s="39"/>
      <c r="V101" s="15"/>
      <c r="W101" s="984"/>
      <c r="X101" s="15"/>
      <c r="Y101" s="39"/>
      <c r="Z101" s="950">
        <f>SUM(Z99,Z100)</f>
        <v>0</v>
      </c>
      <c r="AA101" s="15" t="s">
        <v>468</v>
      </c>
      <c r="AB101" s="67"/>
      <c r="AC101" s="995"/>
      <c r="AD101" s="1405"/>
      <c r="AE101" s="1405"/>
      <c r="AF101" s="1405"/>
      <c r="AG101" s="1405"/>
      <c r="AH101" s="1405"/>
      <c r="AI101" s="1405"/>
      <c r="AJ101" s="1405"/>
      <c r="AK101" s="1405"/>
      <c r="AL101" s="1405"/>
      <c r="AM101" s="1405"/>
      <c r="AN101" s="1405"/>
      <c r="AO101" s="1405"/>
      <c r="AP101" s="1405"/>
      <c r="AQ101" s="1405"/>
      <c r="AR101" s="1405"/>
      <c r="AS101" s="67"/>
      <c r="AT101" s="995"/>
      <c r="AU101" s="12"/>
      <c r="AV101" s="22" t="str">
        <f t="shared" si="26"/>
        <v>afgenomen energie</v>
      </c>
      <c r="AW101" s="46" t="str">
        <f t="shared" si="27"/>
        <v>totaal</v>
      </c>
      <c r="AX101" s="24"/>
      <c r="AY101" s="12"/>
      <c r="AZ101" s="15"/>
      <c r="BA101" s="12"/>
      <c r="BB101" s="15"/>
      <c r="BC101" s="15"/>
      <c r="BD101" s="15"/>
      <c r="BE101" s="15"/>
      <c r="BF101" s="15"/>
      <c r="BG101" s="899"/>
      <c r="BH101" s="899"/>
      <c r="BI101" s="15"/>
    </row>
    <row r="102" spans="1:61">
      <c r="A102" s="18"/>
      <c r="B102" s="47" t="str">
        <f t="shared" si="25"/>
        <v>Enorm</v>
      </c>
      <c r="C102" s="47" t="str">
        <f t="shared" si="25"/>
        <v>NEN 7120</v>
      </c>
      <c r="D102" s="943"/>
      <c r="E102" s="14"/>
      <c r="F102" s="22" t="s">
        <v>1394</v>
      </c>
      <c r="G102" s="22"/>
      <c r="H102" s="22"/>
      <c r="I102" s="905"/>
      <c r="J102" s="1691" t="s">
        <v>1538</v>
      </c>
      <c r="K102" s="1698"/>
      <c r="L102" s="16"/>
      <c r="M102" s="25"/>
      <c r="N102" s="22" t="str">
        <f t="shared" si="28"/>
        <v>MJ</v>
      </c>
      <c r="O102" s="899"/>
      <c r="P102" s="39"/>
      <c r="Q102" s="59">
        <f>IFERROR(IF(AND(P102&lt;&gt;"",$BA102=1),P102,BB102),1)</f>
        <v>2</v>
      </c>
      <c r="R102" s="15"/>
      <c r="S102" s="24">
        <f>M102/Q102/BD102</f>
        <v>0</v>
      </c>
      <c r="T102" s="47" t="str">
        <f>IFERROR(INDEX(energiedragers_EP_eenheden,MATCH($J102,tabellen_EMD!$C$196:$C$204,0),MATCH($B102,energiedragers_EP_eenheden_titel,0)),"-")</f>
        <v>kWh</v>
      </c>
      <c r="U102" s="39"/>
      <c r="V102" s="15"/>
      <c r="W102" s="59">
        <f>IF(AND(V102&lt;&gt;"",$BA102=1),V102,BG102)</f>
        <v>0.56499999999999995</v>
      </c>
      <c r="X102" s="47" t="str">
        <f>BH102</f>
        <v>kg/kWh</v>
      </c>
      <c r="Y102" s="12"/>
      <c r="Z102" s="24">
        <f>S102*W102*ABS(AZ102)</f>
        <v>0</v>
      </c>
      <c r="AA102" s="47" t="s">
        <v>468</v>
      </c>
      <c r="AB102" s="67"/>
      <c r="AC102" s="995"/>
      <c r="AD102" s="1405"/>
      <c r="AE102" s="1405"/>
      <c r="AF102" s="1405"/>
      <c r="AG102" s="1405"/>
      <c r="AH102" s="1405"/>
      <c r="AI102" s="1405"/>
      <c r="AJ102" s="1405"/>
      <c r="AK102" s="1405"/>
      <c r="AL102" s="1405"/>
      <c r="AM102" s="1405"/>
      <c r="AN102" s="1405"/>
      <c r="AO102" s="1405"/>
      <c r="AP102" s="1405"/>
      <c r="AQ102" s="1405"/>
      <c r="AR102" s="1405"/>
      <c r="AS102" s="67"/>
      <c r="AT102" s="995"/>
      <c r="AU102" s="12"/>
      <c r="AV102" s="22" t="str">
        <f t="shared" si="26"/>
        <v>geëxporteerde energie</v>
      </c>
      <c r="AW102" s="46" t="str">
        <f t="shared" si="27"/>
        <v>elektriciteit geëxporteerd</v>
      </c>
      <c r="AX102" s="24"/>
      <c r="AY102" s="12"/>
      <c r="AZ102" s="115">
        <v>-1</v>
      </c>
      <c r="BA102" s="24">
        <f>IFERROR(INDEX(tabellen_EMD!$C$185:$N$193,MATCH($J102,tabellen_EMD!$C$185:$C$193,0),MATCH(BA$63,tabellen_EMD!$C$185:$N$185,0)),0)</f>
        <v>0</v>
      </c>
      <c r="BB102" s="115">
        <f>VLOOKUP($J102,energiedragers_EP_PEF,MATCH(_xlfn.CONCAT($C102," | PEF"),energiedragers_EP_PEF_titel,0),FALSE)</f>
        <v>2</v>
      </c>
      <c r="BC102" s="15"/>
      <c r="BD102" s="115">
        <f>IFERROR(VLOOKUP($J102,energiedragers_EP_omrekenen,MATCH($B102,energiedragers_EP_omrekenen_titel,0),FALSE),1)</f>
        <v>3.6</v>
      </c>
      <c r="BE102" s="47" t="str">
        <f>_xlfn.CONCAT(N102,"/",T102)</f>
        <v>MJ/kWh</v>
      </c>
      <c r="BF102" s="15"/>
      <c r="BG102" s="218">
        <f>IFERROR(INDEX(tabellen_EMD!$C$240:$Z$248,MATCH($J102,tabellen_EMD!$C$240:$C$248,0),MATCH($B102,tabellen_EMD!$C$240:$Z$240,0))*(F102&lt;&gt;"zomercomfort"),0)</f>
        <v>0.56499999999999995</v>
      </c>
      <c r="BH102" s="47" t="str">
        <f>"kg/"&amp;T102</f>
        <v>kg/kWh</v>
      </c>
      <c r="BI102" s="15"/>
    </row>
    <row r="103" spans="1:61">
      <c r="A103" s="18"/>
      <c r="B103" s="47" t="str">
        <f t="shared" ref="B103:C106" si="38">B102</f>
        <v>Enorm</v>
      </c>
      <c r="C103" s="47" t="str">
        <f t="shared" si="38"/>
        <v>NEN 7120</v>
      </c>
      <c r="D103" s="943"/>
      <c r="E103" s="14"/>
      <c r="F103" s="22" t="s">
        <v>1395</v>
      </c>
      <c r="G103" s="22"/>
      <c r="H103" s="22"/>
      <c r="I103" s="905"/>
      <c r="J103" s="1691" t="s">
        <v>466</v>
      </c>
      <c r="K103" s="1698"/>
      <c r="L103" s="16"/>
      <c r="M103" s="25"/>
      <c r="N103" s="22" t="str">
        <f t="shared" si="28"/>
        <v>MJ</v>
      </c>
      <c r="O103" s="899"/>
      <c r="P103" s="39"/>
      <c r="Q103" s="59">
        <f>IFERROR(IF(AND(P103&lt;&gt;"",$BA103=1),P103,BB103),1)</f>
        <v>2.56</v>
      </c>
      <c r="R103" s="15"/>
      <c r="S103" s="24">
        <f>M103/Q103/BD103</f>
        <v>0</v>
      </c>
      <c r="T103" s="47" t="str">
        <f>IFERROR(INDEX(energiedragers_EP_eenheden,MATCH($J103,tabellen_EMD!$C$196:$C$204,0),MATCH($B103,energiedragers_EP_eenheden_titel,0)),"-")</f>
        <v>kWh</v>
      </c>
      <c r="U103" s="39"/>
      <c r="V103" s="15"/>
      <c r="W103" s="59">
        <f>IF(AND(V103&lt;&gt;"",$BA103=1),V103,BG103)</f>
        <v>0.56499999999999995</v>
      </c>
      <c r="X103" s="47" t="str">
        <f>BH103</f>
        <v>kg/kWh</v>
      </c>
      <c r="Y103" s="12"/>
      <c r="Z103" s="24">
        <f>S103*W103*ABS(AZ103)</f>
        <v>0</v>
      </c>
      <c r="AA103" s="47" t="s">
        <v>468</v>
      </c>
      <c r="AB103" s="67"/>
      <c r="AC103" s="995"/>
      <c r="AD103" s="1405"/>
      <c r="AE103" s="1405"/>
      <c r="AF103" s="1405"/>
      <c r="AG103" s="1405"/>
      <c r="AH103" s="1405"/>
      <c r="AI103" s="1405"/>
      <c r="AJ103" s="1405"/>
      <c r="AK103" s="1405"/>
      <c r="AL103" s="1405"/>
      <c r="AM103" s="1405"/>
      <c r="AN103" s="1405"/>
      <c r="AO103" s="1405"/>
      <c r="AP103" s="1405"/>
      <c r="AQ103" s="1405"/>
      <c r="AR103" s="1405"/>
      <c r="AS103" s="67"/>
      <c r="AT103" s="995"/>
      <c r="AU103" s="12"/>
      <c r="AV103" s="22" t="str">
        <f t="shared" si="26"/>
        <v>elektriciteitsproductie niet-gebouwgebonden</v>
      </c>
      <c r="AW103" s="46" t="str">
        <f t="shared" si="27"/>
        <v>elektriciteit opgewekt</v>
      </c>
      <c r="AX103" s="24"/>
      <c r="AY103" s="12"/>
      <c r="AZ103" s="115">
        <v>-1</v>
      </c>
      <c r="BA103" s="24">
        <f>IFERROR(INDEX(tabellen_EMD!$C$185:$N$193,MATCH($J103,tabellen_EMD!$C$185:$C$193,0),MATCH(BA$63,tabellen_EMD!$C$185:$N$185,0)),0)</f>
        <v>0</v>
      </c>
      <c r="BB103" s="115">
        <f>VLOOKUP($J103,energiedragers_EP_PEF,MATCH(_xlfn.CONCAT($C103," | PEF"),energiedragers_EP_PEF_titel,0),FALSE)</f>
        <v>2.56</v>
      </c>
      <c r="BC103" s="15"/>
      <c r="BD103" s="115">
        <f>IFERROR(VLOOKUP($J103,energiedragers_EP_omrekenen,MATCH($B103,energiedragers_EP_omrekenen_titel,0),FALSE),1)</f>
        <v>3.6</v>
      </c>
      <c r="BE103" s="47" t="str">
        <f>_xlfn.CONCAT(N103,"/",T103)</f>
        <v>MJ/kWh</v>
      </c>
      <c r="BF103" s="15"/>
      <c r="BG103" s="218">
        <f>IFERROR(INDEX(tabellen_EMD!$C$240:$Z$248,MATCH($J103,tabellen_EMD!$C$240:$C$248,0),MATCH($B103,tabellen_EMD!$C$240:$Z$240,0))*(F103&lt;&gt;"zomercomfort"),0)</f>
        <v>0.56499999999999995</v>
      </c>
      <c r="BH103" s="47" t="str">
        <f>"kg/"&amp;T103</f>
        <v>kg/kWh</v>
      </c>
      <c r="BI103" s="15"/>
    </row>
    <row r="104" spans="1:61">
      <c r="A104" s="86"/>
      <c r="B104" s="47" t="str">
        <f t="shared" si="38"/>
        <v>Enorm</v>
      </c>
      <c r="C104" s="47" t="str">
        <f t="shared" si="38"/>
        <v>NEN 7120</v>
      </c>
      <c r="D104" s="943"/>
      <c r="E104" s="50"/>
      <c r="F104" s="15" t="s">
        <v>1480</v>
      </c>
      <c r="G104" s="15"/>
      <c r="H104" s="15"/>
      <c r="I104" s="905"/>
      <c r="J104" s="43" t="s">
        <v>1391</v>
      </c>
      <c r="K104" s="43"/>
      <c r="L104" s="16"/>
      <c r="M104" s="950">
        <f>SUM(M101,M102,M103)</f>
        <v>0</v>
      </c>
      <c r="N104" s="15" t="str">
        <f t="shared" si="28"/>
        <v>MJ</v>
      </c>
      <c r="O104" s="15"/>
      <c r="P104" s="15"/>
      <c r="Q104" s="15"/>
      <c r="R104" s="15"/>
      <c r="S104" s="39"/>
      <c r="T104" s="39"/>
      <c r="U104" s="39"/>
      <c r="V104" s="899"/>
      <c r="W104" s="39"/>
      <c r="X104" s="39"/>
      <c r="Y104" s="39"/>
      <c r="Z104" s="922">
        <f>SUM(Z101,Z102,Z103)</f>
        <v>0</v>
      </c>
      <c r="AA104" s="47" t="s">
        <v>468</v>
      </c>
      <c r="AB104" s="1393"/>
      <c r="AC104" s="1001"/>
      <c r="AD104" s="1405"/>
      <c r="AE104" s="1405"/>
      <c r="AF104" s="1405"/>
      <c r="AG104" s="1405"/>
      <c r="AH104" s="1405"/>
      <c r="AI104" s="1405"/>
      <c r="AJ104" s="1405"/>
      <c r="AK104" s="1405"/>
      <c r="AL104" s="1405"/>
      <c r="AM104" s="1405"/>
      <c r="AN104" s="1405"/>
      <c r="AO104" s="1405"/>
      <c r="AP104" s="1405"/>
      <c r="AQ104" s="1405"/>
      <c r="AR104" s="1405"/>
      <c r="AS104" s="1393"/>
      <c r="AT104" s="1001"/>
      <c r="AU104" s="12"/>
      <c r="AV104" s="22" t="str">
        <f t="shared" si="26"/>
        <v>Eptot</v>
      </c>
      <c r="AW104" s="46" t="str">
        <f t="shared" si="27"/>
        <v>totaal</v>
      </c>
      <c r="AX104" s="24"/>
      <c r="AY104" s="12"/>
      <c r="AZ104" s="15"/>
      <c r="BA104" s="12"/>
      <c r="BB104" s="15"/>
      <c r="BC104" s="15"/>
      <c r="BD104" s="15"/>
      <c r="BE104" s="15"/>
      <c r="BF104" s="15"/>
      <c r="BG104" s="899"/>
      <c r="BH104" s="899"/>
      <c r="BI104" s="15"/>
    </row>
    <row r="105" spans="1:61" s="49" customFormat="1">
      <c r="A105" s="139" t="s">
        <v>396</v>
      </c>
      <c r="B105" s="47" t="str">
        <f t="shared" si="38"/>
        <v>Enorm</v>
      </c>
      <c r="C105" s="47" t="str">
        <f t="shared" si="38"/>
        <v>NEN 7120</v>
      </c>
      <c r="D105" s="943"/>
      <c r="E105" s="50"/>
      <c r="F105" s="452" t="str">
        <f>IFERROR(IF($P$23=$B105,_xlfn.CONCAT("Bij 1.1 ingevuld: ",FIXED($J$35,2,FALSE)," ",$K$35),""),"invoer niet correct")</f>
        <v/>
      </c>
      <c r="G105" s="452"/>
      <c r="H105" s="452"/>
      <c r="I105" s="905"/>
      <c r="J105" s="909" t="str">
        <f>IFERROR(IF($P$23=$B105,IF(ABS((M105-$J$35)/$J$35)&gt;1%,"Afwijking &gt;1% met subthema 1.1",""),""),"invoer niet correct")</f>
        <v/>
      </c>
      <c r="K105" s="909"/>
      <c r="L105" s="910"/>
      <c r="M105" s="1339" t="str">
        <f>IFERROR(IF($P$23=$B105,M104/$J$59,""),"")</f>
        <v/>
      </c>
      <c r="N105" s="452" t="str">
        <f>IF($P$23=$B105,_xlfn.CONCAT(N104,"/m2"),"")</f>
        <v/>
      </c>
      <c r="O105" s="452"/>
      <c r="P105" s="39"/>
      <c r="Q105" s="39"/>
      <c r="R105" s="899"/>
      <c r="S105" s="899"/>
      <c r="T105" s="899"/>
      <c r="U105" s="39"/>
      <c r="V105" s="39"/>
      <c r="W105" s="910" t="str">
        <f>IFERROR(IF($P$23=$B105,_xlfn.CONCAT("Bij 1.1 ingevuld: ",FIXED($AG$40,1,FALSE)," ",$AH$40),""),"invoer niet correct")</f>
        <v/>
      </c>
      <c r="X105" s="909" t="str">
        <f>IFERROR(IF($P$23=$B105,IF(ABS((Z105-$AG$40)/$AG$40)&gt;1%,"afwijking &gt;1% met subthema 1.1",""),""),"invoer niet correct")</f>
        <v/>
      </c>
      <c r="Y105" s="12"/>
      <c r="Z105" s="951" t="str">
        <f>IFERROR(IF($P$23=$B105,Z104/$J$58,""),"")</f>
        <v/>
      </c>
      <c r="AA105" s="452" t="str">
        <f>IF($P$23=$B105,_xlfn.CONCAT(AA104,"/m2"),"")</f>
        <v/>
      </c>
      <c r="AB105" s="1393"/>
      <c r="AC105" s="1001"/>
      <c r="AD105" s="1405"/>
      <c r="AE105" s="1405"/>
      <c r="AF105" s="1405"/>
      <c r="AG105" s="1405"/>
      <c r="AH105" s="1405"/>
      <c r="AI105" s="1405"/>
      <c r="AJ105" s="1405"/>
      <c r="AK105" s="1405"/>
      <c r="AL105" s="1405"/>
      <c r="AM105" s="1405"/>
      <c r="AN105" s="1405"/>
      <c r="AO105" s="1405"/>
      <c r="AP105" s="1405"/>
      <c r="AQ105" s="1405"/>
      <c r="AR105" s="1405"/>
      <c r="AS105" s="1393"/>
      <c r="AT105" s="1001"/>
      <c r="AU105" s="12"/>
      <c r="AV105" s="452"/>
      <c r="AW105" s="452"/>
      <c r="AX105" s="452"/>
      <c r="AY105" s="452"/>
      <c r="AZ105" s="452"/>
      <c r="BA105" s="452"/>
      <c r="BB105" s="452"/>
      <c r="BC105" s="452"/>
      <c r="BD105" s="452"/>
      <c r="BE105" s="452"/>
      <c r="BF105" s="452"/>
      <c r="BG105" s="452"/>
      <c r="BH105" s="452"/>
      <c r="BI105" s="899"/>
    </row>
    <row r="106" spans="1:61" s="49" customFormat="1">
      <c r="B106" s="47" t="str">
        <f t="shared" si="38"/>
        <v>Enorm</v>
      </c>
      <c r="C106" s="47" t="str">
        <f t="shared" si="38"/>
        <v>NEN 7120</v>
      </c>
      <c r="D106" s="943"/>
      <c r="E106" s="50"/>
      <c r="F106" s="43"/>
      <c r="G106" s="43"/>
      <c r="H106" s="43"/>
      <c r="I106" s="905"/>
      <c r="J106" s="44"/>
      <c r="K106" s="44"/>
      <c r="L106" s="44"/>
      <c r="M106" s="44"/>
      <c r="N106" s="44"/>
      <c r="O106" s="44"/>
      <c r="P106" s="39"/>
      <c r="Q106" s="39"/>
      <c r="R106" s="39"/>
      <c r="S106" s="899"/>
      <c r="T106" s="899"/>
      <c r="U106" s="899"/>
      <c r="V106" s="899"/>
      <c r="W106" s="39"/>
      <c r="X106" s="39"/>
      <c r="Y106" s="39"/>
      <c r="Z106" s="899"/>
      <c r="AA106" s="899"/>
      <c r="AB106" s="1393"/>
      <c r="AC106" s="1001"/>
      <c r="AD106" s="1405"/>
      <c r="AE106" s="1405"/>
      <c r="AF106" s="1405"/>
      <c r="AG106" s="1405"/>
      <c r="AH106" s="1405"/>
      <c r="AI106" s="1405"/>
      <c r="AJ106" s="1405"/>
      <c r="AK106" s="1405"/>
      <c r="AL106" s="1405"/>
      <c r="AM106" s="1405"/>
      <c r="AN106" s="1405"/>
      <c r="AO106" s="1405"/>
      <c r="AP106" s="1405"/>
      <c r="AQ106" s="1405"/>
      <c r="AR106" s="1405"/>
      <c r="AS106" s="1393"/>
      <c r="AT106" s="1001"/>
      <c r="AU106" s="12"/>
      <c r="AV106" s="12"/>
      <c r="AW106" s="12"/>
      <c r="AX106" s="12"/>
      <c r="AY106" s="12"/>
      <c r="AZ106" s="44"/>
      <c r="BA106" s="12"/>
      <c r="BB106" s="44"/>
      <c r="BC106" s="899"/>
      <c r="BD106" s="899"/>
      <c r="BE106" s="899"/>
      <c r="BF106" s="899"/>
      <c r="BG106" s="899"/>
      <c r="BH106" s="899"/>
      <c r="BI106" s="899"/>
    </row>
    <row r="107" spans="1:61">
      <c r="A107" s="139" t="s">
        <v>396</v>
      </c>
      <c r="B107" s="939" t="str">
        <f>tabellen_EMD!$C$176</f>
        <v>Uniec 2 per functie</v>
      </c>
      <c r="C107" s="939" t="str">
        <f>VLOOKUP(B107,'NEN 7120 naar GPR4'!$AV$40:$AY$48,COLUMNS($AV$40:$AX$40),FALSE)</f>
        <v>NEN 7120</v>
      </c>
      <c r="D107" s="943"/>
      <c r="E107" s="14"/>
      <c r="F107" s="15" t="str">
        <f>_xlfn.CONCAT("Overnemen uit '",B107,"': ",VLOOKUP(B107,$AV$41:$AZ$48,COLUMNS($AV$40:$AZ$40),FALSE))</f>
        <v>Overnemen uit 'Uniec 2 per functie': Jaarlijkse hoeveelheid primaire energie voor de energiefunctie</v>
      </c>
      <c r="G107" s="15"/>
      <c r="H107" s="15"/>
      <c r="I107" s="905"/>
      <c r="J107" s="41"/>
      <c r="K107" s="41"/>
      <c r="L107" s="12"/>
      <c r="M107" s="909" t="s">
        <v>1485</v>
      </c>
      <c r="N107" s="41"/>
      <c r="O107" s="41"/>
      <c r="P107" s="453" t="s">
        <v>1487</v>
      </c>
      <c r="Q107" s="39"/>
      <c r="R107" s="39"/>
      <c r="S107" s="453" t="s">
        <v>1484</v>
      </c>
      <c r="T107" s="39"/>
      <c r="U107" s="39"/>
      <c r="V107" s="453" t="s">
        <v>1613</v>
      </c>
      <c r="W107" s="39"/>
      <c r="X107" s="39"/>
      <c r="Y107" s="12"/>
      <c r="Z107" s="453" t="s">
        <v>1536</v>
      </c>
      <c r="AA107" s="12"/>
      <c r="AB107" s="67"/>
      <c r="AC107" s="995"/>
      <c r="AD107" s="1405"/>
      <c r="AE107" s="1405"/>
      <c r="AF107" s="1405"/>
      <c r="AG107" s="1405"/>
      <c r="AH107" s="1405"/>
      <c r="AI107" s="1405"/>
      <c r="AJ107" s="1405"/>
      <c r="AK107" s="1405"/>
      <c r="AL107" s="1405"/>
      <c r="AM107" s="1405"/>
      <c r="AN107" s="1405"/>
      <c r="AO107" s="1405"/>
      <c r="AP107" s="1405"/>
      <c r="AQ107" s="1405"/>
      <c r="AR107" s="1405"/>
      <c r="AS107" s="67"/>
      <c r="AT107" s="995"/>
      <c r="AU107" s="12"/>
      <c r="AV107" s="12"/>
      <c r="AW107" s="12"/>
      <c r="AX107" s="12"/>
      <c r="AY107" s="12"/>
      <c r="AZ107" s="888" t="str">
        <f>AZ$63</f>
        <v>Eenheid energie</v>
      </c>
      <c r="BA107" s="888" t="s">
        <v>1628</v>
      </c>
      <c r="BB107" s="888" t="str">
        <f>BB$63</f>
        <v>PEF finaal → primair</v>
      </c>
      <c r="BC107" s="452"/>
      <c r="BD107" s="452" t="str">
        <f>BD$63</f>
        <v>eenheden omrekenen</v>
      </c>
      <c r="BE107" s="452"/>
      <c r="BF107" s="452"/>
      <c r="BG107" s="888" t="str">
        <f>BG$63</f>
        <v>CO2</v>
      </c>
      <c r="BH107" s="39"/>
      <c r="BI107" s="39"/>
    </row>
    <row r="108" spans="1:61">
      <c r="A108" s="86"/>
      <c r="B108" s="47" t="str">
        <f t="shared" ref="B108:C123" si="39">B107</f>
        <v>Uniec 2 per functie</v>
      </c>
      <c r="C108" s="47" t="str">
        <f t="shared" si="39"/>
        <v>NEN 7120</v>
      </c>
      <c r="D108" s="943"/>
      <c r="E108" s="14"/>
      <c r="F108" s="892" t="s">
        <v>496</v>
      </c>
      <c r="G108" s="892"/>
      <c r="H108" s="892"/>
      <c r="I108" s="905"/>
      <c r="J108" s="909" t="s">
        <v>458</v>
      </c>
      <c r="K108" s="909"/>
      <c r="L108" s="889"/>
      <c r="M108" s="910" t="s">
        <v>1534</v>
      </c>
      <c r="N108" s="452" t="s">
        <v>204</v>
      </c>
      <c r="O108" s="39"/>
      <c r="P108" s="888" t="s">
        <v>1533</v>
      </c>
      <c r="Q108" s="910" t="s">
        <v>1532</v>
      </c>
      <c r="R108" s="452"/>
      <c r="S108" s="888" t="s">
        <v>1534</v>
      </c>
      <c r="T108" s="889" t="s">
        <v>204</v>
      </c>
      <c r="U108" s="39"/>
      <c r="V108" s="888" t="s">
        <v>1533</v>
      </c>
      <c r="W108" s="910" t="s">
        <v>1532</v>
      </c>
      <c r="X108" s="889" t="s">
        <v>204</v>
      </c>
      <c r="Y108" s="12"/>
      <c r="Z108" s="888" t="s">
        <v>1534</v>
      </c>
      <c r="AA108" s="889" t="s">
        <v>204</v>
      </c>
      <c r="AB108" s="67"/>
      <c r="AC108" s="995"/>
      <c r="AD108" s="1405"/>
      <c r="AE108" s="1405"/>
      <c r="AF108" s="1405"/>
      <c r="AG108" s="1405"/>
      <c r="AH108" s="1405"/>
      <c r="AI108" s="1405"/>
      <c r="AJ108" s="1405"/>
      <c r="AK108" s="1405"/>
      <c r="AL108" s="1405"/>
      <c r="AM108" s="1405"/>
      <c r="AN108" s="1405"/>
      <c r="AO108" s="1405"/>
      <c r="AP108" s="1405"/>
      <c r="AQ108" s="1405"/>
      <c r="AR108" s="1405"/>
      <c r="AS108" s="67"/>
      <c r="AT108" s="995"/>
      <c r="AU108" s="12"/>
      <c r="AV108" s="892" t="str">
        <f t="shared" ref="AV108:AV121" si="40">F108</f>
        <v>energiefunctie</v>
      </c>
      <c r="AW108" s="452" t="str">
        <f t="shared" ref="AW108:AW121" si="41">J108</f>
        <v>energiedrager</v>
      </c>
      <c r="AX108" s="910"/>
      <c r="AY108" s="12"/>
      <c r="AZ108" s="888" t="str">
        <f>AZ$64</f>
        <v>pos/neg</v>
      </c>
      <c r="BA108" s="888"/>
      <c r="BB108" s="888" t="str">
        <f>BB$64</f>
        <v>default</v>
      </c>
      <c r="BC108" s="452"/>
      <c r="BD108" s="452" t="str">
        <f>BD$64</f>
        <v>waarde</v>
      </c>
      <c r="BE108" s="452" t="str">
        <f>BE$64</f>
        <v>eenheden</v>
      </c>
      <c r="BF108" s="452"/>
      <c r="BG108" s="888" t="str">
        <f>BG$64</f>
        <v>default</v>
      </c>
      <c r="BH108" s="888" t="str">
        <f>BH$64</f>
        <v>eenheid</v>
      </c>
      <c r="BI108" s="452"/>
    </row>
    <row r="109" spans="1:61">
      <c r="A109" s="86"/>
      <c r="B109" s="47" t="str">
        <f t="shared" si="39"/>
        <v>Uniec 2 per functie</v>
      </c>
      <c r="C109" s="47" t="str">
        <f t="shared" si="39"/>
        <v>NEN 7120</v>
      </c>
      <c r="D109" s="943"/>
      <c r="E109" s="14"/>
      <c r="F109" s="22" t="s">
        <v>1506</v>
      </c>
      <c r="G109" s="22"/>
      <c r="H109" s="22"/>
      <c r="I109" s="905"/>
      <c r="J109" s="1685"/>
      <c r="K109" s="1685"/>
      <c r="L109" s="16"/>
      <c r="M109" s="25"/>
      <c r="N109" s="22" t="str">
        <f t="shared" ref="N109:N121" si="42">INDEX(EP_methode_eenheid,1,MATCH($C109,EP_methode,0))</f>
        <v>MJ</v>
      </c>
      <c r="O109" s="213" t="s">
        <v>396</v>
      </c>
      <c r="P109" s="1326"/>
      <c r="Q109" s="59">
        <f t="shared" ref="Q109:Q120" si="43">IFERROR(IF(AND(P109&lt;&gt;"",$BA109=1),P109,BB109),1)</f>
        <v>1</v>
      </c>
      <c r="R109" s="15"/>
      <c r="S109" s="24">
        <f t="shared" ref="S109:S120" si="44">M109/Q109/BD109</f>
        <v>0</v>
      </c>
      <c r="T109" s="47" t="str">
        <f>IFERROR(INDEX(energiedragers_EP_eenheden,MATCH($J109,tabellen_EMD!$C$196:$C$204,0),MATCH($B109,energiedragers_EP_eenheden_titel,0)),"-")</f>
        <v>-</v>
      </c>
      <c r="U109" s="39"/>
      <c r="V109" s="1326"/>
      <c r="W109" s="59">
        <f t="shared" ref="W109:W120" si="45">IF(AND(V109&lt;&gt;"",$BA109=1),V109,BG109)</f>
        <v>0</v>
      </c>
      <c r="X109" s="47" t="str">
        <f t="shared" ref="X109:X120" si="46">BH109</f>
        <v>kg/-</v>
      </c>
      <c r="Y109" s="12"/>
      <c r="Z109" s="24">
        <f t="shared" ref="Z109:Z120" si="47">S109*W109*ABS(AZ109)</f>
        <v>0</v>
      </c>
      <c r="AA109" s="47" t="s">
        <v>468</v>
      </c>
      <c r="AB109" s="67"/>
      <c r="AC109" s="995"/>
      <c r="AD109" s="1405"/>
      <c r="AE109" s="1405"/>
      <c r="AF109" s="1405"/>
      <c r="AG109" s="1405"/>
      <c r="AH109" s="1405"/>
      <c r="AI109" s="1405"/>
      <c r="AJ109" s="1405"/>
      <c r="AK109" s="1405"/>
      <c r="AL109" s="1405"/>
      <c r="AM109" s="1405"/>
      <c r="AN109" s="1405"/>
      <c r="AO109" s="1405"/>
      <c r="AP109" s="1405"/>
      <c r="AQ109" s="1405"/>
      <c r="AR109" s="1405"/>
      <c r="AS109" s="67"/>
      <c r="AT109" s="995"/>
      <c r="AU109" s="12"/>
      <c r="AV109" s="22" t="str">
        <f t="shared" si="40"/>
        <v>verwarming (excl. hulpenergie)</v>
      </c>
      <c r="AW109" s="46">
        <f t="shared" si="41"/>
        <v>0</v>
      </c>
      <c r="AX109" s="115"/>
      <c r="AY109" s="12"/>
      <c r="AZ109" s="115">
        <v>1</v>
      </c>
      <c r="BA109" s="24">
        <f>IFERROR(INDEX(tabellen_EMD!$C$185:$N$193,MATCH($J109,tabellen_EMD!$C$185:$C$193,0),MATCH(BA$63,tabellen_EMD!$C$185:$N$185,0)),0)</f>
        <v>0</v>
      </c>
      <c r="BB109" s="115" t="e">
        <f t="shared" ref="BB109:BB120" si="48">VLOOKUP($J109,energiedragers_EP_PEF,MATCH(_xlfn.CONCAT($C109," | PEF"),energiedragers_EP_PEF_titel,0),FALSE)</f>
        <v>#N/A</v>
      </c>
      <c r="BC109" s="15"/>
      <c r="BD109" s="115">
        <f t="shared" ref="BD109:BD120" si="49">IFERROR(VLOOKUP($J109,energiedragers_EP_omrekenen,MATCH($B109,energiedragers_EP_omrekenen_titel,0),FALSE),1)</f>
        <v>1</v>
      </c>
      <c r="BE109" s="47" t="str">
        <f t="shared" ref="BE109:BE120" si="50">_xlfn.CONCAT(N109,"/",T109)</f>
        <v>MJ/-</v>
      </c>
      <c r="BF109" s="15"/>
      <c r="BG109" s="218">
        <f>IFERROR(INDEX(tabellen_EMD!$C$240:$Z$248,MATCH($J109,tabellen_EMD!$C$240:$C$248,0),MATCH($B109,tabellen_EMD!$C$240:$Z$240,0))*(F109&lt;&gt;"zomercomfort"),0)</f>
        <v>0</v>
      </c>
      <c r="BH109" s="47" t="str">
        <f t="shared" ref="BH109:BH120" si="51">"kg/"&amp;T109</f>
        <v>kg/-</v>
      </c>
      <c r="BI109" s="15"/>
    </row>
    <row r="110" spans="1:61">
      <c r="A110" s="86"/>
      <c r="B110" s="47" t="str">
        <f t="shared" si="39"/>
        <v>Uniec 2 per functie</v>
      </c>
      <c r="C110" s="47" t="str">
        <f t="shared" si="39"/>
        <v>NEN 7120</v>
      </c>
      <c r="D110" s="943"/>
      <c r="E110" s="14"/>
      <c r="F110" s="209" t="s">
        <v>1502</v>
      </c>
      <c r="G110" s="209"/>
      <c r="H110" s="209"/>
      <c r="I110" s="905"/>
      <c r="J110" s="1691" t="s">
        <v>465</v>
      </c>
      <c r="K110" s="1698"/>
      <c r="L110" s="16"/>
      <c r="M110" s="25"/>
      <c r="N110" s="22" t="str">
        <f t="shared" si="42"/>
        <v>MJ</v>
      </c>
      <c r="O110" s="15"/>
      <c r="P110" s="39"/>
      <c r="Q110" s="59">
        <f t="shared" si="43"/>
        <v>2.56</v>
      </c>
      <c r="R110" s="15"/>
      <c r="S110" s="24">
        <f t="shared" si="44"/>
        <v>0</v>
      </c>
      <c r="T110" s="47" t="str">
        <f>IFERROR(INDEX(energiedragers_EP_eenheden,MATCH($J110,tabellen_EMD!$C$196:$C$204,0),MATCH($B110,energiedragers_EP_eenheden_titel,0)),"-")</f>
        <v>kWh</v>
      </c>
      <c r="U110" s="39"/>
      <c r="V110" s="15"/>
      <c r="W110" s="59">
        <f t="shared" si="45"/>
        <v>0.56499999999999995</v>
      </c>
      <c r="X110" s="47" t="str">
        <f t="shared" si="46"/>
        <v>kg/kWh</v>
      </c>
      <c r="Y110" s="12"/>
      <c r="Z110" s="24">
        <f t="shared" si="47"/>
        <v>0</v>
      </c>
      <c r="AA110" s="47" t="s">
        <v>468</v>
      </c>
      <c r="AB110" s="67"/>
      <c r="AC110" s="995"/>
      <c r="AD110" s="1405"/>
      <c r="AE110" s="1405"/>
      <c r="AF110" s="1405"/>
      <c r="AG110" s="1405"/>
      <c r="AH110" s="1405"/>
      <c r="AI110" s="1405"/>
      <c r="AJ110" s="1405"/>
      <c r="AK110" s="1405"/>
      <c r="AL110" s="1405"/>
      <c r="AM110" s="1405"/>
      <c r="AN110" s="1405"/>
      <c r="AO110" s="1405"/>
      <c r="AP110" s="1405"/>
      <c r="AQ110" s="1405"/>
      <c r="AR110" s="1405"/>
      <c r="AS110" s="67"/>
      <c r="AT110" s="995"/>
      <c r="AU110" s="12"/>
      <c r="AV110" s="22" t="str">
        <f t="shared" si="40"/>
        <v>hulpenergie</v>
      </c>
      <c r="AW110" s="46" t="str">
        <f t="shared" si="41"/>
        <v>elektriciteit</v>
      </c>
      <c r="AX110" s="115"/>
      <c r="AY110" s="12"/>
      <c r="AZ110" s="115">
        <v>1</v>
      </c>
      <c r="BA110" s="24">
        <f>IFERROR(INDEX(tabellen_EMD!$C$185:$N$193,MATCH($J110,tabellen_EMD!$C$185:$C$193,0),MATCH(BA$63,tabellen_EMD!$C$185:$N$185,0)),0)</f>
        <v>0</v>
      </c>
      <c r="BB110" s="115">
        <f t="shared" si="48"/>
        <v>2.56</v>
      </c>
      <c r="BC110" s="15"/>
      <c r="BD110" s="115">
        <f t="shared" si="49"/>
        <v>3.6</v>
      </c>
      <c r="BE110" s="47" t="str">
        <f t="shared" si="50"/>
        <v>MJ/kWh</v>
      </c>
      <c r="BF110" s="15"/>
      <c r="BG110" s="218">
        <f>IFERROR(INDEX(tabellen_EMD!$C$240:$Z$248,MATCH($J110,tabellen_EMD!$C$240:$C$248,0),MATCH($B110,tabellen_EMD!$C$240:$Z$240,0))*(F110&lt;&gt;"zomercomfort"),0)</f>
        <v>0.56499999999999995</v>
      </c>
      <c r="BH110" s="47" t="str">
        <f t="shared" si="51"/>
        <v>kg/kWh</v>
      </c>
      <c r="BI110" s="15"/>
    </row>
    <row r="111" spans="1:61">
      <c r="A111" s="86"/>
      <c r="B111" s="47" t="str">
        <f t="shared" si="39"/>
        <v>Uniec 2 per functie</v>
      </c>
      <c r="C111" s="47" t="str">
        <f t="shared" si="39"/>
        <v>NEN 7120</v>
      </c>
      <c r="D111" s="943"/>
      <c r="E111" s="14"/>
      <c r="F111" s="22" t="s">
        <v>1507</v>
      </c>
      <c r="G111" s="22"/>
      <c r="H111" s="22"/>
      <c r="I111" s="905"/>
      <c r="J111" s="1685"/>
      <c r="K111" s="1685"/>
      <c r="L111" s="16"/>
      <c r="M111" s="25"/>
      <c r="N111" s="22" t="str">
        <f t="shared" si="42"/>
        <v>MJ</v>
      </c>
      <c r="O111" s="15"/>
      <c r="P111" s="154"/>
      <c r="Q111" s="59">
        <f t="shared" si="43"/>
        <v>1</v>
      </c>
      <c r="R111" s="15"/>
      <c r="S111" s="24">
        <f t="shared" si="44"/>
        <v>0</v>
      </c>
      <c r="T111" s="47" t="str">
        <f>IFERROR(INDEX(energiedragers_EP_eenheden,MATCH($J111,tabellen_EMD!$C$196:$C$204,0),MATCH($B111,energiedragers_EP_eenheden_titel,0)),"-")</f>
        <v>-</v>
      </c>
      <c r="U111" s="39"/>
      <c r="V111" s="1326"/>
      <c r="W111" s="59">
        <f t="shared" si="45"/>
        <v>0</v>
      </c>
      <c r="X111" s="47" t="str">
        <f t="shared" si="46"/>
        <v>kg/-</v>
      </c>
      <c r="Y111" s="12"/>
      <c r="Z111" s="24">
        <f t="shared" si="47"/>
        <v>0</v>
      </c>
      <c r="AA111" s="47" t="s">
        <v>468</v>
      </c>
      <c r="AB111" s="67"/>
      <c r="AC111" s="995"/>
      <c r="AD111" s="1405"/>
      <c r="AE111" s="1405"/>
      <c r="AF111" s="1405"/>
      <c r="AG111" s="1405"/>
      <c r="AH111" s="1405"/>
      <c r="AI111" s="1405"/>
      <c r="AJ111" s="1405"/>
      <c r="AK111" s="1405"/>
      <c r="AL111" s="1405"/>
      <c r="AM111" s="1405"/>
      <c r="AN111" s="1405"/>
      <c r="AO111" s="1405"/>
      <c r="AP111" s="1405"/>
      <c r="AQ111" s="1405"/>
      <c r="AR111" s="1405"/>
      <c r="AS111" s="67"/>
      <c r="AT111" s="995"/>
      <c r="AU111" s="12"/>
      <c r="AV111" s="22" t="str">
        <f t="shared" si="40"/>
        <v>warm tapwater (excl. hulpenergie)</v>
      </c>
      <c r="AW111" s="46">
        <f t="shared" si="41"/>
        <v>0</v>
      </c>
      <c r="AX111" s="115"/>
      <c r="AY111" s="12"/>
      <c r="AZ111" s="115">
        <v>1</v>
      </c>
      <c r="BA111" s="24">
        <f>IFERROR(INDEX(tabellen_EMD!$C$185:$N$193,MATCH($J111,tabellen_EMD!$C$185:$C$193,0),MATCH(BA$63,tabellen_EMD!$C$185:$N$185,0)),0)</f>
        <v>0</v>
      </c>
      <c r="BB111" s="115" t="e">
        <f t="shared" si="48"/>
        <v>#N/A</v>
      </c>
      <c r="BC111" s="15"/>
      <c r="BD111" s="115">
        <f t="shared" si="49"/>
        <v>1</v>
      </c>
      <c r="BE111" s="47" t="str">
        <f t="shared" si="50"/>
        <v>MJ/-</v>
      </c>
      <c r="BF111" s="15"/>
      <c r="BG111" s="218">
        <f>IFERROR(INDEX(tabellen_EMD!$C$240:$Z$248,MATCH($J111,tabellen_EMD!$C$240:$C$248,0),MATCH($B111,tabellen_EMD!$C$240:$Z$240,0))*(F111&lt;&gt;"zomercomfort"),0)</f>
        <v>0</v>
      </c>
      <c r="BH111" s="47" t="str">
        <f t="shared" si="51"/>
        <v>kg/-</v>
      </c>
      <c r="BI111" s="15"/>
    </row>
    <row r="112" spans="1:61">
      <c r="A112" s="86"/>
      <c r="B112" s="47" t="str">
        <f t="shared" si="39"/>
        <v>Uniec 2 per functie</v>
      </c>
      <c r="C112" s="47" t="str">
        <f t="shared" si="39"/>
        <v>NEN 7120</v>
      </c>
      <c r="D112" s="943"/>
      <c r="E112" s="14"/>
      <c r="F112" s="209" t="s">
        <v>1502</v>
      </c>
      <c r="G112" s="209"/>
      <c r="H112" s="209"/>
      <c r="I112" s="905"/>
      <c r="J112" s="1691" t="s">
        <v>465</v>
      </c>
      <c r="K112" s="1698"/>
      <c r="L112" s="16"/>
      <c r="M112" s="25"/>
      <c r="N112" s="22" t="str">
        <f t="shared" si="42"/>
        <v>MJ</v>
      </c>
      <c r="O112" s="15"/>
      <c r="P112" s="39"/>
      <c r="Q112" s="59">
        <f t="shared" si="43"/>
        <v>2.56</v>
      </c>
      <c r="R112" s="15"/>
      <c r="S112" s="24">
        <f t="shared" si="44"/>
        <v>0</v>
      </c>
      <c r="T112" s="47" t="str">
        <f>IFERROR(INDEX(energiedragers_EP_eenheden,MATCH($J112,tabellen_EMD!$C$196:$C$204,0),MATCH($B112,energiedragers_EP_eenheden_titel,0)),"-")</f>
        <v>kWh</v>
      </c>
      <c r="U112" s="39"/>
      <c r="V112" s="15"/>
      <c r="W112" s="59">
        <f t="shared" si="45"/>
        <v>0.56499999999999995</v>
      </c>
      <c r="X112" s="47" t="str">
        <f t="shared" si="46"/>
        <v>kg/kWh</v>
      </c>
      <c r="Y112" s="12"/>
      <c r="Z112" s="24">
        <f t="shared" si="47"/>
        <v>0</v>
      </c>
      <c r="AA112" s="47" t="s">
        <v>468</v>
      </c>
      <c r="AB112" s="67"/>
      <c r="AC112" s="995"/>
      <c r="AD112" s="1405"/>
      <c r="AE112" s="1405"/>
      <c r="AF112" s="1405"/>
      <c r="AG112" s="1405"/>
      <c r="AH112" s="1405"/>
      <c r="AI112" s="1405"/>
      <c r="AJ112" s="1405"/>
      <c r="AK112" s="1405"/>
      <c r="AL112" s="1405"/>
      <c r="AM112" s="1405"/>
      <c r="AN112" s="1405"/>
      <c r="AO112" s="1405"/>
      <c r="AP112" s="1405"/>
      <c r="AQ112" s="1405"/>
      <c r="AR112" s="1405"/>
      <c r="AS112" s="67"/>
      <c r="AT112" s="995"/>
      <c r="AU112" s="12"/>
      <c r="AV112" s="22" t="str">
        <f t="shared" si="40"/>
        <v>hulpenergie</v>
      </c>
      <c r="AW112" s="46" t="str">
        <f t="shared" si="41"/>
        <v>elektriciteit</v>
      </c>
      <c r="AX112" s="115"/>
      <c r="AY112" s="12"/>
      <c r="AZ112" s="115">
        <v>1</v>
      </c>
      <c r="BA112" s="24">
        <f>IFERROR(INDEX(tabellen_EMD!$C$185:$N$193,MATCH($J112,tabellen_EMD!$C$185:$C$193,0),MATCH(BA$63,tabellen_EMD!$C$185:$N$185,0)),0)</f>
        <v>0</v>
      </c>
      <c r="BB112" s="115">
        <f t="shared" si="48"/>
        <v>2.56</v>
      </c>
      <c r="BC112" s="15"/>
      <c r="BD112" s="115">
        <f t="shared" si="49"/>
        <v>3.6</v>
      </c>
      <c r="BE112" s="47" t="str">
        <f t="shared" si="50"/>
        <v>MJ/kWh</v>
      </c>
      <c r="BF112" s="15"/>
      <c r="BG112" s="218">
        <f>IFERROR(INDEX(tabellen_EMD!$C$240:$Z$248,MATCH($J112,tabellen_EMD!$C$240:$C$248,0),MATCH($B112,tabellen_EMD!$C$240:$Z$240,0))*(F112&lt;&gt;"zomercomfort"),0)</f>
        <v>0.56499999999999995</v>
      </c>
      <c r="BH112" s="47" t="str">
        <f t="shared" si="51"/>
        <v>kg/kWh</v>
      </c>
      <c r="BI112" s="15"/>
    </row>
    <row r="113" spans="1:61">
      <c r="A113" s="86"/>
      <c r="B113" s="47" t="str">
        <f t="shared" si="39"/>
        <v>Uniec 2 per functie</v>
      </c>
      <c r="C113" s="47" t="str">
        <f t="shared" si="39"/>
        <v>NEN 7120</v>
      </c>
      <c r="D113" s="943"/>
      <c r="E113" s="14"/>
      <c r="F113" s="22" t="s">
        <v>1508</v>
      </c>
      <c r="G113" s="22"/>
      <c r="H113" s="22"/>
      <c r="I113" s="905"/>
      <c r="J113" s="1685"/>
      <c r="K113" s="1685"/>
      <c r="L113" s="16"/>
      <c r="M113" s="25"/>
      <c r="N113" s="22" t="str">
        <f t="shared" si="42"/>
        <v>MJ</v>
      </c>
      <c r="O113" s="15"/>
      <c r="P113" s="1326"/>
      <c r="Q113" s="59">
        <f t="shared" si="43"/>
        <v>1</v>
      </c>
      <c r="R113" s="15"/>
      <c r="S113" s="59">
        <f t="shared" si="44"/>
        <v>0</v>
      </c>
      <c r="T113" s="47" t="str">
        <f>IFERROR(INDEX(energiedragers_EP_eenheden,MATCH($J113,tabellen_EMD!$C$196:$C$204,0),MATCH($B113,energiedragers_EP_eenheden_titel,0)),"-")</f>
        <v>-</v>
      </c>
      <c r="U113" s="39"/>
      <c r="V113" s="154"/>
      <c r="W113" s="59">
        <f t="shared" si="45"/>
        <v>0</v>
      </c>
      <c r="X113" s="47" t="str">
        <f t="shared" si="46"/>
        <v>kg/-</v>
      </c>
      <c r="Y113" s="12"/>
      <c r="Z113" s="24">
        <f t="shared" si="47"/>
        <v>0</v>
      </c>
      <c r="AA113" s="47" t="s">
        <v>468</v>
      </c>
      <c r="AB113" s="67"/>
      <c r="AC113" s="995"/>
      <c r="AD113" s="1405"/>
      <c r="AE113" s="1405"/>
      <c r="AF113" s="1405"/>
      <c r="AG113" s="1405"/>
      <c r="AH113" s="1405"/>
      <c r="AI113" s="1405"/>
      <c r="AJ113" s="1405"/>
      <c r="AK113" s="1405"/>
      <c r="AL113" s="1405"/>
      <c r="AM113" s="1405"/>
      <c r="AN113" s="1405"/>
      <c r="AO113" s="1405"/>
      <c r="AP113" s="1405"/>
      <c r="AQ113" s="1405"/>
      <c r="AR113" s="1405"/>
      <c r="AS113" s="67"/>
      <c r="AT113" s="995"/>
      <c r="AU113" s="12"/>
      <c r="AV113" s="22" t="str">
        <f t="shared" si="40"/>
        <v>koeling (excl. hulpenergie)</v>
      </c>
      <c r="AW113" s="46">
        <f t="shared" si="41"/>
        <v>0</v>
      </c>
      <c r="AX113" s="115"/>
      <c r="AY113" s="12"/>
      <c r="AZ113" s="115">
        <v>1</v>
      </c>
      <c r="BA113" s="24">
        <f>IFERROR(INDEX(tabellen_EMD!$C$185:$N$193,MATCH($J113,tabellen_EMD!$C$185:$C$193,0),MATCH(BA$63,tabellen_EMD!$C$185:$N$185,0)),0)</f>
        <v>0</v>
      </c>
      <c r="BB113" s="115" t="e">
        <f t="shared" si="48"/>
        <v>#N/A</v>
      </c>
      <c r="BC113" s="15"/>
      <c r="BD113" s="115">
        <f t="shared" si="49"/>
        <v>1</v>
      </c>
      <c r="BE113" s="47" t="str">
        <f t="shared" si="50"/>
        <v>MJ/-</v>
      </c>
      <c r="BF113" s="15"/>
      <c r="BG113" s="218">
        <f>IFERROR(INDEX(tabellen_EMD!$C$240:$Z$248,MATCH($J113,tabellen_EMD!$C$240:$C$248,0),MATCH($B113,tabellen_EMD!$C$240:$Z$240,0))*(F113&lt;&gt;"zomercomfort"),0)</f>
        <v>0</v>
      </c>
      <c r="BH113" s="47" t="str">
        <f t="shared" si="51"/>
        <v>kg/-</v>
      </c>
      <c r="BI113" s="15"/>
    </row>
    <row r="114" spans="1:61">
      <c r="A114" s="86"/>
      <c r="B114" s="47" t="str">
        <f t="shared" si="39"/>
        <v>Uniec 2 per functie</v>
      </c>
      <c r="C114" s="47" t="str">
        <f t="shared" si="39"/>
        <v>NEN 7120</v>
      </c>
      <c r="D114" s="943"/>
      <c r="E114" s="14"/>
      <c r="F114" s="209" t="s">
        <v>1502</v>
      </c>
      <c r="G114" s="209"/>
      <c r="H114" s="209"/>
      <c r="I114" s="905"/>
      <c r="J114" s="1691" t="s">
        <v>465</v>
      </c>
      <c r="K114" s="1698"/>
      <c r="L114" s="16"/>
      <c r="M114" s="25"/>
      <c r="N114" s="22" t="str">
        <f t="shared" si="42"/>
        <v>MJ</v>
      </c>
      <c r="O114" s="15"/>
      <c r="P114" s="39"/>
      <c r="Q114" s="59">
        <f t="shared" si="43"/>
        <v>2.56</v>
      </c>
      <c r="R114" s="15"/>
      <c r="S114" s="24">
        <f t="shared" si="44"/>
        <v>0</v>
      </c>
      <c r="T114" s="47" t="str">
        <f>IFERROR(INDEX(energiedragers_EP_eenheden,MATCH($J114,tabellen_EMD!$C$196:$C$204,0),MATCH($B114,energiedragers_EP_eenheden_titel,0)),"-")</f>
        <v>kWh</v>
      </c>
      <c r="U114" s="39"/>
      <c r="V114" s="15"/>
      <c r="W114" s="59">
        <f t="shared" si="45"/>
        <v>0.56499999999999995</v>
      </c>
      <c r="X114" s="47" t="str">
        <f t="shared" si="46"/>
        <v>kg/kWh</v>
      </c>
      <c r="Y114" s="12"/>
      <c r="Z114" s="24">
        <f t="shared" si="47"/>
        <v>0</v>
      </c>
      <c r="AA114" s="47" t="s">
        <v>468</v>
      </c>
      <c r="AB114" s="67"/>
      <c r="AC114" s="995"/>
      <c r="AD114" s="1405"/>
      <c r="AE114" s="1405"/>
      <c r="AF114" s="1405"/>
      <c r="AG114" s="1405"/>
      <c r="AH114" s="1405"/>
      <c r="AI114" s="1405"/>
      <c r="AJ114" s="1405"/>
      <c r="AK114" s="1405"/>
      <c r="AL114" s="1405"/>
      <c r="AM114" s="1405"/>
      <c r="AN114" s="1405"/>
      <c r="AO114" s="1405"/>
      <c r="AP114" s="1405"/>
      <c r="AQ114" s="1405"/>
      <c r="AR114" s="1405"/>
      <c r="AS114" s="67"/>
      <c r="AT114" s="995"/>
      <c r="AU114" s="12"/>
      <c r="AV114" s="22" t="str">
        <f t="shared" si="40"/>
        <v>hulpenergie</v>
      </c>
      <c r="AW114" s="46" t="str">
        <f t="shared" si="41"/>
        <v>elektriciteit</v>
      </c>
      <c r="AX114" s="115"/>
      <c r="AY114" s="12"/>
      <c r="AZ114" s="115">
        <v>1</v>
      </c>
      <c r="BA114" s="24">
        <f>IFERROR(INDEX(tabellen_EMD!$C$185:$N$193,MATCH($J114,tabellen_EMD!$C$185:$C$193,0),MATCH(BA$63,tabellen_EMD!$C$185:$N$185,0)),0)</f>
        <v>0</v>
      </c>
      <c r="BB114" s="115">
        <f t="shared" si="48"/>
        <v>2.56</v>
      </c>
      <c r="BC114" s="15"/>
      <c r="BD114" s="115">
        <f t="shared" si="49"/>
        <v>3.6</v>
      </c>
      <c r="BE114" s="47" t="str">
        <f t="shared" si="50"/>
        <v>MJ/kWh</v>
      </c>
      <c r="BF114" s="15"/>
      <c r="BG114" s="218">
        <f>IFERROR(INDEX(tabellen_EMD!$C$240:$Z$248,MATCH($J114,tabellen_EMD!$C$240:$C$248,0),MATCH($B114,tabellen_EMD!$C$240:$Z$240,0))*(F114&lt;&gt;"zomercomfort"),0)</f>
        <v>0.56499999999999995</v>
      </c>
      <c r="BH114" s="47" t="str">
        <f t="shared" si="51"/>
        <v>kg/kWh</v>
      </c>
      <c r="BI114" s="15"/>
    </row>
    <row r="115" spans="1:61">
      <c r="A115" s="18"/>
      <c r="B115" s="47" t="str">
        <f t="shared" si="39"/>
        <v>Uniec 2 per functie</v>
      </c>
      <c r="C115" s="47" t="str">
        <f t="shared" si="39"/>
        <v>NEN 7120</v>
      </c>
      <c r="D115" s="943"/>
      <c r="E115" s="14"/>
      <c r="F115" s="22" t="s">
        <v>1396</v>
      </c>
      <c r="G115" s="22"/>
      <c r="H115" s="22"/>
      <c r="I115" s="905"/>
      <c r="J115" s="1691" t="s">
        <v>465</v>
      </c>
      <c r="K115" s="1698"/>
      <c r="L115" s="16"/>
      <c r="M115" s="25"/>
      <c r="N115" s="22" t="str">
        <f t="shared" si="42"/>
        <v>MJ</v>
      </c>
      <c r="O115" s="15"/>
      <c r="P115" s="39"/>
      <c r="Q115" s="59">
        <f t="shared" si="43"/>
        <v>2.56</v>
      </c>
      <c r="R115" s="15"/>
      <c r="S115" s="24">
        <f t="shared" si="44"/>
        <v>0</v>
      </c>
      <c r="T115" s="47" t="str">
        <f>IFERROR(INDEX(energiedragers_EP_eenheden,MATCH($J115,tabellen_EMD!$C$196:$C$204,0),MATCH($B115,energiedragers_EP_eenheden_titel,0)),"-")</f>
        <v>kWh</v>
      </c>
      <c r="U115" s="39"/>
      <c r="V115" s="15"/>
      <c r="W115" s="59">
        <f t="shared" si="45"/>
        <v>0</v>
      </c>
      <c r="X115" s="47" t="str">
        <f t="shared" si="46"/>
        <v>kg/kWh</v>
      </c>
      <c r="Y115" s="12"/>
      <c r="Z115" s="24">
        <f t="shared" si="47"/>
        <v>0</v>
      </c>
      <c r="AA115" s="47" t="s">
        <v>468</v>
      </c>
      <c r="AB115" s="67"/>
      <c r="AC115" s="995"/>
      <c r="AD115" s="1405"/>
      <c r="AE115" s="1405"/>
      <c r="AF115" s="1405"/>
      <c r="AG115" s="1405"/>
      <c r="AH115" s="1405"/>
      <c r="AI115" s="1405"/>
      <c r="AJ115" s="1405"/>
      <c r="AK115" s="1405"/>
      <c r="AL115" s="1405"/>
      <c r="AM115" s="1405"/>
      <c r="AN115" s="1405"/>
      <c r="AO115" s="1405"/>
      <c r="AP115" s="1405"/>
      <c r="AQ115" s="1405"/>
      <c r="AR115" s="1405"/>
      <c r="AS115" s="67"/>
      <c r="AT115" s="995"/>
      <c r="AU115" s="12"/>
      <c r="AV115" s="22" t="str">
        <f t="shared" si="40"/>
        <v>zomercomfort</v>
      </c>
      <c r="AW115" s="46" t="str">
        <f t="shared" si="41"/>
        <v>elektriciteit</v>
      </c>
      <c r="AX115" s="115"/>
      <c r="AY115" s="12"/>
      <c r="AZ115" s="115">
        <v>1</v>
      </c>
      <c r="BA115" s="24">
        <f>IFERROR(INDEX(tabellen_EMD!$C$185:$N$193,MATCH($J115,tabellen_EMD!$C$185:$C$193,0),MATCH(BA$63,tabellen_EMD!$C$185:$N$185,0)),0)</f>
        <v>0</v>
      </c>
      <c r="BB115" s="115">
        <f t="shared" si="48"/>
        <v>2.56</v>
      </c>
      <c r="BC115" s="15"/>
      <c r="BD115" s="115">
        <f t="shared" si="49"/>
        <v>3.6</v>
      </c>
      <c r="BE115" s="47" t="str">
        <f t="shared" si="50"/>
        <v>MJ/kWh</v>
      </c>
      <c r="BF115" s="15"/>
      <c r="BG115" s="218">
        <f>IFERROR(INDEX(tabellen_EMD!$C$240:$Z$248,MATCH($J115,tabellen_EMD!$C$240:$C$248,0),MATCH($B115,tabellen_EMD!$C$240:$Z$240,0))*(F115&lt;&gt;"zomercomfort"),0)</f>
        <v>0</v>
      </c>
      <c r="BH115" s="47" t="str">
        <f t="shared" si="51"/>
        <v>kg/kWh</v>
      </c>
      <c r="BI115" s="15"/>
    </row>
    <row r="116" spans="1:61">
      <c r="A116" s="18"/>
      <c r="B116" s="47" t="str">
        <f t="shared" si="39"/>
        <v>Uniec 2 per functie</v>
      </c>
      <c r="C116" s="47" t="str">
        <f t="shared" si="39"/>
        <v>NEN 7120</v>
      </c>
      <c r="D116" s="943"/>
      <c r="E116" s="14"/>
      <c r="F116" s="22" t="s">
        <v>1375</v>
      </c>
      <c r="G116" s="22"/>
      <c r="H116" s="22"/>
      <c r="I116" s="905"/>
      <c r="J116" s="1691" t="s">
        <v>465</v>
      </c>
      <c r="K116" s="1698"/>
      <c r="L116" s="16"/>
      <c r="M116" s="25"/>
      <c r="N116" s="22" t="str">
        <f t="shared" si="42"/>
        <v>MJ</v>
      </c>
      <c r="O116" s="15"/>
      <c r="P116" s="39"/>
      <c r="Q116" s="59">
        <f t="shared" si="43"/>
        <v>2.56</v>
      </c>
      <c r="R116" s="15"/>
      <c r="S116" s="24">
        <f t="shared" si="44"/>
        <v>0</v>
      </c>
      <c r="T116" s="47" t="str">
        <f>IFERROR(INDEX(energiedragers_EP_eenheden,MATCH($J116,tabellen_EMD!$C$196:$C$204,0),MATCH($B116,energiedragers_EP_eenheden_titel,0)),"-")</f>
        <v>kWh</v>
      </c>
      <c r="U116" s="39"/>
      <c r="V116" s="15"/>
      <c r="W116" s="59">
        <f t="shared" si="45"/>
        <v>0.56499999999999995</v>
      </c>
      <c r="X116" s="47" t="str">
        <f t="shared" si="46"/>
        <v>kg/kWh</v>
      </c>
      <c r="Y116" s="12"/>
      <c r="Z116" s="24">
        <f t="shared" si="47"/>
        <v>0</v>
      </c>
      <c r="AA116" s="47" t="s">
        <v>468</v>
      </c>
      <c r="AB116" s="67"/>
      <c r="AC116" s="995"/>
      <c r="AD116" s="1405"/>
      <c r="AE116" s="1405"/>
      <c r="AF116" s="1405"/>
      <c r="AG116" s="1405"/>
      <c r="AH116" s="1405"/>
      <c r="AI116" s="1405"/>
      <c r="AJ116" s="1405"/>
      <c r="AK116" s="1405"/>
      <c r="AL116" s="1405"/>
      <c r="AM116" s="1405"/>
      <c r="AN116" s="1405"/>
      <c r="AO116" s="1405"/>
      <c r="AP116" s="1405"/>
      <c r="AQ116" s="1405"/>
      <c r="AR116" s="1405"/>
      <c r="AS116" s="67"/>
      <c r="AT116" s="995"/>
      <c r="AU116" s="12"/>
      <c r="AV116" s="22" t="str">
        <f t="shared" si="40"/>
        <v>ventilatoren</v>
      </c>
      <c r="AW116" s="46" t="str">
        <f t="shared" si="41"/>
        <v>elektriciteit</v>
      </c>
      <c r="AX116" s="115"/>
      <c r="AY116" s="12"/>
      <c r="AZ116" s="115">
        <v>1</v>
      </c>
      <c r="BA116" s="24">
        <f>IFERROR(INDEX(tabellen_EMD!$C$185:$N$193,MATCH($J116,tabellen_EMD!$C$185:$C$193,0),MATCH(BA$63,tabellen_EMD!$C$185:$N$185,0)),0)</f>
        <v>0</v>
      </c>
      <c r="BB116" s="115">
        <f t="shared" si="48"/>
        <v>2.56</v>
      </c>
      <c r="BC116" s="899"/>
      <c r="BD116" s="115">
        <f t="shared" si="49"/>
        <v>3.6</v>
      </c>
      <c r="BE116" s="47" t="str">
        <f t="shared" si="50"/>
        <v>MJ/kWh</v>
      </c>
      <c r="BF116" s="899"/>
      <c r="BG116" s="218">
        <f>IFERROR(INDEX(tabellen_EMD!$C$240:$Z$248,MATCH($J116,tabellen_EMD!$C$240:$C$248,0),MATCH($B116,tabellen_EMD!$C$240:$Z$240,0))*(F116&lt;&gt;"zomercomfort"),0)</f>
        <v>0.56499999999999995</v>
      </c>
      <c r="BH116" s="47" t="str">
        <f t="shared" si="51"/>
        <v>kg/kWh</v>
      </c>
      <c r="BI116" s="899"/>
    </row>
    <row r="117" spans="1:61" s="18" customFormat="1">
      <c r="A117" s="86"/>
      <c r="B117" s="47" t="str">
        <f t="shared" si="39"/>
        <v>Uniec 2 per functie</v>
      </c>
      <c r="C117" s="47" t="str">
        <f t="shared" si="39"/>
        <v>NEN 7120</v>
      </c>
      <c r="D117" s="943"/>
      <c r="E117" s="14"/>
      <c r="F117" s="22" t="s">
        <v>507</v>
      </c>
      <c r="G117" s="22"/>
      <c r="H117" s="22"/>
      <c r="I117" s="905"/>
      <c r="J117" s="1691" t="s">
        <v>465</v>
      </c>
      <c r="K117" s="1698"/>
      <c r="L117" s="16"/>
      <c r="M117" s="25"/>
      <c r="N117" s="22" t="str">
        <f t="shared" si="42"/>
        <v>MJ</v>
      </c>
      <c r="O117" s="15"/>
      <c r="P117" s="39"/>
      <c r="Q117" s="59">
        <f t="shared" si="43"/>
        <v>2.56</v>
      </c>
      <c r="R117" s="15"/>
      <c r="S117" s="24">
        <f t="shared" si="44"/>
        <v>0</v>
      </c>
      <c r="T117" s="47" t="str">
        <f>IFERROR(INDEX(energiedragers_EP_eenheden,MATCH($J117,tabellen_EMD!$C$196:$C$204,0),MATCH($B117,energiedragers_EP_eenheden_titel,0)),"-")</f>
        <v>kWh</v>
      </c>
      <c r="U117" s="39"/>
      <c r="V117" s="15"/>
      <c r="W117" s="59">
        <f t="shared" si="45"/>
        <v>0.56499999999999995</v>
      </c>
      <c r="X117" s="47" t="str">
        <f t="shared" si="46"/>
        <v>kg/kWh</v>
      </c>
      <c r="Y117" s="12"/>
      <c r="Z117" s="24">
        <f t="shared" si="47"/>
        <v>0</v>
      </c>
      <c r="AA117" s="47" t="s">
        <v>468</v>
      </c>
      <c r="AB117" s="67"/>
      <c r="AC117" s="995"/>
      <c r="AD117" s="1405"/>
      <c r="AE117" s="1405"/>
      <c r="AF117" s="1405"/>
      <c r="AG117" s="1405"/>
      <c r="AH117" s="1405"/>
      <c r="AI117" s="1405"/>
      <c r="AJ117" s="1405"/>
      <c r="AK117" s="1405"/>
      <c r="AL117" s="1405"/>
      <c r="AM117" s="1405"/>
      <c r="AN117" s="1405"/>
      <c r="AO117" s="1405"/>
      <c r="AP117" s="1405"/>
      <c r="AQ117" s="1405"/>
      <c r="AR117" s="1405"/>
      <c r="AS117" s="67"/>
      <c r="AT117" s="995"/>
      <c r="AU117" s="12"/>
      <c r="AV117" s="22" t="str">
        <f t="shared" si="40"/>
        <v>verlichting</v>
      </c>
      <c r="AW117" s="46" t="str">
        <f t="shared" si="41"/>
        <v>elektriciteit</v>
      </c>
      <c r="AX117" s="115"/>
      <c r="AY117" s="12"/>
      <c r="AZ117" s="115">
        <v>1</v>
      </c>
      <c r="BA117" s="24">
        <f>IFERROR(INDEX(tabellen_EMD!$C$185:$N$193,MATCH($J117,tabellen_EMD!$C$185:$C$193,0),MATCH(BA$63,tabellen_EMD!$C$185:$N$185,0)),0)</f>
        <v>0</v>
      </c>
      <c r="BB117" s="115">
        <f t="shared" si="48"/>
        <v>2.56</v>
      </c>
      <c r="BC117" s="899"/>
      <c r="BD117" s="115">
        <f t="shared" si="49"/>
        <v>3.6</v>
      </c>
      <c r="BE117" s="47" t="str">
        <f t="shared" si="50"/>
        <v>MJ/kWh</v>
      </c>
      <c r="BF117" s="899"/>
      <c r="BG117" s="218">
        <f>IFERROR(INDEX(tabellen_EMD!$C$240:$Z$248,MATCH($J117,tabellen_EMD!$C$240:$C$248,0),MATCH($B117,tabellen_EMD!$C$240:$Z$240,0))*(F117&lt;&gt;"zomercomfort"),0)</f>
        <v>0.56499999999999995</v>
      </c>
      <c r="BH117" s="47" t="str">
        <f t="shared" si="51"/>
        <v>kg/kWh</v>
      </c>
      <c r="BI117" s="899"/>
    </row>
    <row r="118" spans="1:61">
      <c r="A118" s="86"/>
      <c r="B118" s="47" t="str">
        <f t="shared" si="39"/>
        <v>Uniec 2 per functie</v>
      </c>
      <c r="C118" s="47" t="str">
        <f t="shared" si="39"/>
        <v>NEN 7120</v>
      </c>
      <c r="D118" s="943"/>
      <c r="E118" s="14"/>
      <c r="F118" s="22" t="s">
        <v>1503</v>
      </c>
      <c r="G118" s="22"/>
      <c r="H118" s="22"/>
      <c r="I118" s="905"/>
      <c r="J118" s="1691" t="s">
        <v>1538</v>
      </c>
      <c r="K118" s="1698"/>
      <c r="L118" s="16"/>
      <c r="M118" s="25"/>
      <c r="N118" s="22" t="str">
        <f t="shared" si="42"/>
        <v>MJ</v>
      </c>
      <c r="O118" s="15"/>
      <c r="P118" s="39"/>
      <c r="Q118" s="59">
        <f t="shared" si="43"/>
        <v>2</v>
      </c>
      <c r="R118" s="15"/>
      <c r="S118" s="24">
        <f t="shared" si="44"/>
        <v>0</v>
      </c>
      <c r="T118" s="47" t="str">
        <f>IFERROR(INDEX(energiedragers_EP_eenheden,MATCH($J118,tabellen_EMD!$C$196:$C$204,0),MATCH($B118,energiedragers_EP_eenheden_titel,0)),"-")</f>
        <v>kWh</v>
      </c>
      <c r="U118" s="39"/>
      <c r="V118" s="15"/>
      <c r="W118" s="59">
        <f t="shared" si="45"/>
        <v>0.56499999999999995</v>
      </c>
      <c r="X118" s="47" t="str">
        <f t="shared" si="46"/>
        <v>kg/kWh</v>
      </c>
      <c r="Y118" s="12"/>
      <c r="Z118" s="24">
        <f t="shared" si="47"/>
        <v>0</v>
      </c>
      <c r="AA118" s="47" t="s">
        <v>468</v>
      </c>
      <c r="AB118" s="67"/>
      <c r="AC118" s="995"/>
      <c r="AD118" s="1405"/>
      <c r="AE118" s="1405"/>
      <c r="AF118" s="1405"/>
      <c r="AG118" s="1405"/>
      <c r="AH118" s="1405"/>
      <c r="AI118" s="1405"/>
      <c r="AJ118" s="1405"/>
      <c r="AK118" s="1405"/>
      <c r="AL118" s="1405"/>
      <c r="AM118" s="1405"/>
      <c r="AN118" s="1405"/>
      <c r="AO118" s="1405"/>
      <c r="AP118" s="1405"/>
      <c r="AQ118" s="1405"/>
      <c r="AR118" s="1405"/>
      <c r="AS118" s="67"/>
      <c r="AT118" s="995"/>
      <c r="AU118" s="12"/>
      <c r="AV118" s="22" t="str">
        <f t="shared" si="40"/>
        <v>geëxporteerde elektriciteit</v>
      </c>
      <c r="AW118" s="46" t="str">
        <f t="shared" si="41"/>
        <v>elektriciteit geëxporteerd</v>
      </c>
      <c r="AX118" s="115"/>
      <c r="AY118" s="12"/>
      <c r="AZ118" s="115">
        <v>1</v>
      </c>
      <c r="BA118" s="24">
        <f>IFERROR(INDEX(tabellen_EMD!$C$185:$N$193,MATCH($J118,tabellen_EMD!$C$185:$C$193,0),MATCH(BA$63,tabellen_EMD!$C$185:$N$185,0)),0)</f>
        <v>0</v>
      </c>
      <c r="BB118" s="115">
        <f t="shared" si="48"/>
        <v>2</v>
      </c>
      <c r="BC118" s="899"/>
      <c r="BD118" s="115">
        <f t="shared" si="49"/>
        <v>3.6</v>
      </c>
      <c r="BE118" s="47" t="str">
        <f t="shared" si="50"/>
        <v>MJ/kWh</v>
      </c>
      <c r="BF118" s="899"/>
      <c r="BG118" s="218">
        <f>IFERROR(INDEX(tabellen_EMD!$C$240:$Z$248,MATCH($J118,tabellen_EMD!$C$240:$C$248,0),MATCH($B118,tabellen_EMD!$C$240:$Z$240,0))*(F118&lt;&gt;"zomercomfort"),0)</f>
        <v>0.56499999999999995</v>
      </c>
      <c r="BH118" s="47" t="str">
        <f t="shared" si="51"/>
        <v>kg/kWh</v>
      </c>
      <c r="BI118" s="899"/>
    </row>
    <row r="119" spans="1:61">
      <c r="A119" s="86"/>
      <c r="B119" s="47" t="str">
        <f t="shared" si="39"/>
        <v>Uniec 2 per functie</v>
      </c>
      <c r="C119" s="47" t="str">
        <f t="shared" si="39"/>
        <v>NEN 7120</v>
      </c>
      <c r="D119" s="943"/>
      <c r="E119" s="14"/>
      <c r="F119" s="22" t="s">
        <v>1504</v>
      </c>
      <c r="G119" s="22"/>
      <c r="H119" s="22"/>
      <c r="I119" s="905"/>
      <c r="J119" s="1691" t="s">
        <v>466</v>
      </c>
      <c r="K119" s="1698"/>
      <c r="L119" s="16"/>
      <c r="M119" s="25"/>
      <c r="N119" s="22" t="str">
        <f t="shared" si="42"/>
        <v>MJ</v>
      </c>
      <c r="O119" s="15"/>
      <c r="P119" s="39"/>
      <c r="Q119" s="59">
        <f t="shared" si="43"/>
        <v>2.56</v>
      </c>
      <c r="R119" s="15"/>
      <c r="S119" s="24">
        <f t="shared" si="44"/>
        <v>0</v>
      </c>
      <c r="T119" s="47" t="str">
        <f>IFERROR(INDEX(energiedragers_EP_eenheden,MATCH($J119,tabellen_EMD!$C$196:$C$204,0),MATCH($B119,energiedragers_EP_eenheden_titel,0)),"-")</f>
        <v>kWh</v>
      </c>
      <c r="U119" s="39"/>
      <c r="V119" s="15"/>
      <c r="W119" s="59">
        <f t="shared" si="45"/>
        <v>0.56499999999999995</v>
      </c>
      <c r="X119" s="47" t="str">
        <f t="shared" si="46"/>
        <v>kg/kWh</v>
      </c>
      <c r="Y119" s="12"/>
      <c r="Z119" s="24">
        <f t="shared" si="47"/>
        <v>0</v>
      </c>
      <c r="AA119" s="47" t="s">
        <v>468</v>
      </c>
      <c r="AB119" s="67"/>
      <c r="AC119" s="995"/>
      <c r="AD119" s="1405"/>
      <c r="AE119" s="1405"/>
      <c r="AF119" s="1405"/>
      <c r="AG119" s="1405"/>
      <c r="AH119" s="1405"/>
      <c r="AI119" s="1405"/>
      <c r="AJ119" s="1405"/>
      <c r="AK119" s="1405"/>
      <c r="AL119" s="1405"/>
      <c r="AM119" s="1405"/>
      <c r="AN119" s="1405"/>
      <c r="AO119" s="1405"/>
      <c r="AP119" s="1405"/>
      <c r="AQ119" s="1405"/>
      <c r="AR119" s="1405"/>
      <c r="AS119" s="67"/>
      <c r="AT119" s="995"/>
      <c r="AU119" s="12"/>
      <c r="AV119" s="22" t="str">
        <f t="shared" si="40"/>
        <v>op eigen perceel opgewekte &amp; verbruikte elektriciteit</v>
      </c>
      <c r="AW119" s="46" t="str">
        <f t="shared" si="41"/>
        <v>elektriciteit opgewekt</v>
      </c>
      <c r="AX119" s="115"/>
      <c r="AY119" s="12"/>
      <c r="AZ119" s="115">
        <v>1</v>
      </c>
      <c r="BA119" s="24">
        <f>IFERROR(INDEX(tabellen_EMD!$C$185:$N$193,MATCH($J119,tabellen_EMD!$C$185:$C$193,0),MATCH(BA$63,tabellen_EMD!$C$185:$N$185,0)),0)</f>
        <v>0</v>
      </c>
      <c r="BB119" s="115">
        <f t="shared" si="48"/>
        <v>2.56</v>
      </c>
      <c r="BC119" s="899"/>
      <c r="BD119" s="115">
        <f t="shared" si="49"/>
        <v>3.6</v>
      </c>
      <c r="BE119" s="47" t="str">
        <f t="shared" si="50"/>
        <v>MJ/kWh</v>
      </c>
      <c r="BF119" s="899"/>
      <c r="BG119" s="218">
        <f>IFERROR(INDEX(tabellen_EMD!$C$240:$Z$248,MATCH($J119,tabellen_EMD!$C$240:$C$248,0),MATCH($B119,tabellen_EMD!$C$240:$Z$240,0))*(F119&lt;&gt;"zomercomfort"),0)</f>
        <v>0.56499999999999995</v>
      </c>
      <c r="BH119" s="47" t="str">
        <f t="shared" si="51"/>
        <v>kg/kWh</v>
      </c>
      <c r="BI119" s="899"/>
    </row>
    <row r="120" spans="1:61">
      <c r="A120" s="86"/>
      <c r="B120" s="47" t="str">
        <f t="shared" si="39"/>
        <v>Uniec 2 per functie</v>
      </c>
      <c r="C120" s="47" t="str">
        <f t="shared" si="39"/>
        <v>NEN 7120</v>
      </c>
      <c r="D120" s="943"/>
      <c r="E120" s="14"/>
      <c r="F120" s="22" t="s">
        <v>1505</v>
      </c>
      <c r="G120" s="22"/>
      <c r="H120" s="22"/>
      <c r="I120" s="905"/>
      <c r="J120" s="1691" t="s">
        <v>466</v>
      </c>
      <c r="K120" s="1698"/>
      <c r="L120" s="16"/>
      <c r="M120" s="25"/>
      <c r="N120" s="22" t="str">
        <f t="shared" si="42"/>
        <v>MJ</v>
      </c>
      <c r="O120" s="15"/>
      <c r="P120" s="39"/>
      <c r="Q120" s="59">
        <f t="shared" si="43"/>
        <v>2.56</v>
      </c>
      <c r="R120" s="15"/>
      <c r="S120" s="24">
        <f t="shared" si="44"/>
        <v>0</v>
      </c>
      <c r="T120" s="47" t="str">
        <f>IFERROR(INDEX(energiedragers_EP_eenheden,MATCH($J120,tabellen_EMD!$C$196:$C$204,0),MATCH($B120,energiedragers_EP_eenheden_titel,0)),"-")</f>
        <v>kWh</v>
      </c>
      <c r="U120" s="39"/>
      <c r="V120" s="15"/>
      <c r="W120" s="59">
        <f t="shared" si="45"/>
        <v>0.56499999999999995</v>
      </c>
      <c r="X120" s="47" t="str">
        <f t="shared" si="46"/>
        <v>kg/kWh</v>
      </c>
      <c r="Y120" s="12"/>
      <c r="Z120" s="24">
        <f t="shared" si="47"/>
        <v>0</v>
      </c>
      <c r="AA120" s="47" t="s">
        <v>468</v>
      </c>
      <c r="AB120" s="67"/>
      <c r="AC120" s="995"/>
      <c r="AD120" s="1405"/>
      <c r="AE120" s="1405"/>
      <c r="AF120" s="1405"/>
      <c r="AG120" s="1405"/>
      <c r="AH120" s="1405"/>
      <c r="AI120" s="1405"/>
      <c r="AJ120" s="1405"/>
      <c r="AK120" s="1405"/>
      <c r="AL120" s="1405"/>
      <c r="AM120" s="1405"/>
      <c r="AN120" s="1405"/>
      <c r="AO120" s="1405"/>
      <c r="AP120" s="1405"/>
      <c r="AQ120" s="1405"/>
      <c r="AR120" s="1405"/>
      <c r="AS120" s="67"/>
      <c r="AT120" s="995"/>
      <c r="AU120" s="12"/>
      <c r="AV120" s="22" t="str">
        <f t="shared" si="40"/>
        <v>in het gebied opgewekte elektriciteit</v>
      </c>
      <c r="AW120" s="46" t="str">
        <f t="shared" si="41"/>
        <v>elektriciteit opgewekt</v>
      </c>
      <c r="AX120" s="115"/>
      <c r="AY120" s="12"/>
      <c r="AZ120" s="115">
        <v>1</v>
      </c>
      <c r="BA120" s="24">
        <f>IFERROR(INDEX(tabellen_EMD!$C$185:$N$193,MATCH($J120,tabellen_EMD!$C$185:$C$193,0),MATCH(BA$63,tabellen_EMD!$C$185:$N$185,0)),0)</f>
        <v>0</v>
      </c>
      <c r="BB120" s="115">
        <f t="shared" si="48"/>
        <v>2.56</v>
      </c>
      <c r="BC120" s="899"/>
      <c r="BD120" s="115">
        <f t="shared" si="49"/>
        <v>3.6</v>
      </c>
      <c r="BE120" s="47" t="str">
        <f t="shared" si="50"/>
        <v>MJ/kWh</v>
      </c>
      <c r="BF120" s="899"/>
      <c r="BG120" s="218">
        <f>IFERROR(INDEX(tabellen_EMD!$C$240:$Z$248,MATCH($J120,tabellen_EMD!$C$240:$C$248,0),MATCH($B120,tabellen_EMD!$C$240:$Z$240,0))*(F120&lt;&gt;"zomercomfort"),0)</f>
        <v>0.56499999999999995</v>
      </c>
      <c r="BH120" s="47" t="str">
        <f t="shared" si="51"/>
        <v>kg/kWh</v>
      </c>
      <c r="BI120" s="899"/>
    </row>
    <row r="121" spans="1:61" s="940" customFormat="1">
      <c r="A121" s="86"/>
      <c r="B121" s="47" t="str">
        <f t="shared" si="39"/>
        <v>Uniec 2 per functie</v>
      </c>
      <c r="C121" s="47" t="str">
        <f t="shared" si="39"/>
        <v>NEN 7120</v>
      </c>
      <c r="D121" s="943"/>
      <c r="E121" s="14"/>
      <c r="F121" s="15" t="s">
        <v>1391</v>
      </c>
      <c r="G121" s="15"/>
      <c r="H121" s="15"/>
      <c r="I121" s="905"/>
      <c r="J121" s="43" t="s">
        <v>1391</v>
      </c>
      <c r="K121" s="43"/>
      <c r="L121" s="16"/>
      <c r="M121" s="950">
        <f>SUM(M109:M117)-SUM(M118:M120)</f>
        <v>0</v>
      </c>
      <c r="N121" s="15" t="str">
        <f t="shared" si="42"/>
        <v>MJ</v>
      </c>
      <c r="O121" s="15"/>
      <c r="P121" s="39"/>
      <c r="Q121" s="39"/>
      <c r="R121" s="15"/>
      <c r="S121" s="899"/>
      <c r="T121" s="899"/>
      <c r="U121" s="39"/>
      <c r="V121" s="39"/>
      <c r="W121" s="39"/>
      <c r="X121" s="39"/>
      <c r="Y121" s="12"/>
      <c r="Z121" s="950">
        <f>SUM(Z109:Z117)-SUM(Z118:Z120)</f>
        <v>0</v>
      </c>
      <c r="AA121" s="15" t="s">
        <v>468</v>
      </c>
      <c r="AB121" s="67"/>
      <c r="AC121" s="995"/>
      <c r="AD121" s="1405"/>
      <c r="AE121" s="1405"/>
      <c r="AF121" s="1405"/>
      <c r="AG121" s="1405"/>
      <c r="AH121" s="1405"/>
      <c r="AI121" s="1405"/>
      <c r="AJ121" s="1405"/>
      <c r="AK121" s="1405"/>
      <c r="AL121" s="1405"/>
      <c r="AM121" s="1405"/>
      <c r="AN121" s="1405"/>
      <c r="AO121" s="1405"/>
      <c r="AP121" s="1405"/>
      <c r="AQ121" s="1405"/>
      <c r="AR121" s="1405"/>
      <c r="AS121" s="67"/>
      <c r="AT121" s="995"/>
      <c r="AU121" s="12"/>
      <c r="AV121" s="22" t="str">
        <f t="shared" si="40"/>
        <v>totaal</v>
      </c>
      <c r="AW121" s="46" t="str">
        <f t="shared" si="41"/>
        <v>totaal</v>
      </c>
      <c r="AX121" s="115"/>
      <c r="AY121" s="12"/>
      <c r="AZ121" s="12"/>
      <c r="BA121" s="12"/>
      <c r="BB121" s="12"/>
      <c r="BC121" s="899"/>
      <c r="BD121" s="899"/>
      <c r="BE121" s="899"/>
      <c r="BF121" s="899"/>
      <c r="BG121" s="15"/>
      <c r="BH121" s="15"/>
      <c r="BI121" s="899"/>
    </row>
    <row r="122" spans="1:61" s="49" customFormat="1">
      <c r="A122" s="212"/>
      <c r="B122" s="47" t="str">
        <f t="shared" si="39"/>
        <v>Uniec 2 per functie</v>
      </c>
      <c r="C122" s="47" t="str">
        <f t="shared" si="39"/>
        <v>NEN 7120</v>
      </c>
      <c r="D122" s="943"/>
      <c r="E122" s="50"/>
      <c r="F122" s="452" t="str">
        <f>IFERROR(IF($P$23=$B122,_xlfn.CONCAT("Bij 1.1 ingevuld: ",FIXED($J$35,2,FALSE)," ",$K$35),""),"invoer niet correct")</f>
        <v/>
      </c>
      <c r="G122" s="452"/>
      <c r="H122" s="452"/>
      <c r="I122" s="905"/>
      <c r="J122" s="909" t="str">
        <f>IFERROR(IF($P$23=$B122,IF(ABS((M122-$J$35)/$J$35)&gt;1%,"Afwijking &gt;1% met subthema 1.1",""),""),"invoer niet correct")</f>
        <v/>
      </c>
      <c r="K122" s="909"/>
      <c r="L122" s="910"/>
      <c r="M122" s="1339" t="str">
        <f>IFERROR(IF($P$23=$B122,M121/$J$59,""),"")</f>
        <v/>
      </c>
      <c r="N122" s="452" t="str">
        <f>IF($P$23=$B122,_xlfn.CONCAT(N121,"/m2"),"")</f>
        <v/>
      </c>
      <c r="O122" s="452"/>
      <c r="P122" s="39"/>
      <c r="Q122" s="39"/>
      <c r="R122" s="899"/>
      <c r="S122" s="899"/>
      <c r="T122" s="899"/>
      <c r="U122" s="39"/>
      <c r="V122" s="39"/>
      <c r="W122" s="910" t="str">
        <f>IFERROR(IF($P$23=$B122,_xlfn.CONCAT("Bij 1.1 ingevuld: ",FIXED($AG$40,1,FALSE)," ",$AH$40),""),"invoer niet correct")</f>
        <v/>
      </c>
      <c r="X122" s="909" t="str">
        <f>IFERROR(IF($P$23=$B122,IF(ABS((Z122-$AG$40)/$AG$40)&gt;1%,"afwijking &gt;1% met subthema 1.1",""),""),"invoer niet correct")</f>
        <v/>
      </c>
      <c r="Y122" s="12"/>
      <c r="Z122" s="951" t="str">
        <f>IFERROR(IF($P$23=$B122,Z121/$J$58,""),"")</f>
        <v/>
      </c>
      <c r="AA122" s="452" t="str">
        <f>IF($P$23=$B122,_xlfn.CONCAT(AA121,"/m2"),"")</f>
        <v/>
      </c>
      <c r="AB122" s="1393"/>
      <c r="AC122" s="1001"/>
      <c r="AD122" s="1405"/>
      <c r="AE122" s="1405"/>
      <c r="AF122" s="1405"/>
      <c r="AG122" s="1405"/>
      <c r="AH122" s="1405"/>
      <c r="AI122" s="1405"/>
      <c r="AJ122" s="1405"/>
      <c r="AK122" s="1405"/>
      <c r="AL122" s="1405"/>
      <c r="AM122" s="1405"/>
      <c r="AN122" s="1405"/>
      <c r="AO122" s="1405"/>
      <c r="AP122" s="1405"/>
      <c r="AQ122" s="1405"/>
      <c r="AR122" s="1405"/>
      <c r="AS122" s="1393"/>
      <c r="AT122" s="1001"/>
      <c r="AU122" s="12"/>
      <c r="AV122" s="452"/>
      <c r="AW122" s="452"/>
      <c r="AX122" s="452"/>
      <c r="AY122" s="452"/>
      <c r="AZ122" s="452"/>
      <c r="BA122" s="452"/>
      <c r="BB122" s="452"/>
      <c r="BC122" s="452"/>
      <c r="BD122" s="452"/>
      <c r="BE122" s="452"/>
      <c r="BF122" s="452"/>
      <c r="BG122" s="452"/>
      <c r="BH122" s="452"/>
      <c r="BI122" s="899"/>
    </row>
    <row r="123" spans="1:61" s="49" customFormat="1">
      <c r="B123" s="47" t="str">
        <f t="shared" si="39"/>
        <v>Uniec 2 per functie</v>
      </c>
      <c r="C123" s="47" t="str">
        <f t="shared" si="39"/>
        <v>NEN 7120</v>
      </c>
      <c r="D123" s="943"/>
      <c r="E123" s="50"/>
      <c r="F123" s="43"/>
      <c r="G123" s="43"/>
      <c r="H123" s="43"/>
      <c r="I123" s="905"/>
      <c r="J123" s="44"/>
      <c r="K123" s="44"/>
      <c r="L123" s="44"/>
      <c r="M123" s="917"/>
      <c r="N123" s="44"/>
      <c r="O123" s="44"/>
      <c r="P123" s="39"/>
      <c r="Q123" s="39"/>
      <c r="R123" s="899"/>
      <c r="S123" s="899"/>
      <c r="T123" s="899"/>
      <c r="U123" s="39"/>
      <c r="V123" s="1155"/>
      <c r="W123" s="39"/>
      <c r="X123" s="39"/>
      <c r="Y123" s="12"/>
      <c r="Z123" s="899"/>
      <c r="AA123" s="899"/>
      <c r="AB123" s="1393"/>
      <c r="AC123" s="1001"/>
      <c r="AD123" s="1405"/>
      <c r="AE123" s="1405"/>
      <c r="AF123" s="1405"/>
      <c r="AG123" s="1405"/>
      <c r="AH123" s="1405"/>
      <c r="AI123" s="1405"/>
      <c r="AJ123" s="1405"/>
      <c r="AK123" s="1405"/>
      <c r="AL123" s="1405"/>
      <c r="AM123" s="1405"/>
      <c r="AN123" s="1405"/>
      <c r="AO123" s="1405"/>
      <c r="AP123" s="1405"/>
      <c r="AQ123" s="1405"/>
      <c r="AR123" s="1405"/>
      <c r="AS123" s="1393"/>
      <c r="AT123" s="1001"/>
      <c r="AU123" s="12"/>
      <c r="AV123" s="12"/>
      <c r="AW123" s="12"/>
      <c r="AX123" s="12"/>
      <c r="AY123" s="12"/>
      <c r="AZ123" s="44"/>
      <c r="BA123" s="12"/>
      <c r="BB123" s="44"/>
      <c r="BC123" s="899"/>
      <c r="BD123" s="899"/>
      <c r="BE123" s="899"/>
      <c r="BF123" s="899"/>
      <c r="BG123" s="899"/>
      <c r="BH123" s="899"/>
      <c r="BI123" s="899"/>
    </row>
    <row r="124" spans="1:61">
      <c r="A124" s="86"/>
      <c r="B124" s="939" t="str">
        <f>tabellen_EMD!$C$177</f>
        <v>Uniec 2 finaal</v>
      </c>
      <c r="C124" s="939" t="str">
        <f>VLOOKUP(B124,'NEN 7120 naar GPR4'!$AV$40:$AY$48,COLUMNS($AV$40:$AX$40),FALSE)</f>
        <v>NEN 7120</v>
      </c>
      <c r="D124" s="943"/>
      <c r="E124" s="14"/>
      <c r="F124" s="15" t="str">
        <f>_xlfn.CONCAT("Overnemen uit '",B124,"': ",VLOOKUP(B124,$AV$41:$AZ$48,COLUMNS($AV$40:$AZ$40),FALSE))</f>
        <v>Overnemen uit 'Uniec 2 finaal': Jaarlijkse hoeveelheid primaire energie voor de energiefunctie</v>
      </c>
      <c r="G124" s="15"/>
      <c r="H124" s="15"/>
      <c r="I124" s="905"/>
      <c r="J124" s="43"/>
      <c r="K124" s="43"/>
      <c r="L124" s="16"/>
      <c r="M124" s="909" t="s">
        <v>1485</v>
      </c>
      <c r="N124" s="41"/>
      <c r="O124" s="41"/>
      <c r="P124" s="453" t="s">
        <v>1487</v>
      </c>
      <c r="Q124" s="39"/>
      <c r="R124" s="39"/>
      <c r="S124" s="453" t="s">
        <v>1484</v>
      </c>
      <c r="T124" s="39"/>
      <c r="U124" s="39"/>
      <c r="V124" s="453" t="s">
        <v>1613</v>
      </c>
      <c r="W124" s="39"/>
      <c r="X124" s="39"/>
      <c r="Y124" s="12"/>
      <c r="Z124" s="453" t="s">
        <v>1536</v>
      </c>
      <c r="AA124" s="12"/>
      <c r="AB124" s="67"/>
      <c r="AC124" s="995"/>
      <c r="AD124" s="1405"/>
      <c r="AE124" s="1405"/>
      <c r="AF124" s="1405"/>
      <c r="AG124" s="1405"/>
      <c r="AH124" s="1405"/>
      <c r="AI124" s="1405"/>
      <c r="AJ124" s="1405"/>
      <c r="AK124" s="1405"/>
      <c r="AL124" s="1405"/>
      <c r="AM124" s="1405"/>
      <c r="AN124" s="1405"/>
      <c r="AO124" s="1405"/>
      <c r="AP124" s="1405"/>
      <c r="AQ124" s="1405"/>
      <c r="AR124" s="1405"/>
      <c r="AS124" s="67"/>
      <c r="AT124" s="995"/>
      <c r="AU124" s="12"/>
      <c r="AV124" s="12"/>
      <c r="AW124" s="12"/>
      <c r="AX124" s="12"/>
      <c r="AY124" s="12"/>
      <c r="AZ124" s="888" t="str">
        <f>AZ$63</f>
        <v>Eenheid energie</v>
      </c>
      <c r="BA124" s="888" t="s">
        <v>1628</v>
      </c>
      <c r="BB124" s="888" t="str">
        <f>BB$63</f>
        <v>PEF finaal → primair</v>
      </c>
      <c r="BC124" s="452"/>
      <c r="BD124" s="452" t="str">
        <f>BD$63</f>
        <v>eenheden omrekenen</v>
      </c>
      <c r="BE124" s="452"/>
      <c r="BF124" s="452"/>
      <c r="BG124" s="888" t="str">
        <f>BG$63</f>
        <v>CO2</v>
      </c>
      <c r="BH124" s="39"/>
      <c r="BI124" s="899"/>
    </row>
    <row r="125" spans="1:61">
      <c r="A125" s="86"/>
      <c r="B125" s="47" t="str">
        <f t="shared" ref="B125:C135" si="52">B124</f>
        <v>Uniec 2 finaal</v>
      </c>
      <c r="C125" s="47" t="str">
        <f t="shared" si="52"/>
        <v>NEN 7120</v>
      </c>
      <c r="D125" s="943"/>
      <c r="E125" s="14"/>
      <c r="F125" s="892" t="s">
        <v>496</v>
      </c>
      <c r="G125" s="892"/>
      <c r="H125" s="892"/>
      <c r="I125" s="905"/>
      <c r="J125" s="909" t="s">
        <v>458</v>
      </c>
      <c r="K125" s="909"/>
      <c r="L125" s="889"/>
      <c r="M125" s="910" t="s">
        <v>1534</v>
      </c>
      <c r="N125" s="452" t="s">
        <v>204</v>
      </c>
      <c r="O125" s="39"/>
      <c r="P125" s="888" t="s">
        <v>1533</v>
      </c>
      <c r="Q125" s="910" t="s">
        <v>1532</v>
      </c>
      <c r="R125" s="452"/>
      <c r="S125" s="888" t="s">
        <v>1534</v>
      </c>
      <c r="T125" s="889" t="s">
        <v>204</v>
      </c>
      <c r="U125" s="39"/>
      <c r="V125" s="888" t="s">
        <v>1533</v>
      </c>
      <c r="W125" s="910" t="s">
        <v>1532</v>
      </c>
      <c r="X125" s="889" t="s">
        <v>204</v>
      </c>
      <c r="Y125" s="12"/>
      <c r="Z125" s="888" t="s">
        <v>1534</v>
      </c>
      <c r="AA125" s="889" t="s">
        <v>204</v>
      </c>
      <c r="AB125" s="67"/>
      <c r="AC125" s="995"/>
      <c r="AD125" s="1405"/>
      <c r="AE125" s="1405"/>
      <c r="AF125" s="1405"/>
      <c r="AG125" s="1405"/>
      <c r="AH125" s="1405"/>
      <c r="AI125" s="1405"/>
      <c r="AJ125" s="1405"/>
      <c r="AK125" s="1405"/>
      <c r="AL125" s="1405"/>
      <c r="AM125" s="1405"/>
      <c r="AN125" s="1405"/>
      <c r="AO125" s="1405"/>
      <c r="AP125" s="1405"/>
      <c r="AQ125" s="1405"/>
      <c r="AR125" s="1405"/>
      <c r="AS125" s="67"/>
      <c r="AT125" s="995"/>
      <c r="AU125" s="12"/>
      <c r="AV125" s="892" t="str">
        <f t="shared" ref="AV125:AV133" si="53">F125</f>
        <v>energiefunctie</v>
      </c>
      <c r="AW125" s="452" t="str">
        <f t="shared" ref="AW125:AW133" si="54">J125</f>
        <v>energiedrager</v>
      </c>
      <c r="AX125" s="910"/>
      <c r="AY125" s="12"/>
      <c r="AZ125" s="888" t="str">
        <f>AZ$64</f>
        <v>pos/neg</v>
      </c>
      <c r="BA125" s="888"/>
      <c r="BB125" s="888" t="str">
        <f>BB$64</f>
        <v>default</v>
      </c>
      <c r="BC125" s="452"/>
      <c r="BD125" s="452" t="str">
        <f>BD$64</f>
        <v>waarde</v>
      </c>
      <c r="BE125" s="452" t="str">
        <f>BE$64</f>
        <v>eenheden</v>
      </c>
      <c r="BF125" s="452"/>
      <c r="BG125" s="888" t="str">
        <f>BG$64</f>
        <v>default</v>
      </c>
      <c r="BH125" s="888" t="str">
        <f>BH$64</f>
        <v>eenheid</v>
      </c>
      <c r="BI125" s="452"/>
    </row>
    <row r="126" spans="1:61">
      <c r="A126" s="86"/>
      <c r="B126" s="47" t="str">
        <f t="shared" si="52"/>
        <v>Uniec 2 finaal</v>
      </c>
      <c r="C126" s="47" t="str">
        <f t="shared" si="52"/>
        <v>NEN 7120</v>
      </c>
      <c r="D126" s="943"/>
      <c r="E126" s="14"/>
      <c r="F126" s="22" t="s">
        <v>498</v>
      </c>
      <c r="G126" s="22"/>
      <c r="H126" s="22"/>
      <c r="I126" s="905"/>
      <c r="J126" s="1691" t="s">
        <v>465</v>
      </c>
      <c r="K126" s="1698"/>
      <c r="L126" s="16"/>
      <c r="M126" s="24">
        <f>Q126*S126*BD126</f>
        <v>0</v>
      </c>
      <c r="N126" s="47" t="str">
        <f t="shared" ref="N126:N133" si="55">INDEX(EP_methode_eenheid,1,MATCH($C126,EP_methode,0))</f>
        <v>MJ</v>
      </c>
      <c r="O126" s="909"/>
      <c r="P126" s="39"/>
      <c r="Q126" s="59">
        <f>IFERROR(IF(AND(P126&lt;&gt;"",$BA126=1),P126,BB126),1)</f>
        <v>2.56</v>
      </c>
      <c r="R126" s="15"/>
      <c r="S126" s="25"/>
      <c r="T126" s="47" t="str">
        <f>IFERROR(INDEX(energiedragers_EP_eenheden,MATCH($J126,tabellen_EMD!$C$196:$C$204,0),MATCH($B126,energiedragers_EP_eenheden_titel,0)),"-")</f>
        <v>kWh</v>
      </c>
      <c r="U126" s="39"/>
      <c r="V126" s="15"/>
      <c r="W126" s="59">
        <f>IF(AND(V126&lt;&gt;"",$BA126=1),V126,BG126)</f>
        <v>0.56499999999999995</v>
      </c>
      <c r="X126" s="47" t="str">
        <f t="shared" ref="X126:X132" si="56">BH126</f>
        <v>kg/kWh</v>
      </c>
      <c r="Y126" s="12"/>
      <c r="Z126" s="24">
        <f>S126*W126*ABS(AZ126)</f>
        <v>0</v>
      </c>
      <c r="AA126" s="47" t="s">
        <v>468</v>
      </c>
      <c r="AB126" s="67"/>
      <c r="AC126" s="995"/>
      <c r="AD126" s="1405"/>
      <c r="AE126" s="1405"/>
      <c r="AF126" s="1405"/>
      <c r="AG126" s="1405"/>
      <c r="AH126" s="1405"/>
      <c r="AI126" s="1405"/>
      <c r="AJ126" s="1405"/>
      <c r="AK126" s="1405"/>
      <c r="AL126" s="1405"/>
      <c r="AM126" s="1405"/>
      <c r="AN126" s="1405"/>
      <c r="AO126" s="1405"/>
      <c r="AP126" s="1405"/>
      <c r="AQ126" s="1405"/>
      <c r="AR126" s="1405"/>
      <c r="AS126" s="67"/>
      <c r="AT126" s="995"/>
      <c r="AU126" s="12"/>
      <c r="AV126" s="22" t="str">
        <f t="shared" si="53"/>
        <v>elektriciteit: gebouwgebonden installaties</v>
      </c>
      <c r="AW126" s="46" t="str">
        <f t="shared" si="54"/>
        <v>elektriciteit</v>
      </c>
      <c r="AX126" s="24"/>
      <c r="AY126" s="12"/>
      <c r="AZ126" s="115">
        <v>1</v>
      </c>
      <c r="BA126" s="24">
        <f>IFERROR(INDEX(tabellen_EMD!$C$185:$N$193,MATCH($J126,tabellen_EMD!$C$185:$C$193,0),MATCH(BA$63,tabellen_EMD!$C$185:$N$185,0)),0)</f>
        <v>0</v>
      </c>
      <c r="BB126" s="115">
        <f>VLOOKUP($J126,energiedragers_EP_PEF,MATCH(_xlfn.CONCAT($C126," | PEF"),energiedragers_EP_PEF_titel,0),FALSE)</f>
        <v>2.56</v>
      </c>
      <c r="BC126" s="899"/>
      <c r="BD126" s="115">
        <f t="shared" ref="BD126:BD132" si="57">IFERROR(VLOOKUP($J126,energiedragers_EP_omrekenen,MATCH($B126,energiedragers_EP_omrekenen_titel,0),FALSE),1)</f>
        <v>3.6</v>
      </c>
      <c r="BE126" s="47" t="str">
        <f t="shared" ref="BE126:BE132" si="58">_xlfn.CONCAT(N126,"/",T126)</f>
        <v>MJ/kWh</v>
      </c>
      <c r="BF126" s="899"/>
      <c r="BG126" s="218">
        <f>IFERROR(INDEX(tabellen_EMD!$C$240:$Z$248,MATCH($J126,tabellen_EMD!$C$240:$C$248,0),MATCH($B126,tabellen_EMD!$C$240:$Z$240,0))*(F126&lt;&gt;"zomercomfort"),0)</f>
        <v>0.56499999999999995</v>
      </c>
      <c r="BH126" s="47" t="str">
        <f t="shared" ref="BH126:BH132" si="59">"kg/"&amp;T126</f>
        <v>kg/kWh</v>
      </c>
      <c r="BI126" s="899"/>
    </row>
    <row r="127" spans="1:61">
      <c r="A127" s="86"/>
      <c r="B127" s="47" t="str">
        <f t="shared" si="52"/>
        <v>Uniec 2 finaal</v>
      </c>
      <c r="C127" s="47" t="str">
        <f t="shared" si="52"/>
        <v>NEN 7120</v>
      </c>
      <c r="D127" s="943"/>
      <c r="E127" s="14"/>
      <c r="F127" s="22" t="s">
        <v>1461</v>
      </c>
      <c r="G127" s="22"/>
      <c r="H127" s="22"/>
      <c r="I127" s="905"/>
      <c r="J127" s="965"/>
      <c r="K127" s="965"/>
      <c r="L127" s="965"/>
      <c r="M127" s="965"/>
      <c r="N127" s="965"/>
      <c r="O127" s="965"/>
      <c r="P127" s="965"/>
      <c r="Q127" s="965"/>
      <c r="R127" s="965"/>
      <c r="S127" s="965"/>
      <c r="T127" s="965"/>
      <c r="U127" s="965"/>
      <c r="V127" s="965"/>
      <c r="W127" s="965"/>
      <c r="X127" s="965"/>
      <c r="Y127" s="965"/>
      <c r="Z127" s="965"/>
      <c r="AA127" s="965"/>
      <c r="AB127" s="67"/>
      <c r="AC127" s="995"/>
      <c r="AD127" s="1405"/>
      <c r="AE127" s="1405"/>
      <c r="AF127" s="1405"/>
      <c r="AG127" s="1405"/>
      <c r="AH127" s="1405"/>
      <c r="AI127" s="1405"/>
      <c r="AJ127" s="1405"/>
      <c r="AK127" s="1405"/>
      <c r="AL127" s="1405"/>
      <c r="AM127" s="1405"/>
      <c r="AN127" s="1405"/>
      <c r="AO127" s="1405"/>
      <c r="AP127" s="1405"/>
      <c r="AQ127" s="1405"/>
      <c r="AR127" s="1405"/>
      <c r="AS127" s="67"/>
      <c r="AT127" s="995"/>
      <c r="AU127" s="12"/>
      <c r="AV127" s="22" t="str">
        <f t="shared" si="53"/>
        <v>elek: niet gebouwgebonden installaties (stelpost)</v>
      </c>
      <c r="AW127" s="46">
        <f t="shared" si="54"/>
        <v>0</v>
      </c>
      <c r="AX127" s="899"/>
      <c r="AY127" s="899"/>
      <c r="AZ127" s="115">
        <v>1</v>
      </c>
      <c r="BA127" s="24">
        <f>IFERROR(INDEX(tabellen_EMD!$C$185:$N$193,MATCH($J127,tabellen_EMD!$C$185:$C$193,0),MATCH(BA$63,tabellen_EMD!$C$185:$N$185,0)),0)</f>
        <v>0</v>
      </c>
      <c r="BB127" s="115" t="e">
        <f>VLOOKUP($J127,energiedragers_EP_PEF,MATCH(_xlfn.CONCAT($C127," | PEF"),energiedragers_EP_PEF_titel,0),FALSE)</f>
        <v>#N/A</v>
      </c>
      <c r="BC127" s="899"/>
      <c r="BD127" s="115">
        <f t="shared" si="57"/>
        <v>1</v>
      </c>
      <c r="BE127" s="47" t="str">
        <f t="shared" si="58"/>
        <v>/</v>
      </c>
      <c r="BF127" s="899"/>
      <c r="BG127" s="218">
        <f>IFERROR(INDEX(tabellen_EMD!$C$240:$Z$248,MATCH($J127,tabellen_EMD!$C$240:$C$248,0),MATCH($B127,tabellen_EMD!$C$240:$Z$240,0))*(F127&lt;&gt;"zomercomfort"),0)</f>
        <v>0</v>
      </c>
      <c r="BH127" s="47" t="str">
        <f t="shared" si="59"/>
        <v>kg/</v>
      </c>
      <c r="BI127" s="899"/>
    </row>
    <row r="128" spans="1:61">
      <c r="A128" s="86"/>
      <c r="B128" s="47" t="str">
        <f t="shared" si="52"/>
        <v>Uniec 2 finaal</v>
      </c>
      <c r="C128" s="47" t="str">
        <f t="shared" si="52"/>
        <v>NEN 7120</v>
      </c>
      <c r="D128" s="943"/>
      <c r="E128" s="14"/>
      <c r="F128" s="22" t="s">
        <v>1462</v>
      </c>
      <c r="G128" s="22"/>
      <c r="H128" s="22"/>
      <c r="I128" s="905"/>
      <c r="J128" s="1691" t="s">
        <v>466</v>
      </c>
      <c r="K128" s="1698"/>
      <c r="L128" s="16"/>
      <c r="M128" s="24">
        <f>Q128*S128*BD128</f>
        <v>0</v>
      </c>
      <c r="N128" s="47" t="str">
        <f t="shared" si="55"/>
        <v>MJ</v>
      </c>
      <c r="O128" s="909"/>
      <c r="P128" s="39"/>
      <c r="Q128" s="59">
        <f>IFERROR(IF(AND(P128&lt;&gt;"",$BA128=1),P128,BB128),1)</f>
        <v>2.56</v>
      </c>
      <c r="R128" s="15"/>
      <c r="S128" s="25"/>
      <c r="T128" s="47" t="str">
        <f>IFERROR(INDEX(energiedragers_EP_eenheden,MATCH($J128,tabellen_EMD!$C$196:$C$204,0),MATCH($B128,energiedragers_EP_eenheden_titel,0)),"-")</f>
        <v>kWh</v>
      </c>
      <c r="U128" s="39"/>
      <c r="V128" s="15"/>
      <c r="W128" s="59">
        <f>IF(AND(V128&lt;&gt;"",$BA128=1),V128,BG128)</f>
        <v>0.56499999999999995</v>
      </c>
      <c r="X128" s="47" t="str">
        <f t="shared" si="56"/>
        <v>kg/kWh</v>
      </c>
      <c r="Y128" s="12"/>
      <c r="Z128" s="24">
        <f>S128*W128*ABS(AZ128)</f>
        <v>0</v>
      </c>
      <c r="AA128" s="47" t="s">
        <v>468</v>
      </c>
      <c r="AB128" s="67"/>
      <c r="AC128" s="995"/>
      <c r="AD128" s="1405"/>
      <c r="AE128" s="1405"/>
      <c r="AF128" s="1405"/>
      <c r="AG128" s="1405"/>
      <c r="AH128" s="1405"/>
      <c r="AI128" s="1405"/>
      <c r="AJ128" s="1405"/>
      <c r="AK128" s="1405"/>
      <c r="AL128" s="1405"/>
      <c r="AM128" s="1405"/>
      <c r="AN128" s="1405"/>
      <c r="AO128" s="1405"/>
      <c r="AP128" s="1405"/>
      <c r="AQ128" s="1405"/>
      <c r="AR128" s="1405"/>
      <c r="AS128" s="67"/>
      <c r="AT128" s="995"/>
      <c r="AU128" s="12"/>
      <c r="AV128" s="22" t="str">
        <f t="shared" si="53"/>
        <v>opgewekte &amp; verbruikte elektriciteit</v>
      </c>
      <c r="AW128" s="46" t="str">
        <f t="shared" si="54"/>
        <v>elektriciteit opgewekt</v>
      </c>
      <c r="AX128" s="24"/>
      <c r="AY128" s="12"/>
      <c r="AZ128" s="115">
        <v>1</v>
      </c>
      <c r="BA128" s="24">
        <f>IFERROR(INDEX(tabellen_EMD!$C$185:$N$193,MATCH($J128,tabellen_EMD!$C$185:$C$193,0),MATCH(BA$63,tabellen_EMD!$C$185:$N$185,0)),0)</f>
        <v>0</v>
      </c>
      <c r="BB128" s="115">
        <f>VLOOKUP($J128,energiedragers_EP_PEF,MATCH(_xlfn.CONCAT($C128," | PEF"),energiedragers_EP_PEF_titel,0),FALSE)</f>
        <v>2.56</v>
      </c>
      <c r="BC128" s="899"/>
      <c r="BD128" s="115">
        <f t="shared" si="57"/>
        <v>3.6</v>
      </c>
      <c r="BE128" s="47" t="str">
        <f t="shared" si="58"/>
        <v>MJ/kWh</v>
      </c>
      <c r="BF128" s="899"/>
      <c r="BG128" s="218">
        <f>IFERROR(INDEX(tabellen_EMD!$C$240:$Z$248,MATCH($J128,tabellen_EMD!$C$240:$C$248,0),MATCH($B128,tabellen_EMD!$C$240:$Z$240,0))*(F128&lt;&gt;"zomercomfort"),0)</f>
        <v>0.56499999999999995</v>
      </c>
      <c r="BH128" s="47" t="str">
        <f t="shared" si="59"/>
        <v>kg/kWh</v>
      </c>
      <c r="BI128" s="899"/>
    </row>
    <row r="129" spans="1:61">
      <c r="A129" s="86"/>
      <c r="B129" s="47" t="str">
        <f t="shared" si="52"/>
        <v>Uniec 2 finaal</v>
      </c>
      <c r="C129" s="47" t="str">
        <f t="shared" si="52"/>
        <v>NEN 7120</v>
      </c>
      <c r="D129" s="943"/>
      <c r="E129" s="14"/>
      <c r="F129" s="22" t="s">
        <v>1450</v>
      </c>
      <c r="G129" s="22"/>
      <c r="H129" s="22"/>
      <c r="I129" s="905"/>
      <c r="J129" s="1691" t="s">
        <v>463</v>
      </c>
      <c r="K129" s="1698"/>
      <c r="L129" s="16"/>
      <c r="M129" s="24">
        <f>Q129*S129*BD129</f>
        <v>0</v>
      </c>
      <c r="N129" s="47" t="str">
        <f t="shared" si="55"/>
        <v>MJ</v>
      </c>
      <c r="O129" s="909"/>
      <c r="P129" s="39"/>
      <c r="Q129" s="59">
        <f>IFERROR(IF(AND(P129&lt;&gt;"",$BA129=1),P129,BB129),1)</f>
        <v>1</v>
      </c>
      <c r="R129" s="15"/>
      <c r="S129" s="25"/>
      <c r="T129" s="47" t="str">
        <f>IFERROR(INDEX(energiedragers_EP_eenheden,MATCH($J129,tabellen_EMD!$C$196:$C$204,0),MATCH($B129,energiedragers_EP_eenheden_titel,0)),"-")</f>
        <v>m3 aeq</v>
      </c>
      <c r="U129" s="39"/>
      <c r="V129" s="15"/>
      <c r="W129" s="59">
        <f>IF(AND(V129&lt;&gt;"",$BA129=1),V129,BG129)</f>
        <v>1.78</v>
      </c>
      <c r="X129" s="47" t="str">
        <f t="shared" si="56"/>
        <v>kg/m3 aeq</v>
      </c>
      <c r="Y129" s="12"/>
      <c r="Z129" s="24">
        <f>S129*W129*ABS(AZ129)</f>
        <v>0</v>
      </c>
      <c r="AA129" s="47" t="s">
        <v>468</v>
      </c>
      <c r="AB129" s="67"/>
      <c r="AC129" s="995"/>
      <c r="AD129" s="1405"/>
      <c r="AE129" s="1405"/>
      <c r="AF129" s="1405"/>
      <c r="AG129" s="1405"/>
      <c r="AH129" s="1405"/>
      <c r="AI129" s="1405"/>
      <c r="AJ129" s="1405"/>
      <c r="AK129" s="1405"/>
      <c r="AL129" s="1405"/>
      <c r="AM129" s="1405"/>
      <c r="AN129" s="1405"/>
      <c r="AO129" s="1405"/>
      <c r="AP129" s="1405"/>
      <c r="AQ129" s="1405"/>
      <c r="AR129" s="1405"/>
      <c r="AS129" s="67"/>
      <c r="AT129" s="995"/>
      <c r="AU129" s="12"/>
      <c r="AV129" s="22" t="str">
        <f t="shared" si="53"/>
        <v>gas (tbv verwarming / tapwater)</v>
      </c>
      <c r="AW129" s="46" t="str">
        <f t="shared" si="54"/>
        <v>aardgas</v>
      </c>
      <c r="AX129" s="24"/>
      <c r="AY129" s="12"/>
      <c r="AZ129" s="115">
        <v>1</v>
      </c>
      <c r="BA129" s="24">
        <f>IFERROR(INDEX(tabellen_EMD!$C$185:$N$193,MATCH($J129,tabellen_EMD!$C$185:$C$193,0),MATCH(BA$63,tabellen_EMD!$C$185:$N$185,0)),0)</f>
        <v>0</v>
      </c>
      <c r="BB129" s="115">
        <f>VLOOKUP($J129,energiedragers_EP_PEF,MATCH(_xlfn.CONCAT($C$65," | PEF"),energiedragers_EP_PEF_titel,0),FALSE)</f>
        <v>1</v>
      </c>
      <c r="BC129" s="899"/>
      <c r="BD129" s="115">
        <f t="shared" si="57"/>
        <v>35.17</v>
      </c>
      <c r="BE129" s="47" t="str">
        <f t="shared" si="58"/>
        <v>MJ/m3 aeq</v>
      </c>
      <c r="BF129" s="899"/>
      <c r="BG129" s="218">
        <f>IFERROR(INDEX(tabellen_EMD!$C$240:$Z$248,MATCH($J129,tabellen_EMD!$C$240:$C$248,0),MATCH($B129,tabellen_EMD!$C$240:$Z$240,0))*(F129&lt;&gt;"zomercomfort"),0)</f>
        <v>1.78</v>
      </c>
      <c r="BH129" s="47" t="str">
        <f t="shared" si="59"/>
        <v>kg/m3 aeq</v>
      </c>
      <c r="BI129" s="899"/>
    </row>
    <row r="130" spans="1:61">
      <c r="A130" s="139" t="s">
        <v>396</v>
      </c>
      <c r="B130" s="47" t="str">
        <f t="shared" si="52"/>
        <v>Uniec 2 finaal</v>
      </c>
      <c r="C130" s="47" t="str">
        <f t="shared" si="52"/>
        <v>NEN 7120</v>
      </c>
      <c r="D130" s="943"/>
      <c r="E130" s="14"/>
      <c r="F130" s="22" t="s">
        <v>1449</v>
      </c>
      <c r="G130" s="22"/>
      <c r="H130" s="22"/>
      <c r="I130" s="905"/>
      <c r="J130" s="1691" t="s">
        <v>467</v>
      </c>
      <c r="K130" s="1698"/>
      <c r="L130" s="16"/>
      <c r="M130" s="24">
        <f>Q130*S130*BD130</f>
        <v>0</v>
      </c>
      <c r="N130" s="47" t="str">
        <f t="shared" si="55"/>
        <v>MJ</v>
      </c>
      <c r="O130" s="909"/>
      <c r="P130" s="1326"/>
      <c r="Q130" s="59">
        <f>IFERROR(IF(AND(P130&lt;&gt;"",$BA130=1),P130,BB130),1)</f>
        <v>1</v>
      </c>
      <c r="R130" s="15"/>
      <c r="S130" s="25"/>
      <c r="T130" s="47" t="str">
        <f>IFERROR(INDEX(energiedragers_EP_eenheden,MATCH($J130,tabellen_EMD!$C$196:$C$204,0),MATCH($B130,energiedragers_EP_eenheden_titel,0)),"-")</f>
        <v>MJ</v>
      </c>
      <c r="U130" s="39"/>
      <c r="V130" s="1326"/>
      <c r="W130" s="59">
        <f>IF(AND(V130&lt;&gt;"",$BA130=1),V130,BG130)</f>
        <v>0.109</v>
      </c>
      <c r="X130" s="47" t="str">
        <f t="shared" si="56"/>
        <v>kg/MJ</v>
      </c>
      <c r="Y130" s="12"/>
      <c r="Z130" s="24">
        <f>S130*W130*ABS(AZ130)</f>
        <v>0</v>
      </c>
      <c r="AA130" s="47" t="s">
        <v>468</v>
      </c>
      <c r="AB130" s="67"/>
      <c r="AC130" s="995"/>
      <c r="AD130" s="1405"/>
      <c r="AE130" s="1405"/>
      <c r="AF130" s="1405"/>
      <c r="AG130" s="1405"/>
      <c r="AH130" s="1405"/>
      <c r="AI130" s="1405"/>
      <c r="AJ130" s="1405"/>
      <c r="AK130" s="1405"/>
      <c r="AL130" s="1405"/>
      <c r="AM130" s="1405"/>
      <c r="AN130" s="1405"/>
      <c r="AO130" s="1405"/>
      <c r="AP130" s="1405"/>
      <c r="AQ130" s="1405"/>
      <c r="AR130" s="1405"/>
      <c r="AS130" s="67"/>
      <c r="AT130" s="995"/>
      <c r="AU130" s="12"/>
      <c r="AV130" s="22" t="str">
        <f t="shared" si="53"/>
        <v>biomassa (tbv verwarming / tapwater)</v>
      </c>
      <c r="AW130" s="46" t="str">
        <f t="shared" si="54"/>
        <v>hout / biomassa</v>
      </c>
      <c r="AX130" s="24"/>
      <c r="AY130" s="12"/>
      <c r="AZ130" s="115">
        <v>1</v>
      </c>
      <c r="BA130" s="24">
        <f>IFERROR(INDEX(tabellen_EMD!$C$185:$N$193,MATCH($J130,tabellen_EMD!$C$185:$C$193,0),MATCH(BA$63,tabellen_EMD!$C$185:$N$185,0)),0)</f>
        <v>1</v>
      </c>
      <c r="BB130" s="115">
        <f>VLOOKUP($J130,energiedragers_EP_PEF,MATCH(_xlfn.CONCAT($C$65," | PEF"),energiedragers_EP_PEF_titel,0),FALSE)</f>
        <v>1</v>
      </c>
      <c r="BC130" s="899"/>
      <c r="BD130" s="115">
        <f t="shared" si="57"/>
        <v>1</v>
      </c>
      <c r="BE130" s="47" t="str">
        <f t="shared" si="58"/>
        <v>MJ/MJ</v>
      </c>
      <c r="BF130" s="899"/>
      <c r="BG130" s="218">
        <f>IFERROR(INDEX(tabellen_EMD!$C$240:$Z$248,MATCH($J130,tabellen_EMD!$C$240:$C$248,0),MATCH($B130,tabellen_EMD!$C$240:$Z$240,0))*(F130&lt;&gt;"zomercomfort"),0)</f>
        <v>0.109</v>
      </c>
      <c r="BH130" s="47" t="str">
        <f t="shared" si="59"/>
        <v>kg/MJ</v>
      </c>
      <c r="BI130" s="899"/>
    </row>
    <row r="131" spans="1:61">
      <c r="A131" s="139" t="s">
        <v>396</v>
      </c>
      <c r="B131" s="47" t="str">
        <f>B130</f>
        <v>Uniec 2 finaal</v>
      </c>
      <c r="C131" s="47" t="str">
        <f>C130</f>
        <v>NEN 7120</v>
      </c>
      <c r="D131" s="943"/>
      <c r="E131" s="14"/>
      <c r="F131" s="52" t="s">
        <v>500</v>
      </c>
      <c r="G131" s="52"/>
      <c r="H131" s="52"/>
      <c r="I131" s="905"/>
      <c r="J131" s="1691" t="s">
        <v>1539</v>
      </c>
      <c r="K131" s="1698"/>
      <c r="L131" s="16"/>
      <c r="M131" s="24">
        <f>Q131*S131*BD131</f>
        <v>0</v>
      </c>
      <c r="N131" s="47" t="str">
        <f t="shared" si="55"/>
        <v>MJ</v>
      </c>
      <c r="O131" s="909"/>
      <c r="P131" s="1326"/>
      <c r="Q131" s="59">
        <f>IFERROR(IF(AND(P131&lt;&gt;"",$BA131=1),P131,BB131),1)</f>
        <v>0.90909090909090906</v>
      </c>
      <c r="R131" s="15"/>
      <c r="S131" s="789"/>
      <c r="T131" s="47" t="str">
        <f>IFERROR(INDEX(energiedragers_EP_eenheden,MATCH($J131,tabellen_EMD!$C$196:$C$204,0),MATCH($B131,energiedragers_EP_eenheden_titel,0)),"-")</f>
        <v>GJ</v>
      </c>
      <c r="U131" s="39"/>
      <c r="V131" s="1326"/>
      <c r="W131" s="59">
        <f>IF(AND(V131&lt;&gt;"",$BA131=1),V131,BG131)</f>
        <v>87.7</v>
      </c>
      <c r="X131" s="47" t="str">
        <f t="shared" si="56"/>
        <v>kg/GJ</v>
      </c>
      <c r="Y131" s="12"/>
      <c r="Z131" s="24">
        <f>S131*W131*ABS(AZ131)</f>
        <v>0</v>
      </c>
      <c r="AA131" s="47" t="s">
        <v>468</v>
      </c>
      <c r="AB131" s="67"/>
      <c r="AC131" s="995"/>
      <c r="AD131" s="1405"/>
      <c r="AE131" s="1405"/>
      <c r="AF131" s="1405"/>
      <c r="AG131" s="1405"/>
      <c r="AH131" s="1405"/>
      <c r="AI131" s="1405"/>
      <c r="AJ131" s="1405"/>
      <c r="AK131" s="1405"/>
      <c r="AL131" s="1405"/>
      <c r="AM131" s="1405"/>
      <c r="AN131" s="1405"/>
      <c r="AO131" s="1405"/>
      <c r="AP131" s="1405"/>
      <c r="AQ131" s="1405"/>
      <c r="AR131" s="1405"/>
      <c r="AS131" s="67"/>
      <c r="AT131" s="995"/>
      <c r="AU131" s="12"/>
      <c r="AV131" s="22" t="str">
        <f t="shared" si="53"/>
        <v>externe warmtelevering</v>
      </c>
      <c r="AW131" s="46" t="str">
        <f t="shared" si="54"/>
        <v>externe warmte</v>
      </c>
      <c r="AX131" s="24"/>
      <c r="AY131" s="12"/>
      <c r="AZ131" s="115">
        <v>1</v>
      </c>
      <c r="BA131" s="24">
        <f>IFERROR(INDEX(tabellen_EMD!$C$185:$N$193,MATCH($J131,tabellen_EMD!$C$185:$C$193,0),MATCH(BA$63,tabellen_EMD!$C$185:$N$185,0)),0)</f>
        <v>1</v>
      </c>
      <c r="BB131" s="115">
        <f>VLOOKUP($J131,energiedragers_EP_PEF,MATCH(_xlfn.CONCAT($C$65," | PEF"),energiedragers_EP_PEF_titel,0),FALSE)</f>
        <v>0.90909090909090906</v>
      </c>
      <c r="BC131" s="899"/>
      <c r="BD131" s="115">
        <f t="shared" si="57"/>
        <v>1000</v>
      </c>
      <c r="BE131" s="47" t="str">
        <f t="shared" si="58"/>
        <v>MJ/GJ</v>
      </c>
      <c r="BF131" s="899"/>
      <c r="BG131" s="218">
        <f>IFERROR(INDEX(tabellen_EMD!$C$240:$Z$248,MATCH($J131,tabellen_EMD!$C$240:$C$248,0),MATCH($B131,tabellen_EMD!$C$240:$Z$240,0))*(F131&lt;&gt;"zomercomfort"),0)</f>
        <v>87.7</v>
      </c>
      <c r="BH131" s="47" t="str">
        <f t="shared" si="59"/>
        <v>kg/GJ</v>
      </c>
      <c r="BI131" s="899"/>
    </row>
    <row r="132" spans="1:61">
      <c r="A132" s="139" t="s">
        <v>396</v>
      </c>
      <c r="B132" s="47" t="str">
        <f>B131</f>
        <v>Uniec 2 finaal</v>
      </c>
      <c r="C132" s="47" t="str">
        <f>C131</f>
        <v>NEN 7120</v>
      </c>
      <c r="D132" s="943"/>
      <c r="E132" s="14"/>
      <c r="F132" s="52" t="s">
        <v>1598</v>
      </c>
      <c r="G132" s="52"/>
      <c r="H132" s="52"/>
      <c r="I132" s="905"/>
      <c r="J132" s="1691" t="s">
        <v>1599</v>
      </c>
      <c r="K132" s="1698"/>
      <c r="L132" s="16"/>
      <c r="M132" s="24">
        <f>Q132*S132*BD132</f>
        <v>0</v>
      </c>
      <c r="N132" s="47" t="str">
        <f t="shared" si="55"/>
        <v>MJ</v>
      </c>
      <c r="O132" s="909"/>
      <c r="P132" s="1326"/>
      <c r="Q132" s="59">
        <f>IFERROR(IF(AND(P132&lt;&gt;"",$BA132=1),P132,BB132),1)</f>
        <v>0.90909090909090906</v>
      </c>
      <c r="R132" s="15"/>
      <c r="S132" s="789"/>
      <c r="T132" s="47" t="str">
        <f>IFERROR(INDEX(energiedragers_EP_eenheden,MATCH($J132,tabellen_EMD!$C$196:$C$204,0),MATCH($B132,energiedragers_EP_eenheden_titel,0)),"-")</f>
        <v>GJ</v>
      </c>
      <c r="U132" s="39"/>
      <c r="V132" s="1326"/>
      <c r="W132" s="59">
        <f>IF(AND(V132&lt;&gt;"",$BA132=1),V132,BG132)</f>
        <v>87.7</v>
      </c>
      <c r="X132" s="47" t="str">
        <f t="shared" si="56"/>
        <v>kg/GJ</v>
      </c>
      <c r="Y132" s="12"/>
      <c r="Z132" s="24">
        <f>S132*W132*ABS(AZ132)</f>
        <v>0</v>
      </c>
      <c r="AA132" s="47" t="s">
        <v>468</v>
      </c>
      <c r="AB132" s="67"/>
      <c r="AC132" s="995"/>
      <c r="AD132" s="1405"/>
      <c r="AE132" s="1405"/>
      <c r="AF132" s="1405"/>
      <c r="AG132" s="1405"/>
      <c r="AH132" s="1405"/>
      <c r="AI132" s="1405"/>
      <c r="AJ132" s="1405"/>
      <c r="AK132" s="1405"/>
      <c r="AL132" s="1405"/>
      <c r="AM132" s="1405"/>
      <c r="AN132" s="1405"/>
      <c r="AO132" s="1405"/>
      <c r="AP132" s="1405"/>
      <c r="AQ132" s="1405"/>
      <c r="AR132" s="1405"/>
      <c r="AS132" s="67"/>
      <c r="AT132" s="995"/>
      <c r="AU132" s="12"/>
      <c r="AV132" s="22" t="str">
        <f t="shared" si="53"/>
        <v>externe koudelevering</v>
      </c>
      <c r="AW132" s="46" t="str">
        <f t="shared" si="54"/>
        <v>externe koude</v>
      </c>
      <c r="AX132" s="24"/>
      <c r="AY132" s="12"/>
      <c r="AZ132" s="115">
        <v>1</v>
      </c>
      <c r="BA132" s="24">
        <f>IFERROR(INDEX(tabellen_EMD!$C$185:$N$193,MATCH($J132,tabellen_EMD!$C$185:$C$193,0),MATCH(BA$63,tabellen_EMD!$C$185:$N$185,0)),0)</f>
        <v>1</v>
      </c>
      <c r="BB132" s="115">
        <f>VLOOKUP($J132,energiedragers_EP_PEF,MATCH(_xlfn.CONCAT($C$65," | PEF"),energiedragers_EP_PEF_titel,0),FALSE)</f>
        <v>0.90909090909090906</v>
      </c>
      <c r="BC132" s="899"/>
      <c r="BD132" s="115">
        <f t="shared" si="57"/>
        <v>1000</v>
      </c>
      <c r="BE132" s="47" t="str">
        <f t="shared" si="58"/>
        <v>MJ/GJ</v>
      </c>
      <c r="BF132" s="899"/>
      <c r="BG132" s="218">
        <f>IFERROR(INDEX(tabellen_EMD!$C$240:$Z$248,MATCH($J132,tabellen_EMD!$C$240:$C$248,0),MATCH($B132,tabellen_EMD!$C$240:$Z$240,0))*(F132&lt;&gt;"zomercomfort"),0)</f>
        <v>87.7</v>
      </c>
      <c r="BH132" s="47" t="str">
        <f t="shared" si="59"/>
        <v>kg/GJ</v>
      </c>
      <c r="BI132" s="899"/>
    </row>
    <row r="133" spans="1:61" s="940" customFormat="1">
      <c r="A133" s="86"/>
      <c r="B133" s="47" t="str">
        <f>B131</f>
        <v>Uniec 2 finaal</v>
      </c>
      <c r="C133" s="47" t="str">
        <f>C131</f>
        <v>NEN 7120</v>
      </c>
      <c r="D133" s="943"/>
      <c r="E133" s="14"/>
      <c r="F133" s="15" t="s">
        <v>1391</v>
      </c>
      <c r="G133" s="15"/>
      <c r="H133" s="15"/>
      <c r="I133" s="905"/>
      <c r="J133" s="43" t="s">
        <v>1391</v>
      </c>
      <c r="K133" s="43"/>
      <c r="L133" s="16"/>
      <c r="M133" s="950">
        <f>SUM(M126,M129:M132)-M128</f>
        <v>0</v>
      </c>
      <c r="N133" s="15" t="str">
        <f t="shared" si="55"/>
        <v>MJ</v>
      </c>
      <c r="O133" s="15"/>
      <c r="P133" s="39"/>
      <c r="Q133" s="39"/>
      <c r="R133" s="15"/>
      <c r="S133" s="899"/>
      <c r="T133" s="899"/>
      <c r="U133" s="39"/>
      <c r="V133" s="39"/>
      <c r="W133" s="39"/>
      <c r="X133" s="39"/>
      <c r="Y133" s="12"/>
      <c r="Z133" s="950">
        <f>SUM(Z126,Z129:Z132)-Z128</f>
        <v>0</v>
      </c>
      <c r="AA133" s="15" t="s">
        <v>468</v>
      </c>
      <c r="AB133" s="67"/>
      <c r="AC133" s="995"/>
      <c r="AD133" s="1405"/>
      <c r="AE133" s="1405"/>
      <c r="AF133" s="1405"/>
      <c r="AG133" s="1405"/>
      <c r="AH133" s="1405"/>
      <c r="AI133" s="1405"/>
      <c r="AJ133" s="1405"/>
      <c r="AK133" s="1405"/>
      <c r="AL133" s="1405"/>
      <c r="AM133" s="1405"/>
      <c r="AN133" s="1405"/>
      <c r="AO133" s="1405"/>
      <c r="AP133" s="1405"/>
      <c r="AQ133" s="1405"/>
      <c r="AR133" s="1405"/>
      <c r="AS133" s="67"/>
      <c r="AT133" s="995"/>
      <c r="AU133" s="12"/>
      <c r="AV133" s="22" t="str">
        <f t="shared" si="53"/>
        <v>totaal</v>
      </c>
      <c r="AW133" s="46" t="str">
        <f t="shared" si="54"/>
        <v>totaal</v>
      </c>
      <c r="AX133" s="24"/>
      <c r="AY133" s="12"/>
      <c r="AZ133" s="12"/>
      <c r="BA133" s="12"/>
      <c r="BB133" s="12"/>
      <c r="BC133" s="899"/>
      <c r="BD133" s="899"/>
      <c r="BE133" s="899"/>
      <c r="BF133" s="899"/>
      <c r="BG133" s="15"/>
      <c r="BH133" s="15"/>
      <c r="BI133" s="899"/>
    </row>
    <row r="134" spans="1:61" s="49" customFormat="1">
      <c r="A134" s="212"/>
      <c r="B134" s="47" t="str">
        <f t="shared" si="52"/>
        <v>Uniec 2 finaal</v>
      </c>
      <c r="C134" s="47" t="str">
        <f t="shared" si="52"/>
        <v>NEN 7120</v>
      </c>
      <c r="D134" s="943"/>
      <c r="E134" s="50"/>
      <c r="F134" s="452" t="str">
        <f>IFERROR(IF($P$23=$B134,_xlfn.CONCAT("Bij 1.1 ingevuld: ",FIXED($J$35,2,FALSE)," ",$K$35),""),"invoer niet correct")</f>
        <v>Bij 1.1 ingevuld: 0.00 MJ/m2 Ag</v>
      </c>
      <c r="G134" s="452"/>
      <c r="H134" s="452"/>
      <c r="I134" s="905"/>
      <c r="J134" s="909" t="str">
        <f>IFERROR(IF($P$23=$B134,IF(ABS((M134-$J$35)/$J$35)&gt;1%,"Afwijking &gt;1% met subthema 1.1",""),""),"invoer niet correct")</f>
        <v>invoer niet correct</v>
      </c>
      <c r="K134" s="909"/>
      <c r="L134" s="910"/>
      <c r="M134" s="1339">
        <f>IFERROR(IF($P$23=$B134,M133/$J$59,""),"")</f>
        <v>0</v>
      </c>
      <c r="N134" s="452" t="str">
        <f>IF($P$23=$B134,_xlfn.CONCAT(N133,"/m2"),"")</f>
        <v>MJ/m2</v>
      </c>
      <c r="O134" s="452"/>
      <c r="P134" s="39"/>
      <c r="Q134" s="39"/>
      <c r="R134" s="899"/>
      <c r="S134" s="899"/>
      <c r="T134" s="899"/>
      <c r="U134" s="39"/>
      <c r="V134" s="39"/>
      <c r="W134" s="910" t="str">
        <f>IFERROR(IF($P$23=$B134,_xlfn.CONCAT("Bij 1.1 ingevuld: ",FIXED($AG$40,1,FALSE)," ",$AH$40),""),"invoer niet correct")</f>
        <v>Bij 1.1 ingevuld: 0.0 kg/m2 Ag</v>
      </c>
      <c r="X134" s="909" t="str">
        <f>IFERROR(IF($P$23=$B134,IF(ABS((Z134-$AG$40)/$AG$40)&gt;1%,"afwijking &gt;1% met subthema 1.1",""),""),"invoer niet correct")</f>
        <v>invoer niet correct</v>
      </c>
      <c r="Y134" s="12"/>
      <c r="Z134" s="951">
        <f>IFERROR(IF($P$23=$B134,Z133/$J$58,""),"")</f>
        <v>0</v>
      </c>
      <c r="AA134" s="452" t="str">
        <f>IF($P$23=$B134,_xlfn.CONCAT(AA133,"/m2"),"")</f>
        <v>kg/m2</v>
      </c>
      <c r="AB134" s="1393"/>
      <c r="AC134" s="1001"/>
      <c r="AD134" s="1405"/>
      <c r="AE134" s="1405"/>
      <c r="AF134" s="1405"/>
      <c r="AG134" s="1405"/>
      <c r="AH134" s="1405"/>
      <c r="AI134" s="1405"/>
      <c r="AJ134" s="1405"/>
      <c r="AK134" s="1405"/>
      <c r="AL134" s="1405"/>
      <c r="AM134" s="1405"/>
      <c r="AN134" s="1405"/>
      <c r="AO134" s="1405"/>
      <c r="AP134" s="1405"/>
      <c r="AQ134" s="1405"/>
      <c r="AR134" s="1405"/>
      <c r="AS134" s="1393"/>
      <c r="AT134" s="1001"/>
      <c r="AU134" s="12"/>
      <c r="AV134" s="452"/>
      <c r="AW134" s="452"/>
      <c r="AX134" s="452"/>
      <c r="AY134" s="452"/>
      <c r="AZ134" s="452"/>
      <c r="BA134" s="452"/>
      <c r="BB134" s="452"/>
      <c r="BC134" s="452"/>
      <c r="BD134" s="452"/>
      <c r="BE134" s="452"/>
      <c r="BF134" s="452"/>
      <c r="BG134" s="452"/>
      <c r="BH134" s="452"/>
      <c r="BI134" s="899"/>
    </row>
    <row r="135" spans="1:61">
      <c r="A135" s="86"/>
      <c r="B135" s="47" t="str">
        <f t="shared" si="52"/>
        <v>Uniec 2 finaal</v>
      </c>
      <c r="C135" s="47" t="str">
        <f t="shared" si="52"/>
        <v>NEN 7120</v>
      </c>
      <c r="D135" s="943"/>
      <c r="E135" s="14"/>
      <c r="F135" s="43"/>
      <c r="G135" s="43"/>
      <c r="H135" s="43"/>
      <c r="I135" s="905"/>
      <c r="J135" s="55"/>
      <c r="K135" s="55"/>
      <c r="L135" s="53"/>
      <c r="M135" s="55"/>
      <c r="N135" s="56"/>
      <c r="O135" s="148"/>
      <c r="P135" s="39"/>
      <c r="Q135" s="39"/>
      <c r="R135" s="53"/>
      <c r="S135" s="1"/>
      <c r="T135" s="53"/>
      <c r="U135" s="39"/>
      <c r="V135" s="39"/>
      <c r="W135" s="39"/>
      <c r="X135" s="39"/>
      <c r="Y135" s="12"/>
      <c r="Z135" s="16"/>
      <c r="AA135" s="13"/>
      <c r="AB135" s="67"/>
      <c r="AC135" s="995"/>
      <c r="AD135" s="1405"/>
      <c r="AE135" s="1405"/>
      <c r="AF135" s="1405"/>
      <c r="AG135" s="1405"/>
      <c r="AH135" s="1405"/>
      <c r="AI135" s="1405"/>
      <c r="AJ135" s="1405"/>
      <c r="AK135" s="1405"/>
      <c r="AL135" s="1405"/>
      <c r="AM135" s="1405"/>
      <c r="AN135" s="1405"/>
      <c r="AO135" s="1405"/>
      <c r="AP135" s="1405"/>
      <c r="AQ135" s="1405"/>
      <c r="AR135" s="1405"/>
      <c r="AS135" s="67"/>
      <c r="AT135" s="995"/>
      <c r="AU135" s="12"/>
      <c r="AV135" s="12"/>
      <c r="AW135" s="12"/>
      <c r="AX135" s="12"/>
      <c r="AY135" s="12"/>
      <c r="AZ135" s="54"/>
      <c r="BA135" s="12"/>
      <c r="BB135" s="54"/>
      <c r="BC135" s="148"/>
      <c r="BD135" s="1"/>
      <c r="BE135" s="1"/>
      <c r="BF135" s="148"/>
      <c r="BG135" s="54"/>
      <c r="BH135" s="16"/>
      <c r="BI135" s="148"/>
    </row>
    <row r="136" spans="1:61" s="49" customFormat="1" hidden="1">
      <c r="B136" s="939" t="str">
        <f>tabellen_EMD!$C$178</f>
        <v>VABI NTA 8800</v>
      </c>
      <c r="C136" s="939" t="str">
        <f>VLOOKUP(B136,'NEN 7120 naar GPR4'!$AV$40:$AY$48,COLUMNS($AV$40:$AX$40),FALSE)</f>
        <v>NTA 8800</v>
      </c>
      <c r="D136" s="943"/>
      <c r="E136" s="50"/>
      <c r="F136" s="15" t="str">
        <f>_xlfn.CONCAT("Overnemen uit '",B136,"': ",VLOOKUP(B136,$AV$41:$AZ$48,COLUMNS($AV$40:$AZ$40),FALSE))</f>
        <v>Overnemen uit 'VABI NTA 8800': Totale deelposten (niet primair)</v>
      </c>
      <c r="G136" s="43"/>
      <c r="H136" s="43"/>
      <c r="I136" s="905"/>
      <c r="J136" s="44"/>
      <c r="K136" s="44"/>
      <c r="L136" s="44"/>
      <c r="M136" s="909" t="s">
        <v>1485</v>
      </c>
      <c r="N136" s="41"/>
      <c r="O136" s="41"/>
      <c r="P136" s="453" t="s">
        <v>1487</v>
      </c>
      <c r="Q136" s="39"/>
      <c r="R136" s="39"/>
      <c r="S136" s="453" t="s">
        <v>1484</v>
      </c>
      <c r="T136" s="39"/>
      <c r="U136" s="39"/>
      <c r="V136" s="453" t="s">
        <v>1614</v>
      </c>
      <c r="W136" s="39"/>
      <c r="X136" s="39"/>
      <c r="Y136" s="12"/>
      <c r="Z136" s="453" t="s">
        <v>1536</v>
      </c>
      <c r="AA136" s="12"/>
      <c r="AB136" s="1393"/>
      <c r="AC136" s="1001"/>
      <c r="AD136" s="1405"/>
      <c r="AE136" s="1405"/>
      <c r="AF136" s="1405"/>
      <c r="AG136" s="1405"/>
      <c r="AH136" s="1405"/>
      <c r="AI136" s="1405"/>
      <c r="AJ136" s="1405"/>
      <c r="AK136" s="1405"/>
      <c r="AL136" s="1405"/>
      <c r="AM136" s="1405"/>
      <c r="AN136" s="1405"/>
      <c r="AO136" s="1405"/>
      <c r="AP136" s="1405"/>
      <c r="AQ136" s="1405"/>
      <c r="AR136" s="1405"/>
      <c r="AS136" s="1393"/>
      <c r="AT136" s="1001"/>
      <c r="AU136" s="12"/>
      <c r="AV136" s="12"/>
      <c r="AW136" s="12"/>
      <c r="AX136" s="12"/>
      <c r="AY136" s="12"/>
      <c r="AZ136" s="888" t="str">
        <f>AZ$63</f>
        <v>Eenheid energie</v>
      </c>
      <c r="BA136" s="888" t="s">
        <v>1628</v>
      </c>
      <c r="BB136" s="888" t="str">
        <f>BB$63</f>
        <v>PEF finaal → primair</v>
      </c>
      <c r="BC136" s="452"/>
      <c r="BD136" s="452" t="str">
        <f>BD$63</f>
        <v>eenheden omrekenen</v>
      </c>
      <c r="BE136" s="452"/>
      <c r="BF136" s="452"/>
      <c r="BG136" s="888" t="str">
        <f>BG$63</f>
        <v>CO2</v>
      </c>
      <c r="BH136" s="39"/>
      <c r="BI136" s="899"/>
    </row>
    <row r="137" spans="1:61" hidden="1">
      <c r="A137" s="49"/>
      <c r="B137" s="47" t="str">
        <f t="shared" ref="B137:C149" si="60">B136</f>
        <v>VABI NTA 8800</v>
      </c>
      <c r="C137" s="47" t="str">
        <f t="shared" si="60"/>
        <v>NTA 8800</v>
      </c>
      <c r="D137" s="943"/>
      <c r="E137" s="14"/>
      <c r="F137" s="892" t="s">
        <v>496</v>
      </c>
      <c r="G137" s="892"/>
      <c r="H137" s="892"/>
      <c r="I137" s="905"/>
      <c r="J137" s="909" t="s">
        <v>458</v>
      </c>
      <c r="K137" s="909"/>
      <c r="L137" s="889"/>
      <c r="M137" s="910" t="s">
        <v>1534</v>
      </c>
      <c r="N137" s="452" t="s">
        <v>204</v>
      </c>
      <c r="O137" s="39"/>
      <c r="P137" s="888" t="s">
        <v>1533</v>
      </c>
      <c r="Q137" s="910" t="s">
        <v>1532</v>
      </c>
      <c r="R137" s="452"/>
      <c r="S137" s="888" t="s">
        <v>1534</v>
      </c>
      <c r="T137" s="889" t="s">
        <v>204</v>
      </c>
      <c r="U137" s="39"/>
      <c r="V137" s="888" t="s">
        <v>1533</v>
      </c>
      <c r="W137" s="910" t="s">
        <v>1532</v>
      </c>
      <c r="X137" s="889" t="s">
        <v>204</v>
      </c>
      <c r="Y137" s="12"/>
      <c r="Z137" s="888" t="s">
        <v>1534</v>
      </c>
      <c r="AA137" s="889" t="s">
        <v>204</v>
      </c>
      <c r="AB137" s="67"/>
      <c r="AC137" s="995"/>
      <c r="AD137" s="1405"/>
      <c r="AE137" s="1405"/>
      <c r="AF137" s="1405"/>
      <c r="AG137" s="1405"/>
      <c r="AH137" s="1405"/>
      <c r="AI137" s="1405"/>
      <c r="AJ137" s="1405"/>
      <c r="AK137" s="1405"/>
      <c r="AL137" s="1405"/>
      <c r="AM137" s="1405"/>
      <c r="AN137" s="1405"/>
      <c r="AO137" s="1405"/>
      <c r="AP137" s="1405"/>
      <c r="AQ137" s="1405"/>
      <c r="AR137" s="1405"/>
      <c r="AS137" s="67"/>
      <c r="AT137" s="995"/>
      <c r="AU137" s="12"/>
      <c r="AV137" s="892" t="str">
        <f t="shared" ref="AV137:AV148" si="61">F137</f>
        <v>energiefunctie</v>
      </c>
      <c r="AW137" s="452" t="str">
        <f t="shared" ref="AW137:AW148" si="62">J137</f>
        <v>energiedrager</v>
      </c>
      <c r="AX137" s="910"/>
      <c r="AY137" s="12"/>
      <c r="AZ137" s="888" t="str">
        <f>AZ$64</f>
        <v>pos/neg</v>
      </c>
      <c r="BA137" s="888"/>
      <c r="BB137" s="888" t="str">
        <f>BB$64</f>
        <v>default</v>
      </c>
      <c r="BC137" s="452"/>
      <c r="BD137" s="452" t="str">
        <f>BD$64</f>
        <v>waarde</v>
      </c>
      <c r="BE137" s="452" t="str">
        <f>BE$64</f>
        <v>eenheden</v>
      </c>
      <c r="BF137" s="452"/>
      <c r="BG137" s="888" t="str">
        <f>BG$64</f>
        <v>default</v>
      </c>
      <c r="BH137" s="888" t="str">
        <f>BH$64</f>
        <v>eenheid</v>
      </c>
      <c r="BI137" s="452"/>
    </row>
    <row r="138" spans="1:61" hidden="1">
      <c r="A138" s="86"/>
      <c r="B138" s="47" t="str">
        <f t="shared" si="60"/>
        <v>VABI NTA 8800</v>
      </c>
      <c r="C138" s="47" t="str">
        <f t="shared" si="60"/>
        <v>NTA 8800</v>
      </c>
      <c r="D138" s="943"/>
      <c r="E138" s="14"/>
      <c r="F138" s="22" t="s">
        <v>501</v>
      </c>
      <c r="G138" s="22"/>
      <c r="H138" s="22"/>
      <c r="I138" s="905"/>
      <c r="J138" s="1691" t="s">
        <v>465</v>
      </c>
      <c r="K138" s="1698"/>
      <c r="L138" s="16"/>
      <c r="M138" s="24">
        <f t="shared" ref="M138:M147" si="63">Q138*S138*BD138</f>
        <v>0</v>
      </c>
      <c r="N138" s="47" t="str">
        <f t="shared" ref="N138:N148" si="64">INDEX(EP_methode_eenheid,1,MATCH($C138,EP_methode,0))</f>
        <v>kWh</v>
      </c>
      <c r="O138" s="909"/>
      <c r="P138" s="39"/>
      <c r="Q138" s="59">
        <f t="shared" ref="Q138:Q147" si="65">IFERROR(IF(AND(P138&lt;&gt;"",$BA138=1),P138,BB138),1)</f>
        <v>1.45</v>
      </c>
      <c r="R138" s="15"/>
      <c r="S138" s="25"/>
      <c r="T138" s="47" t="str">
        <f>IFERROR(INDEX(energiedragers_EP_eenheden,MATCH($J138,tabellen_EMD!$C$196:$C$204,0),MATCH($B138,energiedragers_EP_eenheden_titel,0)),"-")</f>
        <v>kWh</v>
      </c>
      <c r="U138" s="39"/>
      <c r="V138" s="15"/>
      <c r="W138" s="59">
        <f t="shared" ref="W138:W147" si="66">IF(AND(V138&lt;&gt;"",$BA138=1),V138,BG138)</f>
        <v>0.34</v>
      </c>
      <c r="X138" s="47" t="str">
        <f t="shared" ref="X138:X147" si="67">BH138</f>
        <v>kg/kWh</v>
      </c>
      <c r="Y138" s="12"/>
      <c r="Z138" s="24">
        <f t="shared" ref="Z138:Z147" si="68">S138*W138*ABS(AZ138)</f>
        <v>0</v>
      </c>
      <c r="AA138" s="47" t="s">
        <v>468</v>
      </c>
      <c r="AB138" s="67"/>
      <c r="AC138" s="995"/>
      <c r="AD138" s="1405"/>
      <c r="AE138" s="1405"/>
      <c r="AF138" s="1405"/>
      <c r="AG138" s="1405"/>
      <c r="AH138" s="1405"/>
      <c r="AI138" s="1405"/>
      <c r="AJ138" s="1405"/>
      <c r="AK138" s="1405"/>
      <c r="AL138" s="1405"/>
      <c r="AM138" s="1405"/>
      <c r="AN138" s="1405"/>
      <c r="AO138" s="1405"/>
      <c r="AP138" s="1405"/>
      <c r="AQ138" s="1405"/>
      <c r="AR138" s="1405"/>
      <c r="AS138" s="67"/>
      <c r="AT138" s="995"/>
      <c r="AU138" s="12"/>
      <c r="AV138" s="22" t="str">
        <f t="shared" si="61"/>
        <v>ventilatie</v>
      </c>
      <c r="AW138" s="46" t="str">
        <f t="shared" si="62"/>
        <v>elektriciteit</v>
      </c>
      <c r="AX138" s="24"/>
      <c r="AY138" s="12"/>
      <c r="AZ138" s="115">
        <v>1</v>
      </c>
      <c r="BA138" s="24">
        <f>IFERROR(INDEX(tabellen_EMD!$C$185:$N$193,MATCH($J138,tabellen_EMD!$C$185:$C$193,0),MATCH(BA$63,tabellen_EMD!$C$185:$N$185,0)),0)</f>
        <v>0</v>
      </c>
      <c r="BB138" s="115">
        <f t="shared" ref="BB138:BB147" si="69">VLOOKUP($J138,energiedragers_EP_PEF,MATCH(_xlfn.CONCAT($C138," | PEF"),energiedragers_EP_PEF_titel,0),FALSE)</f>
        <v>1.45</v>
      </c>
      <c r="BC138" s="899"/>
      <c r="BD138" s="115">
        <f t="shared" ref="BD138:BD147" si="70">IFERROR(VLOOKUP($J138,energiedragers_EP_omrekenen,MATCH($B138,energiedragers_EP_omrekenen_titel,0),FALSE),1)</f>
        <v>1</v>
      </c>
      <c r="BE138" s="47" t="str">
        <f t="shared" ref="BE138:BE147" si="71">_xlfn.CONCAT(N138,"/",T138)</f>
        <v>kWh/kWh</v>
      </c>
      <c r="BF138" s="899"/>
      <c r="BG138" s="218">
        <f>IFERROR(INDEX(tabellen_EMD!$C$240:$Z$248,MATCH($J138,tabellen_EMD!$C$240:$C$248,0),MATCH($B138,tabellen_EMD!$C$240:$Z$240,0))*(F138&lt;&gt;"zomercomfort"),0)</f>
        <v>0.34</v>
      </c>
      <c r="BH138" s="47" t="str">
        <f t="shared" ref="BH138:BH147" si="72">"kg/"&amp;T138</f>
        <v>kg/kWh</v>
      </c>
      <c r="BI138" s="899"/>
    </row>
    <row r="139" spans="1:61" hidden="1">
      <c r="A139" s="49"/>
      <c r="B139" s="47" t="str">
        <f t="shared" si="60"/>
        <v>VABI NTA 8800</v>
      </c>
      <c r="C139" s="47" t="str">
        <f t="shared" si="60"/>
        <v>NTA 8800</v>
      </c>
      <c r="D139" s="943"/>
      <c r="E139" s="14"/>
      <c r="F139" s="22" t="s">
        <v>502</v>
      </c>
      <c r="G139" s="22"/>
      <c r="H139" s="22"/>
      <c r="I139" s="905"/>
      <c r="J139" s="1685"/>
      <c r="K139" s="1685"/>
      <c r="L139" s="16"/>
      <c r="M139" s="24">
        <f t="shared" si="63"/>
        <v>0</v>
      </c>
      <c r="N139" s="47" t="str">
        <f t="shared" si="64"/>
        <v>kWh</v>
      </c>
      <c r="O139" s="909"/>
      <c r="P139" s="154"/>
      <c r="Q139" s="59">
        <f t="shared" si="65"/>
        <v>1</v>
      </c>
      <c r="R139" s="15"/>
      <c r="S139" s="25"/>
      <c r="T139" s="47" t="str">
        <f>IFERROR(INDEX(energiedragers_EP_eenheden,MATCH($J139,tabellen_EMD!$C$196:$C$204,0),MATCH($B139,energiedragers_EP_eenheden_titel,0)),"-")</f>
        <v>-</v>
      </c>
      <c r="U139" s="39"/>
      <c r="V139" s="154"/>
      <c r="W139" s="59">
        <f t="shared" si="66"/>
        <v>0</v>
      </c>
      <c r="X139" s="47" t="str">
        <f t="shared" si="67"/>
        <v>kg/-</v>
      </c>
      <c r="Y139" s="12"/>
      <c r="Z139" s="24">
        <f t="shared" si="68"/>
        <v>0</v>
      </c>
      <c r="AA139" s="47" t="s">
        <v>468</v>
      </c>
      <c r="AB139" s="67"/>
      <c r="AC139" s="995"/>
      <c r="AD139" s="1405"/>
      <c r="AE139" s="1405"/>
      <c r="AF139" s="1405"/>
      <c r="AG139" s="1405"/>
      <c r="AH139" s="1405"/>
      <c r="AI139" s="1405"/>
      <c r="AJ139" s="1405"/>
      <c r="AK139" s="1405"/>
      <c r="AL139" s="1405"/>
      <c r="AM139" s="1405"/>
      <c r="AN139" s="1405"/>
      <c r="AO139" s="1405"/>
      <c r="AP139" s="1405"/>
      <c r="AQ139" s="1405"/>
      <c r="AR139" s="1405"/>
      <c r="AS139" s="67"/>
      <c r="AT139" s="995"/>
      <c r="AU139" s="12"/>
      <c r="AV139" s="22" t="str">
        <f t="shared" si="61"/>
        <v>verwarming</v>
      </c>
      <c r="AW139" s="46">
        <f t="shared" si="62"/>
        <v>0</v>
      </c>
      <c r="AX139" s="24"/>
      <c r="AY139" s="12"/>
      <c r="AZ139" s="115">
        <v>1</v>
      </c>
      <c r="BA139" s="24">
        <f>IFERROR(INDEX(tabellen_EMD!$C$185:$N$193,MATCH($J139,tabellen_EMD!$C$185:$C$193,0),MATCH(BA$63,tabellen_EMD!$C$185:$N$185,0)),0)</f>
        <v>0</v>
      </c>
      <c r="BB139" s="115" t="e">
        <f t="shared" si="69"/>
        <v>#N/A</v>
      </c>
      <c r="BC139" s="899"/>
      <c r="BD139" s="115">
        <f t="shared" si="70"/>
        <v>1</v>
      </c>
      <c r="BE139" s="47" t="str">
        <f t="shared" si="71"/>
        <v>kWh/-</v>
      </c>
      <c r="BF139" s="899"/>
      <c r="BG139" s="218">
        <f>IFERROR(INDEX(tabellen_EMD!$C$240:$Z$248,MATCH($J139,tabellen_EMD!$C$240:$C$248,0),MATCH($B139,tabellen_EMD!$C$240:$Z$240,0))*(F139&lt;&gt;"zomercomfort"),0)</f>
        <v>0</v>
      </c>
      <c r="BH139" s="47" t="str">
        <f t="shared" si="72"/>
        <v>kg/-</v>
      </c>
      <c r="BI139" s="899"/>
    </row>
    <row r="140" spans="1:61" hidden="1">
      <c r="A140" s="86"/>
      <c r="B140" s="47" t="str">
        <f t="shared" si="60"/>
        <v>VABI NTA 8800</v>
      </c>
      <c r="C140" s="47" t="str">
        <f t="shared" si="60"/>
        <v>NTA 8800</v>
      </c>
      <c r="D140" s="943"/>
      <c r="E140" s="14"/>
      <c r="F140" s="22" t="s">
        <v>503</v>
      </c>
      <c r="G140" s="22"/>
      <c r="H140" s="22"/>
      <c r="I140" s="905"/>
      <c r="J140" s="1685"/>
      <c r="K140" s="1685"/>
      <c r="L140" s="16"/>
      <c r="M140" s="24">
        <f t="shared" si="63"/>
        <v>0</v>
      </c>
      <c r="N140" s="47" t="str">
        <f t="shared" si="64"/>
        <v>kWh</v>
      </c>
      <c r="O140" s="909"/>
      <c r="P140" s="154"/>
      <c r="Q140" s="59">
        <f t="shared" si="65"/>
        <v>1</v>
      </c>
      <c r="R140" s="15"/>
      <c r="S140" s="25"/>
      <c r="T140" s="47" t="str">
        <f>IFERROR(INDEX(energiedragers_EP_eenheden,MATCH($J140,tabellen_EMD!$C$196:$C$204,0),MATCH($B140,energiedragers_EP_eenheden_titel,0)),"-")</f>
        <v>-</v>
      </c>
      <c r="U140" s="39"/>
      <c r="V140" s="154"/>
      <c r="W140" s="59">
        <f t="shared" si="66"/>
        <v>0</v>
      </c>
      <c r="X140" s="47" t="str">
        <f t="shared" si="67"/>
        <v>kg/-</v>
      </c>
      <c r="Y140" s="12"/>
      <c r="Z140" s="24">
        <f t="shared" si="68"/>
        <v>0</v>
      </c>
      <c r="AA140" s="47" t="s">
        <v>468</v>
      </c>
      <c r="AB140" s="67"/>
      <c r="AC140" s="995"/>
      <c r="AD140" s="1405"/>
      <c r="AE140" s="1405"/>
      <c r="AF140" s="1405"/>
      <c r="AG140" s="1405"/>
      <c r="AH140" s="1405"/>
      <c r="AI140" s="1405"/>
      <c r="AJ140" s="1405"/>
      <c r="AK140" s="1405"/>
      <c r="AL140" s="1405"/>
      <c r="AM140" s="1405"/>
      <c r="AN140" s="1405"/>
      <c r="AO140" s="1405"/>
      <c r="AP140" s="1405"/>
      <c r="AQ140" s="1405"/>
      <c r="AR140" s="1405"/>
      <c r="AS140" s="67"/>
      <c r="AT140" s="995"/>
      <c r="AU140" s="12"/>
      <c r="AV140" s="22" t="str">
        <f t="shared" si="61"/>
        <v>tapwater</v>
      </c>
      <c r="AW140" s="46">
        <f t="shared" si="62"/>
        <v>0</v>
      </c>
      <c r="AX140" s="24"/>
      <c r="AY140" s="12"/>
      <c r="AZ140" s="115">
        <v>1</v>
      </c>
      <c r="BA140" s="24">
        <f>IFERROR(INDEX(tabellen_EMD!$C$185:$N$193,MATCH($J140,tabellen_EMD!$C$185:$C$193,0),MATCH(BA$63,tabellen_EMD!$C$185:$N$185,0)),0)</f>
        <v>0</v>
      </c>
      <c r="BB140" s="115" t="e">
        <f t="shared" si="69"/>
        <v>#N/A</v>
      </c>
      <c r="BC140" s="899"/>
      <c r="BD140" s="115">
        <f t="shared" si="70"/>
        <v>1</v>
      </c>
      <c r="BE140" s="47" t="str">
        <f t="shared" si="71"/>
        <v>kWh/-</v>
      </c>
      <c r="BF140" s="899"/>
      <c r="BG140" s="218">
        <f>IFERROR(INDEX(tabellen_EMD!$C$240:$Z$248,MATCH($J140,tabellen_EMD!$C$240:$C$248,0),MATCH($B140,tabellen_EMD!$C$240:$Z$240,0))*(F140&lt;&gt;"zomercomfort"),0)</f>
        <v>0</v>
      </c>
      <c r="BH140" s="47" t="str">
        <f t="shared" si="72"/>
        <v>kg/-</v>
      </c>
      <c r="BI140" s="899"/>
    </row>
    <row r="141" spans="1:61" hidden="1">
      <c r="A141" s="86"/>
      <c r="B141" s="47" t="str">
        <f t="shared" si="60"/>
        <v>VABI NTA 8800</v>
      </c>
      <c r="C141" s="47" t="str">
        <f t="shared" si="60"/>
        <v>NTA 8800</v>
      </c>
      <c r="D141" s="943"/>
      <c r="E141" s="14"/>
      <c r="F141" s="22" t="s">
        <v>504</v>
      </c>
      <c r="G141" s="22"/>
      <c r="H141" s="22"/>
      <c r="I141" s="905"/>
      <c r="J141" s="1685"/>
      <c r="K141" s="1685"/>
      <c r="L141" s="16"/>
      <c r="M141" s="24">
        <f t="shared" si="63"/>
        <v>0</v>
      </c>
      <c r="N141" s="47" t="str">
        <f t="shared" si="64"/>
        <v>kWh</v>
      </c>
      <c r="O141" s="909"/>
      <c r="P141" s="154"/>
      <c r="Q141" s="59">
        <f t="shared" si="65"/>
        <v>1</v>
      </c>
      <c r="R141" s="15"/>
      <c r="S141" s="25"/>
      <c r="T141" s="47" t="str">
        <f>IFERROR(INDEX(energiedragers_EP_eenheden,MATCH($J141,tabellen_EMD!$C$196:$C$204,0),MATCH($B141,energiedragers_EP_eenheden_titel,0)),"-")</f>
        <v>-</v>
      </c>
      <c r="U141" s="39"/>
      <c r="V141" s="154"/>
      <c r="W141" s="59">
        <f t="shared" si="66"/>
        <v>0</v>
      </c>
      <c r="X141" s="47" t="str">
        <f t="shared" si="67"/>
        <v>kg/-</v>
      </c>
      <c r="Y141" s="12"/>
      <c r="Z141" s="24">
        <f t="shared" si="68"/>
        <v>0</v>
      </c>
      <c r="AA141" s="47" t="s">
        <v>468</v>
      </c>
      <c r="AB141" s="67"/>
      <c r="AC141" s="995"/>
      <c r="AD141" s="1405"/>
      <c r="AE141" s="1405"/>
      <c r="AF141" s="1405"/>
      <c r="AG141" s="1405"/>
      <c r="AH141" s="1405"/>
      <c r="AI141" s="1405"/>
      <c r="AJ141" s="1405"/>
      <c r="AK141" s="1405"/>
      <c r="AL141" s="1405"/>
      <c r="AM141" s="1405"/>
      <c r="AN141" s="1405"/>
      <c r="AO141" s="1405"/>
      <c r="AP141" s="1405"/>
      <c r="AQ141" s="1405"/>
      <c r="AR141" s="1405"/>
      <c r="AS141" s="67"/>
      <c r="AT141" s="995"/>
      <c r="AU141" s="12"/>
      <c r="AV141" s="22" t="str">
        <f t="shared" si="61"/>
        <v>koeling</v>
      </c>
      <c r="AW141" s="46">
        <f t="shared" si="62"/>
        <v>0</v>
      </c>
      <c r="AX141" s="24"/>
      <c r="AY141" s="12"/>
      <c r="AZ141" s="115">
        <v>1</v>
      </c>
      <c r="BA141" s="24">
        <f>IFERROR(INDEX(tabellen_EMD!$C$185:$N$193,MATCH($J141,tabellen_EMD!$C$185:$C$193,0),MATCH(BA$63,tabellen_EMD!$C$185:$N$185,0)),0)</f>
        <v>0</v>
      </c>
      <c r="BB141" s="115" t="e">
        <f t="shared" si="69"/>
        <v>#N/A</v>
      </c>
      <c r="BC141" s="899"/>
      <c r="BD141" s="115">
        <f t="shared" si="70"/>
        <v>1</v>
      </c>
      <c r="BE141" s="47" t="str">
        <f t="shared" si="71"/>
        <v>kWh/-</v>
      </c>
      <c r="BF141" s="899"/>
      <c r="BG141" s="218">
        <f>IFERROR(INDEX(tabellen_EMD!$C$240:$Z$248,MATCH($J141,tabellen_EMD!$C$240:$C$248,0),MATCH($B141,tabellen_EMD!$C$240:$Z$240,0))*(F141&lt;&gt;"zomercomfort"),0)</f>
        <v>0</v>
      </c>
      <c r="BH141" s="47" t="str">
        <f t="shared" si="72"/>
        <v>kg/-</v>
      </c>
      <c r="BI141" s="899"/>
    </row>
    <row r="142" spans="1:61" hidden="1">
      <c r="A142" s="86"/>
      <c r="B142" s="47" t="str">
        <f t="shared" si="60"/>
        <v>VABI NTA 8800</v>
      </c>
      <c r="C142" s="47" t="str">
        <f t="shared" si="60"/>
        <v>NTA 8800</v>
      </c>
      <c r="D142" s="943"/>
      <c r="E142" s="14"/>
      <c r="F142" s="22" t="s">
        <v>505</v>
      </c>
      <c r="G142" s="22"/>
      <c r="H142" s="22"/>
      <c r="I142" s="905"/>
      <c r="J142" s="1691" t="s">
        <v>465</v>
      </c>
      <c r="K142" s="1698"/>
      <c r="L142" s="16"/>
      <c r="M142" s="24">
        <f t="shared" si="63"/>
        <v>0</v>
      </c>
      <c r="N142" s="47" t="str">
        <f t="shared" si="64"/>
        <v>kWh</v>
      </c>
      <c r="O142" s="909"/>
      <c r="P142" s="39"/>
      <c r="Q142" s="59">
        <f t="shared" si="65"/>
        <v>1.45</v>
      </c>
      <c r="R142" s="15"/>
      <c r="S142" s="25"/>
      <c r="T142" s="47" t="str">
        <f>IFERROR(INDEX(energiedragers_EP_eenheden,MATCH($J142,tabellen_EMD!$C$196:$C$204,0),MATCH($B142,energiedragers_EP_eenheden_titel,0)),"-")</f>
        <v>kWh</v>
      </c>
      <c r="U142" s="39"/>
      <c r="V142" s="15"/>
      <c r="W142" s="59">
        <f t="shared" si="66"/>
        <v>0.34</v>
      </c>
      <c r="X142" s="47" t="str">
        <f t="shared" si="67"/>
        <v>kg/kWh</v>
      </c>
      <c r="Y142" s="12"/>
      <c r="Z142" s="24">
        <f t="shared" si="68"/>
        <v>0</v>
      </c>
      <c r="AA142" s="47" t="s">
        <v>468</v>
      </c>
      <c r="AB142" s="67"/>
      <c r="AC142" s="995"/>
      <c r="AD142" s="1405"/>
      <c r="AE142" s="1405"/>
      <c r="AF142" s="1405"/>
      <c r="AG142" s="1405"/>
      <c r="AH142" s="1405"/>
      <c r="AI142" s="1405"/>
      <c r="AJ142" s="1405"/>
      <c r="AK142" s="1405"/>
      <c r="AL142" s="1405"/>
      <c r="AM142" s="1405"/>
      <c r="AN142" s="1405"/>
      <c r="AO142" s="1405"/>
      <c r="AP142" s="1405"/>
      <c r="AQ142" s="1405"/>
      <c r="AR142" s="1405"/>
      <c r="AS142" s="67"/>
      <c r="AT142" s="995"/>
      <c r="AU142" s="12"/>
      <c r="AV142" s="22" t="str">
        <f t="shared" si="61"/>
        <v>bevochtiging</v>
      </c>
      <c r="AW142" s="46" t="str">
        <f t="shared" si="62"/>
        <v>elektriciteit</v>
      </c>
      <c r="AX142" s="24"/>
      <c r="AY142" s="12"/>
      <c r="AZ142" s="115">
        <v>1</v>
      </c>
      <c r="BA142" s="24">
        <f>IFERROR(INDEX(tabellen_EMD!$C$185:$N$193,MATCH($J142,tabellen_EMD!$C$185:$C$193,0),MATCH(BA$63,tabellen_EMD!$C$185:$N$185,0)),0)</f>
        <v>0</v>
      </c>
      <c r="BB142" s="115">
        <f t="shared" si="69"/>
        <v>1.45</v>
      </c>
      <c r="BC142" s="899"/>
      <c r="BD142" s="115">
        <f t="shared" si="70"/>
        <v>1</v>
      </c>
      <c r="BE142" s="47" t="str">
        <f t="shared" si="71"/>
        <v>kWh/kWh</v>
      </c>
      <c r="BF142" s="899"/>
      <c r="BG142" s="218">
        <f>IFERROR(INDEX(tabellen_EMD!$C$240:$Z$248,MATCH($J142,tabellen_EMD!$C$240:$C$248,0),MATCH($B142,tabellen_EMD!$C$240:$Z$240,0))*(F142&lt;&gt;"zomercomfort"),0)</f>
        <v>0.34</v>
      </c>
      <c r="BH142" s="47" t="str">
        <f t="shared" si="72"/>
        <v>kg/kWh</v>
      </c>
      <c r="BI142" s="899"/>
    </row>
    <row r="143" spans="1:61" hidden="1">
      <c r="A143" s="86"/>
      <c r="B143" s="47" t="str">
        <f t="shared" si="60"/>
        <v>VABI NTA 8800</v>
      </c>
      <c r="C143" s="47" t="str">
        <f t="shared" si="60"/>
        <v>NTA 8800</v>
      </c>
      <c r="D143" s="943"/>
      <c r="E143" s="14"/>
      <c r="F143" s="22" t="s">
        <v>506</v>
      </c>
      <c r="G143" s="22"/>
      <c r="H143" s="22"/>
      <c r="I143" s="905"/>
      <c r="J143" s="1691" t="s">
        <v>465</v>
      </c>
      <c r="K143" s="1698"/>
      <c r="L143" s="16"/>
      <c r="M143" s="24">
        <f t="shared" si="63"/>
        <v>0</v>
      </c>
      <c r="N143" s="47" t="str">
        <f t="shared" si="64"/>
        <v>kWh</v>
      </c>
      <c r="O143" s="909"/>
      <c r="P143" s="39"/>
      <c r="Q143" s="59">
        <f t="shared" si="65"/>
        <v>1.45</v>
      </c>
      <c r="R143" s="15"/>
      <c r="S143" s="25"/>
      <c r="T143" s="47" t="str">
        <f>IFERROR(INDEX(energiedragers_EP_eenheden,MATCH($J143,tabellen_EMD!$C$196:$C$204,0),MATCH($B143,energiedragers_EP_eenheden_titel,0)),"-")</f>
        <v>kWh</v>
      </c>
      <c r="U143" s="39"/>
      <c r="V143" s="15"/>
      <c r="W143" s="59">
        <f t="shared" si="66"/>
        <v>0.34</v>
      </c>
      <c r="X143" s="47" t="str">
        <f t="shared" si="67"/>
        <v>kg/kWh</v>
      </c>
      <c r="Y143" s="12"/>
      <c r="Z143" s="24">
        <f t="shared" si="68"/>
        <v>0</v>
      </c>
      <c r="AA143" s="47" t="s">
        <v>468</v>
      </c>
      <c r="AB143" s="67"/>
      <c r="AC143" s="995"/>
      <c r="AD143" s="1405"/>
      <c r="AE143" s="1405"/>
      <c r="AF143" s="1405"/>
      <c r="AG143" s="1405"/>
      <c r="AH143" s="1405"/>
      <c r="AI143" s="1405"/>
      <c r="AJ143" s="1405"/>
      <c r="AK143" s="1405"/>
      <c r="AL143" s="1405"/>
      <c r="AM143" s="1405"/>
      <c r="AN143" s="1405"/>
      <c r="AO143" s="1405"/>
      <c r="AP143" s="1405"/>
      <c r="AQ143" s="1405"/>
      <c r="AR143" s="1405"/>
      <c r="AS143" s="67"/>
      <c r="AT143" s="995"/>
      <c r="AU143" s="12"/>
      <c r="AV143" s="22" t="str">
        <f t="shared" si="61"/>
        <v>ontvochtiging</v>
      </c>
      <c r="AW143" s="46" t="str">
        <f t="shared" si="62"/>
        <v>elektriciteit</v>
      </c>
      <c r="AX143" s="24"/>
      <c r="AY143" s="12"/>
      <c r="AZ143" s="115">
        <v>1</v>
      </c>
      <c r="BA143" s="24">
        <f>IFERROR(INDEX(tabellen_EMD!$C$185:$N$193,MATCH($J143,tabellen_EMD!$C$185:$C$193,0),MATCH(BA$63,tabellen_EMD!$C$185:$N$185,0)),0)</f>
        <v>0</v>
      </c>
      <c r="BB143" s="115">
        <f t="shared" si="69"/>
        <v>1.45</v>
      </c>
      <c r="BC143" s="899"/>
      <c r="BD143" s="115">
        <f t="shared" si="70"/>
        <v>1</v>
      </c>
      <c r="BE143" s="47" t="str">
        <f t="shared" si="71"/>
        <v>kWh/kWh</v>
      </c>
      <c r="BF143" s="899"/>
      <c r="BG143" s="218">
        <f>IFERROR(INDEX(tabellen_EMD!$C$240:$Z$248,MATCH($J143,tabellen_EMD!$C$240:$C$248,0),MATCH($B143,tabellen_EMD!$C$240:$Z$240,0))*(F143&lt;&gt;"zomercomfort"),0)</f>
        <v>0.34</v>
      </c>
      <c r="BH143" s="47" t="str">
        <f t="shared" si="72"/>
        <v>kg/kWh</v>
      </c>
      <c r="BI143" s="899"/>
    </row>
    <row r="144" spans="1:61" hidden="1">
      <c r="A144" s="18"/>
      <c r="B144" s="47" t="str">
        <f t="shared" si="60"/>
        <v>VABI NTA 8800</v>
      </c>
      <c r="C144" s="47" t="str">
        <f t="shared" si="60"/>
        <v>NTA 8800</v>
      </c>
      <c r="D144" s="943"/>
      <c r="E144" s="14"/>
      <c r="F144" s="22" t="s">
        <v>507</v>
      </c>
      <c r="G144" s="22"/>
      <c r="H144" s="22"/>
      <c r="I144" s="905"/>
      <c r="J144" s="1691" t="s">
        <v>465</v>
      </c>
      <c r="K144" s="1698"/>
      <c r="L144" s="16"/>
      <c r="M144" s="24">
        <f t="shared" si="63"/>
        <v>0</v>
      </c>
      <c r="N144" s="47" t="str">
        <f t="shared" si="64"/>
        <v>kWh</v>
      </c>
      <c r="O144" s="909"/>
      <c r="P144" s="39"/>
      <c r="Q144" s="59">
        <f t="shared" si="65"/>
        <v>1.45</v>
      </c>
      <c r="R144" s="15"/>
      <c r="S144" s="25"/>
      <c r="T144" s="47" t="str">
        <f>IFERROR(INDEX(energiedragers_EP_eenheden,MATCH($J144,tabellen_EMD!$C$196:$C$204,0),MATCH($B144,energiedragers_EP_eenheden_titel,0)),"-")</f>
        <v>kWh</v>
      </c>
      <c r="U144" s="39"/>
      <c r="V144" s="15"/>
      <c r="W144" s="59">
        <f t="shared" si="66"/>
        <v>0.34</v>
      </c>
      <c r="X144" s="47" t="str">
        <f t="shared" si="67"/>
        <v>kg/kWh</v>
      </c>
      <c r="Y144" s="12"/>
      <c r="Z144" s="24">
        <f t="shared" si="68"/>
        <v>0</v>
      </c>
      <c r="AA144" s="47" t="s">
        <v>468</v>
      </c>
      <c r="AB144" s="67"/>
      <c r="AC144" s="995"/>
      <c r="AD144" s="1405"/>
      <c r="AE144" s="1405"/>
      <c r="AF144" s="1405"/>
      <c r="AG144" s="1405"/>
      <c r="AH144" s="1405"/>
      <c r="AI144" s="1405"/>
      <c r="AJ144" s="1405"/>
      <c r="AK144" s="1405"/>
      <c r="AL144" s="1405"/>
      <c r="AM144" s="1405"/>
      <c r="AN144" s="1405"/>
      <c r="AO144" s="1405"/>
      <c r="AP144" s="1405"/>
      <c r="AQ144" s="1405"/>
      <c r="AR144" s="1405"/>
      <c r="AS144" s="67"/>
      <c r="AT144" s="995"/>
      <c r="AU144" s="12"/>
      <c r="AV144" s="22" t="str">
        <f t="shared" si="61"/>
        <v>verlichting</v>
      </c>
      <c r="AW144" s="46" t="str">
        <f t="shared" si="62"/>
        <v>elektriciteit</v>
      </c>
      <c r="AX144" s="24"/>
      <c r="AY144" s="12"/>
      <c r="AZ144" s="115">
        <v>1</v>
      </c>
      <c r="BA144" s="24">
        <f>IFERROR(INDEX(tabellen_EMD!$C$185:$N$193,MATCH($J144,tabellen_EMD!$C$185:$C$193,0),MATCH(BA$63,tabellen_EMD!$C$185:$N$185,0)),0)</f>
        <v>0</v>
      </c>
      <c r="BB144" s="115">
        <f t="shared" si="69"/>
        <v>1.45</v>
      </c>
      <c r="BC144" s="899"/>
      <c r="BD144" s="115">
        <f t="shared" si="70"/>
        <v>1</v>
      </c>
      <c r="BE144" s="47" t="str">
        <f t="shared" si="71"/>
        <v>kWh/kWh</v>
      </c>
      <c r="BF144" s="899"/>
      <c r="BG144" s="218">
        <f>IFERROR(INDEX(tabellen_EMD!$C$240:$Z$248,MATCH($J144,tabellen_EMD!$C$240:$C$248,0),MATCH($B144,tabellen_EMD!$C$240:$Z$240,0))*(F144&lt;&gt;"zomercomfort"),0)</f>
        <v>0.34</v>
      </c>
      <c r="BH144" s="47" t="str">
        <f t="shared" si="72"/>
        <v>kg/kWh</v>
      </c>
      <c r="BI144" s="899"/>
    </row>
    <row r="145" spans="1:61" s="18" customFormat="1" hidden="1">
      <c r="A145" s="49"/>
      <c r="B145" s="47" t="str">
        <f t="shared" si="60"/>
        <v>VABI NTA 8800</v>
      </c>
      <c r="C145" s="47" t="str">
        <f t="shared" si="60"/>
        <v>NTA 8800</v>
      </c>
      <c r="D145" s="943"/>
      <c r="E145" s="14"/>
      <c r="F145" s="22" t="s">
        <v>508</v>
      </c>
      <c r="G145" s="22"/>
      <c r="H145" s="22"/>
      <c r="I145" s="905"/>
      <c r="J145" s="1691" t="s">
        <v>465</v>
      </c>
      <c r="K145" s="1698"/>
      <c r="L145" s="16"/>
      <c r="M145" s="24">
        <f t="shared" si="63"/>
        <v>0</v>
      </c>
      <c r="N145" s="47" t="str">
        <f t="shared" si="64"/>
        <v>kWh</v>
      </c>
      <c r="O145" s="909"/>
      <c r="P145" s="39"/>
      <c r="Q145" s="59">
        <f t="shared" si="65"/>
        <v>1.45</v>
      </c>
      <c r="R145" s="15"/>
      <c r="S145" s="25"/>
      <c r="T145" s="47" t="str">
        <f>IFERROR(INDEX(energiedragers_EP_eenheden,MATCH($J145,tabellen_EMD!$C$196:$C$204,0),MATCH($B145,energiedragers_EP_eenheden_titel,0)),"-")</f>
        <v>kWh</v>
      </c>
      <c r="U145" s="39"/>
      <c r="V145" s="15"/>
      <c r="W145" s="59">
        <f t="shared" si="66"/>
        <v>0.34</v>
      </c>
      <c r="X145" s="47" t="str">
        <f t="shared" si="67"/>
        <v>kg/kWh</v>
      </c>
      <c r="Y145" s="12"/>
      <c r="Z145" s="24">
        <f t="shared" si="68"/>
        <v>0</v>
      </c>
      <c r="AA145" s="47" t="s">
        <v>468</v>
      </c>
      <c r="AB145" s="67"/>
      <c r="AC145" s="995"/>
      <c r="AD145" s="1405"/>
      <c r="AE145" s="1405"/>
      <c r="AF145" s="1405"/>
      <c r="AG145" s="1405"/>
      <c r="AH145" s="1405"/>
      <c r="AI145" s="1405"/>
      <c r="AJ145" s="1405"/>
      <c r="AK145" s="1405"/>
      <c r="AL145" s="1405"/>
      <c r="AM145" s="1405"/>
      <c r="AN145" s="1405"/>
      <c r="AO145" s="1405"/>
      <c r="AP145" s="1405"/>
      <c r="AQ145" s="1405"/>
      <c r="AR145" s="1405"/>
      <c r="AS145" s="67"/>
      <c r="AT145" s="995"/>
      <c r="AU145" s="12"/>
      <c r="AV145" s="22" t="str">
        <f t="shared" si="61"/>
        <v>hulpenergie elektrisch</v>
      </c>
      <c r="AW145" s="46" t="str">
        <f t="shared" si="62"/>
        <v>elektriciteit</v>
      </c>
      <c r="AX145" s="24"/>
      <c r="AY145" s="12"/>
      <c r="AZ145" s="115">
        <v>1</v>
      </c>
      <c r="BA145" s="24">
        <f>IFERROR(INDEX(tabellen_EMD!$C$185:$N$193,MATCH($J145,tabellen_EMD!$C$185:$C$193,0),MATCH(BA$63,tabellen_EMD!$C$185:$N$185,0)),0)</f>
        <v>0</v>
      </c>
      <c r="BB145" s="115">
        <f t="shared" si="69"/>
        <v>1.45</v>
      </c>
      <c r="BC145" s="899"/>
      <c r="BD145" s="115">
        <f t="shared" si="70"/>
        <v>1</v>
      </c>
      <c r="BE145" s="47" t="str">
        <f t="shared" si="71"/>
        <v>kWh/kWh</v>
      </c>
      <c r="BF145" s="899"/>
      <c r="BG145" s="218">
        <f>IFERROR(INDEX(tabellen_EMD!$C$240:$Z$248,MATCH($J145,tabellen_EMD!$C$240:$C$248,0),MATCH($B145,tabellen_EMD!$C$240:$Z$240,0))*(F145&lt;&gt;"zomercomfort"),0)</f>
        <v>0.34</v>
      </c>
      <c r="BH145" s="47" t="str">
        <f t="shared" si="72"/>
        <v>kg/kWh</v>
      </c>
      <c r="BI145" s="899"/>
    </row>
    <row r="146" spans="1:61" hidden="1">
      <c r="A146" s="49"/>
      <c r="B146" s="47" t="str">
        <f t="shared" si="60"/>
        <v>VABI NTA 8800</v>
      </c>
      <c r="C146" s="47" t="str">
        <f t="shared" si="60"/>
        <v>NTA 8800</v>
      </c>
      <c r="D146" s="943"/>
      <c r="E146" s="14"/>
      <c r="F146" s="22" t="s">
        <v>1443</v>
      </c>
      <c r="G146" s="22"/>
      <c r="H146" s="22"/>
      <c r="I146" s="905"/>
      <c r="J146" s="1691" t="s">
        <v>463</v>
      </c>
      <c r="K146" s="1698"/>
      <c r="L146" s="16"/>
      <c r="M146" s="24">
        <f t="shared" si="63"/>
        <v>0</v>
      </c>
      <c r="N146" s="47" t="str">
        <f t="shared" si="64"/>
        <v>kWh</v>
      </c>
      <c r="O146" s="909"/>
      <c r="P146" s="39"/>
      <c r="Q146" s="59">
        <f t="shared" si="65"/>
        <v>1</v>
      </c>
      <c r="R146" s="15"/>
      <c r="S146" s="25"/>
      <c r="T146" s="47" t="str">
        <f>IFERROR(INDEX(energiedragers_EP_eenheden,MATCH($J146,tabellen_EMD!$C$196:$C$204,0),MATCH($B146,energiedragers_EP_eenheden_titel,0)),"-")</f>
        <v>kWh</v>
      </c>
      <c r="U146" s="39"/>
      <c r="V146" s="15"/>
      <c r="W146" s="59">
        <f t="shared" si="66"/>
        <v>0.183</v>
      </c>
      <c r="X146" s="47" t="str">
        <f t="shared" si="67"/>
        <v>kg/kWh</v>
      </c>
      <c r="Y146" s="12"/>
      <c r="Z146" s="24">
        <f t="shared" si="68"/>
        <v>0</v>
      </c>
      <c r="AA146" s="47" t="s">
        <v>468</v>
      </c>
      <c r="AB146" s="67"/>
      <c r="AC146" s="995"/>
      <c r="AD146" s="1405"/>
      <c r="AE146" s="1405"/>
      <c r="AF146" s="1405"/>
      <c r="AG146" s="1405"/>
      <c r="AH146" s="1405"/>
      <c r="AI146" s="1405"/>
      <c r="AJ146" s="1405"/>
      <c r="AK146" s="1405"/>
      <c r="AL146" s="1405"/>
      <c r="AM146" s="1405"/>
      <c r="AN146" s="1405"/>
      <c r="AO146" s="1405"/>
      <c r="AP146" s="1405"/>
      <c r="AQ146" s="1405"/>
      <c r="AR146" s="1405"/>
      <c r="AS146" s="67"/>
      <c r="AT146" s="995"/>
      <c r="AU146" s="12"/>
      <c r="AV146" s="22" t="str">
        <f t="shared" si="61"/>
        <v>hulpenergie waakvlam</v>
      </c>
      <c r="AW146" s="46" t="str">
        <f t="shared" si="62"/>
        <v>aardgas</v>
      </c>
      <c r="AX146" s="24"/>
      <c r="AY146" s="12"/>
      <c r="AZ146" s="115">
        <v>1</v>
      </c>
      <c r="BA146" s="24">
        <f>IFERROR(INDEX(tabellen_EMD!$C$185:$N$193,MATCH($J146,tabellen_EMD!$C$185:$C$193,0),MATCH(BA$63,tabellen_EMD!$C$185:$N$185,0)),0)</f>
        <v>0</v>
      </c>
      <c r="BB146" s="115">
        <f t="shared" si="69"/>
        <v>1</v>
      </c>
      <c r="BC146" s="899"/>
      <c r="BD146" s="115">
        <f t="shared" si="70"/>
        <v>1</v>
      </c>
      <c r="BE146" s="47" t="str">
        <f t="shared" si="71"/>
        <v>kWh/kWh</v>
      </c>
      <c r="BF146" s="899"/>
      <c r="BG146" s="218">
        <f>IFERROR(INDEX(tabellen_EMD!$C$240:$Z$248,MATCH($J146,tabellen_EMD!$C$240:$C$248,0),MATCH($B146,tabellen_EMD!$C$240:$Z$240,0))*(F146&lt;&gt;"zomercomfort"),0)</f>
        <v>0.183</v>
      </c>
      <c r="BH146" s="47" t="str">
        <f t="shared" si="72"/>
        <v>kg/kWh</v>
      </c>
      <c r="BI146" s="899"/>
    </row>
    <row r="147" spans="1:61" hidden="1">
      <c r="A147" s="86"/>
      <c r="B147" s="47" t="str">
        <f t="shared" si="60"/>
        <v>VABI NTA 8800</v>
      </c>
      <c r="C147" s="47" t="str">
        <f t="shared" si="60"/>
        <v>NTA 8800</v>
      </c>
      <c r="D147" s="943"/>
      <c r="E147" s="50"/>
      <c r="F147" s="22" t="s">
        <v>509</v>
      </c>
      <c r="G147" s="22"/>
      <c r="H147" s="22"/>
      <c r="I147" s="905"/>
      <c r="J147" s="1691" t="s">
        <v>466</v>
      </c>
      <c r="K147" s="1698"/>
      <c r="L147" s="16"/>
      <c r="M147" s="24">
        <f t="shared" si="63"/>
        <v>0</v>
      </c>
      <c r="N147" s="47" t="str">
        <f t="shared" si="64"/>
        <v>kWh</v>
      </c>
      <c r="O147" s="909"/>
      <c r="P147" s="39"/>
      <c r="Q147" s="59">
        <f t="shared" si="65"/>
        <v>1.45</v>
      </c>
      <c r="R147" s="15"/>
      <c r="S147" s="25"/>
      <c r="T147" s="47" t="str">
        <f>IFERROR(INDEX(energiedragers_EP_eenheden,MATCH($J147,tabellen_EMD!$C$196:$C$204,0),MATCH($B147,energiedragers_EP_eenheden_titel,0)),"-")</f>
        <v>kWh</v>
      </c>
      <c r="U147" s="39"/>
      <c r="V147" s="15"/>
      <c r="W147" s="59">
        <f t="shared" si="66"/>
        <v>0.34</v>
      </c>
      <c r="X147" s="47" t="str">
        <f t="shared" si="67"/>
        <v>kg/kWh</v>
      </c>
      <c r="Y147" s="12"/>
      <c r="Z147" s="24">
        <f t="shared" si="68"/>
        <v>0</v>
      </c>
      <c r="AA147" s="47" t="s">
        <v>468</v>
      </c>
      <c r="AB147" s="1393"/>
      <c r="AC147" s="1001"/>
      <c r="AD147" s="1405"/>
      <c r="AE147" s="1405"/>
      <c r="AF147" s="1405"/>
      <c r="AG147" s="1405"/>
      <c r="AH147" s="1405"/>
      <c r="AI147" s="1405"/>
      <c r="AJ147" s="1405"/>
      <c r="AK147" s="1405"/>
      <c r="AL147" s="1405"/>
      <c r="AM147" s="1405"/>
      <c r="AN147" s="1405"/>
      <c r="AO147" s="1405"/>
      <c r="AP147" s="1405"/>
      <c r="AQ147" s="1405"/>
      <c r="AR147" s="1405"/>
      <c r="AS147" s="1393"/>
      <c r="AT147" s="1001"/>
      <c r="AU147" s="12"/>
      <c r="AV147" s="22" t="str">
        <f t="shared" si="61"/>
        <v>elektriciteitsopwekking</v>
      </c>
      <c r="AW147" s="46" t="str">
        <f t="shared" si="62"/>
        <v>elektriciteit opgewekt</v>
      </c>
      <c r="AX147" s="24"/>
      <c r="AY147" s="12"/>
      <c r="AZ147" s="115">
        <v>1</v>
      </c>
      <c r="BA147" s="24">
        <f>IFERROR(INDEX(tabellen_EMD!$C$185:$N$193,MATCH($J147,tabellen_EMD!$C$185:$C$193,0),MATCH(BA$63,tabellen_EMD!$C$185:$N$185,0)),0)</f>
        <v>0</v>
      </c>
      <c r="BB147" s="115">
        <f t="shared" si="69"/>
        <v>1.45</v>
      </c>
      <c r="BC147" s="899"/>
      <c r="BD147" s="115">
        <f t="shared" si="70"/>
        <v>1</v>
      </c>
      <c r="BE147" s="47" t="str">
        <f t="shared" si="71"/>
        <v>kWh/kWh</v>
      </c>
      <c r="BF147" s="899"/>
      <c r="BG147" s="218">
        <f>IFERROR(INDEX(tabellen_EMD!$C$240:$Z$248,MATCH($J147,tabellen_EMD!$C$240:$C$248,0),MATCH($B147,tabellen_EMD!$C$240:$Z$240,0))*(F147&lt;&gt;"zomercomfort"),0)</f>
        <v>0.34</v>
      </c>
      <c r="BH147" s="47" t="str">
        <f t="shared" si="72"/>
        <v>kg/kWh</v>
      </c>
      <c r="BI147" s="899"/>
    </row>
    <row r="148" spans="1:61" s="940" customFormat="1" hidden="1">
      <c r="A148" s="49"/>
      <c r="B148" s="47" t="str">
        <f t="shared" si="60"/>
        <v>VABI NTA 8800</v>
      </c>
      <c r="C148" s="47" t="str">
        <f t="shared" si="60"/>
        <v>NTA 8800</v>
      </c>
      <c r="D148" s="943"/>
      <c r="E148" s="14"/>
      <c r="F148" s="15" t="s">
        <v>1391</v>
      </c>
      <c r="G148" s="951"/>
      <c r="H148" s="15"/>
      <c r="I148" s="905"/>
      <c r="J148" s="43" t="s">
        <v>1391</v>
      </c>
      <c r="K148" s="43"/>
      <c r="L148" s="16"/>
      <c r="M148" s="950">
        <f>SUM(M138:M146)-M147</f>
        <v>0</v>
      </c>
      <c r="N148" s="15" t="str">
        <f t="shared" si="64"/>
        <v>kWh</v>
      </c>
      <c r="O148" s="15"/>
      <c r="P148" s="39"/>
      <c r="Q148" s="39"/>
      <c r="R148" s="15"/>
      <c r="S148" s="899"/>
      <c r="T148" s="899"/>
      <c r="U148" s="39"/>
      <c r="V148" s="39"/>
      <c r="W148" s="39"/>
      <c r="X148" s="39"/>
      <c r="Y148" s="12"/>
      <c r="Z148" s="950">
        <f>SUM(Z138:Z145)-SUM(Z146:Z147)</f>
        <v>0</v>
      </c>
      <c r="AA148" s="15" t="s">
        <v>468</v>
      </c>
      <c r="AB148" s="67"/>
      <c r="AC148" s="995"/>
      <c r="AD148" s="1405"/>
      <c r="AE148" s="1405"/>
      <c r="AF148" s="1405"/>
      <c r="AG148" s="1405"/>
      <c r="AH148" s="1405"/>
      <c r="AI148" s="1405"/>
      <c r="AJ148" s="1405"/>
      <c r="AK148" s="1405"/>
      <c r="AL148" s="1405"/>
      <c r="AM148" s="1405"/>
      <c r="AN148" s="1405"/>
      <c r="AO148" s="1405"/>
      <c r="AP148" s="1405"/>
      <c r="AQ148" s="1405"/>
      <c r="AR148" s="1405"/>
      <c r="AS148" s="67"/>
      <c r="AT148" s="995"/>
      <c r="AU148" s="12"/>
      <c r="AV148" s="22" t="str">
        <f t="shared" si="61"/>
        <v>totaal</v>
      </c>
      <c r="AW148" s="46" t="str">
        <f t="shared" si="62"/>
        <v>totaal</v>
      </c>
      <c r="AX148" s="24"/>
      <c r="AY148" s="12"/>
      <c r="AZ148" s="12"/>
      <c r="BA148" s="12"/>
      <c r="BB148" s="12"/>
      <c r="BC148" s="899"/>
      <c r="BD148" s="899"/>
      <c r="BE148" s="899"/>
      <c r="BF148" s="899"/>
      <c r="BG148" s="15"/>
      <c r="BH148" s="15"/>
      <c r="BI148" s="899"/>
    </row>
    <row r="149" spans="1:61" s="49" customFormat="1" hidden="1">
      <c r="A149" s="212"/>
      <c r="B149" s="47" t="str">
        <f t="shared" si="60"/>
        <v>VABI NTA 8800</v>
      </c>
      <c r="C149" s="47" t="str">
        <f t="shared" si="60"/>
        <v>NTA 8800</v>
      </c>
      <c r="D149" s="943"/>
      <c r="E149" s="50"/>
      <c r="F149" s="452" t="str">
        <f>IFERROR(IF($P$23=$B149,_xlfn.CONCAT("Bij 1.1 ingevuld: ",FIXED($J$35,2,FALSE)," ",$K$35),""),"invoer niet correct")</f>
        <v/>
      </c>
      <c r="G149" s="452"/>
      <c r="H149" s="452"/>
      <c r="I149" s="905"/>
      <c r="J149" s="909" t="str">
        <f>IFERROR(IF($P$23=$B149,IF(ABS((M149-$J$35)/$J$35)&gt;1%,"Afwijking &gt;1% met subthema 1.1",""),""),"invoer niet correct")</f>
        <v/>
      </c>
      <c r="K149" s="909"/>
      <c r="L149" s="910"/>
      <c r="M149" s="1339" t="str">
        <f>IFERROR(IF($P$23=$B149,M148/$J$59,""),"")</f>
        <v/>
      </c>
      <c r="N149" s="452" t="str">
        <f>IF($P$23=$B149,_xlfn.CONCAT(N148,"/m2"),"")</f>
        <v/>
      </c>
      <c r="O149" s="452"/>
      <c r="P149" s="39"/>
      <c r="Q149" s="39"/>
      <c r="R149" s="899"/>
      <c r="S149" s="899"/>
      <c r="T149" s="899"/>
      <c r="U149" s="39"/>
      <c r="V149" s="39"/>
      <c r="W149" s="910" t="str">
        <f>IFERROR(IF($P$23=$B149,_xlfn.CONCAT("Bij 1.1 ingevuld: ",FIXED($AG$40,1,FALSE)," ",$AH$40),""),"invoer niet correct")</f>
        <v/>
      </c>
      <c r="X149" s="909" t="str">
        <f>IFERROR(IF($P$23=$B149,IF(ABS((Z149-$AG$40)/$AG$40)&gt;1%,"afwijking &gt;1% met subthema 1.1",""),""),"invoer niet correct")</f>
        <v/>
      </c>
      <c r="Y149" s="12"/>
      <c r="Z149" s="951" t="str">
        <f>IFERROR(IF($P$23=$B149,Z148/$J$58,""),"")</f>
        <v/>
      </c>
      <c r="AA149" s="452" t="str">
        <f>IF($P$23=$B149,_xlfn.CONCAT(AA148,"/m2"),"")</f>
        <v/>
      </c>
      <c r="AB149" s="1393"/>
      <c r="AC149" s="1001"/>
      <c r="AD149" s="1405"/>
      <c r="AE149" s="1405"/>
      <c r="AF149" s="1405"/>
      <c r="AG149" s="1405"/>
      <c r="AH149" s="1405"/>
      <c r="AI149" s="1405"/>
      <c r="AJ149" s="1405"/>
      <c r="AK149" s="1405"/>
      <c r="AL149" s="1405"/>
      <c r="AM149" s="1405"/>
      <c r="AN149" s="1405"/>
      <c r="AO149" s="1405"/>
      <c r="AP149" s="1405"/>
      <c r="AQ149" s="1405"/>
      <c r="AR149" s="1405"/>
      <c r="AS149" s="1393"/>
      <c r="AT149" s="1001"/>
      <c r="AU149" s="12"/>
      <c r="AV149" s="452"/>
      <c r="AW149" s="452"/>
      <c r="AX149" s="452"/>
      <c r="AY149" s="452"/>
      <c r="AZ149" s="452"/>
      <c r="BA149" s="452"/>
      <c r="BB149" s="452"/>
      <c r="BC149" s="452"/>
      <c r="BD149" s="452"/>
      <c r="BE149" s="452"/>
      <c r="BF149" s="452"/>
      <c r="BG149" s="452"/>
      <c r="BH149" s="452"/>
      <c r="BI149" s="899"/>
    </row>
    <row r="150" spans="1:61" s="49" customFormat="1" hidden="1">
      <c r="B150" s="47" t="str">
        <f>B149</f>
        <v>VABI NTA 8800</v>
      </c>
      <c r="C150" s="47" t="str">
        <f>C149</f>
        <v>NTA 8800</v>
      </c>
      <c r="D150" s="943"/>
      <c r="E150" s="50"/>
      <c r="F150" s="43"/>
      <c r="G150" s="43"/>
      <c r="H150" s="43"/>
      <c r="I150" s="905"/>
      <c r="J150" s="44"/>
      <c r="K150" s="44"/>
      <c r="L150" s="44"/>
      <c r="M150" s="917"/>
      <c r="N150" s="44"/>
      <c r="O150" s="44"/>
      <c r="P150" s="39"/>
      <c r="Q150" s="39"/>
      <c r="R150" s="899"/>
      <c r="S150" s="899"/>
      <c r="T150" s="899"/>
      <c r="U150" s="39"/>
      <c r="V150" s="39"/>
      <c r="W150" s="39"/>
      <c r="X150" s="39"/>
      <c r="Y150" s="12"/>
      <c r="Z150" s="899"/>
      <c r="AA150" s="899"/>
      <c r="AB150" s="1393"/>
      <c r="AC150" s="1001"/>
      <c r="AD150" s="1405"/>
      <c r="AE150" s="1405"/>
      <c r="AF150" s="1405"/>
      <c r="AG150" s="1405"/>
      <c r="AH150" s="1405"/>
      <c r="AI150" s="1405"/>
      <c r="AJ150" s="1405"/>
      <c r="AK150" s="1405"/>
      <c r="AL150" s="1405"/>
      <c r="AM150" s="1405"/>
      <c r="AN150" s="1405"/>
      <c r="AO150" s="1405"/>
      <c r="AP150" s="1405"/>
      <c r="AQ150" s="1405"/>
      <c r="AR150" s="1405"/>
      <c r="AS150" s="1393"/>
      <c r="AT150" s="1001"/>
      <c r="AU150" s="12"/>
      <c r="AV150" s="12"/>
      <c r="AW150" s="12"/>
      <c r="AX150" s="12"/>
      <c r="AY150" s="12"/>
      <c r="AZ150" s="44"/>
      <c r="BA150" s="12"/>
      <c r="BB150" s="44"/>
      <c r="BC150" s="899"/>
      <c r="BD150" s="899"/>
      <c r="BE150" s="899"/>
      <c r="BF150" s="899"/>
      <c r="BG150" s="899"/>
      <c r="BH150" s="899"/>
      <c r="BI150" s="899"/>
    </row>
    <row r="151" spans="1:61" hidden="1">
      <c r="A151" s="49"/>
      <c r="B151" s="939" t="str">
        <f>tabellen_EMD!$C$179</f>
        <v>Uniec 3 per functie</v>
      </c>
      <c r="C151" s="939" t="str">
        <f>VLOOKUP(B151,'NEN 7120 naar GPR4'!$AV$40:$AY$48,COLUMNS($AV$40:$AX$40),FALSE)</f>
        <v>NTA 8800</v>
      </c>
      <c r="D151" s="943"/>
      <c r="E151" s="14"/>
      <c r="F151" s="15" t="str">
        <f>_xlfn.CONCAT("Overnemen uit '",B151,"': ",VLOOKUP(B151,$AV$41:$AZ$48,COLUMNS($AV$40:$AZ$40),FALSE))</f>
        <v>Overnemen uit 'Uniec 3 per functie': Jaarlijkse hoeveelheid energiegebruik voor de energiefunctie</v>
      </c>
      <c r="G151" s="15"/>
      <c r="H151" s="15"/>
      <c r="I151" s="905"/>
      <c r="J151" s="41"/>
      <c r="K151" s="41"/>
      <c r="L151" s="12"/>
      <c r="M151" s="909" t="s">
        <v>1485</v>
      </c>
      <c r="N151" s="41"/>
      <c r="O151" s="41"/>
      <c r="P151" s="453" t="s">
        <v>1487</v>
      </c>
      <c r="Q151" s="39"/>
      <c r="R151" s="39"/>
      <c r="S151" s="453" t="s">
        <v>1484</v>
      </c>
      <c r="T151" s="39"/>
      <c r="U151" s="39"/>
      <c r="V151" s="453" t="s">
        <v>1613</v>
      </c>
      <c r="W151" s="39"/>
      <c r="X151" s="39"/>
      <c r="Y151" s="12"/>
      <c r="Z151" s="453" t="s">
        <v>1536</v>
      </c>
      <c r="AA151" s="12"/>
      <c r="AB151" s="67"/>
      <c r="AC151" s="995"/>
      <c r="AD151" s="1405"/>
      <c r="AE151" s="1405"/>
      <c r="AF151" s="1405"/>
      <c r="AG151" s="1405"/>
      <c r="AH151" s="1405"/>
      <c r="AI151" s="1405"/>
      <c r="AJ151" s="1405"/>
      <c r="AK151" s="1405"/>
      <c r="AL151" s="1405"/>
      <c r="AM151" s="1405"/>
      <c r="AN151" s="1405"/>
      <c r="AO151" s="1405"/>
      <c r="AP151" s="1405"/>
      <c r="AQ151" s="1405"/>
      <c r="AR151" s="1405"/>
      <c r="AS151" s="67"/>
      <c r="AT151" s="995"/>
      <c r="AU151" s="12"/>
      <c r="AV151" s="12"/>
      <c r="AW151" s="12"/>
      <c r="AX151" s="12"/>
      <c r="AY151" s="12"/>
      <c r="AZ151" s="888" t="str">
        <f>AZ$63</f>
        <v>Eenheid energie</v>
      </c>
      <c r="BA151" s="888" t="s">
        <v>1628</v>
      </c>
      <c r="BB151" s="888" t="str">
        <f>BB$63</f>
        <v>PEF finaal → primair</v>
      </c>
      <c r="BC151" s="452"/>
      <c r="BD151" s="452" t="str">
        <f>BD$63</f>
        <v>eenheden omrekenen</v>
      </c>
      <c r="BE151" s="452"/>
      <c r="BF151" s="452"/>
      <c r="BG151" s="888" t="str">
        <f>BG$63</f>
        <v>CO2</v>
      </c>
      <c r="BH151" s="39"/>
      <c r="BI151" s="39"/>
    </row>
    <row r="152" spans="1:61" hidden="1">
      <c r="A152" s="49"/>
      <c r="B152" s="47" t="str">
        <f t="shared" ref="B152:C167" si="73">B151</f>
        <v>Uniec 3 per functie</v>
      </c>
      <c r="C152" s="47" t="str">
        <f t="shared" si="73"/>
        <v>NTA 8800</v>
      </c>
      <c r="D152" s="943"/>
      <c r="E152" s="14"/>
      <c r="F152" s="892" t="s">
        <v>496</v>
      </c>
      <c r="G152" s="892"/>
      <c r="H152" s="892"/>
      <c r="I152" s="905"/>
      <c r="J152" s="909" t="s">
        <v>458</v>
      </c>
      <c r="K152" s="909"/>
      <c r="L152" s="889"/>
      <c r="M152" s="910" t="s">
        <v>1534</v>
      </c>
      <c r="N152" s="452" t="s">
        <v>204</v>
      </c>
      <c r="O152" s="39"/>
      <c r="P152" s="888" t="s">
        <v>1533</v>
      </c>
      <c r="Q152" s="910" t="s">
        <v>1532</v>
      </c>
      <c r="R152" s="452"/>
      <c r="S152" s="888" t="s">
        <v>1534</v>
      </c>
      <c r="T152" s="889" t="s">
        <v>204</v>
      </c>
      <c r="U152" s="39"/>
      <c r="V152" s="888" t="s">
        <v>1533</v>
      </c>
      <c r="W152" s="910" t="s">
        <v>1532</v>
      </c>
      <c r="X152" s="889" t="s">
        <v>204</v>
      </c>
      <c r="Y152" s="12"/>
      <c r="Z152" s="888" t="s">
        <v>1534</v>
      </c>
      <c r="AA152" s="889" t="s">
        <v>204</v>
      </c>
      <c r="AB152" s="67"/>
      <c r="AC152" s="995"/>
      <c r="AD152" s="1405"/>
      <c r="AE152" s="1405"/>
      <c r="AF152" s="1405"/>
      <c r="AG152" s="1405"/>
      <c r="AH152" s="1405"/>
      <c r="AI152" s="1405"/>
      <c r="AJ152" s="1405"/>
      <c r="AK152" s="1405"/>
      <c r="AL152" s="1405"/>
      <c r="AM152" s="1405"/>
      <c r="AN152" s="1405"/>
      <c r="AO152" s="1405"/>
      <c r="AP152" s="1405"/>
      <c r="AQ152" s="1405"/>
      <c r="AR152" s="1405"/>
      <c r="AS152" s="67"/>
      <c r="AT152" s="995"/>
      <c r="AU152" s="12"/>
      <c r="AV152" s="892" t="str">
        <f t="shared" ref="AV152:AV166" si="74">F152</f>
        <v>energiefunctie</v>
      </c>
      <c r="AW152" s="452" t="str">
        <f t="shared" ref="AW152:AW166" si="75">J152</f>
        <v>energiedrager</v>
      </c>
      <c r="AX152" s="910"/>
      <c r="AY152" s="12"/>
      <c r="AZ152" s="888" t="str">
        <f>AZ$64</f>
        <v>pos/neg</v>
      </c>
      <c r="BA152" s="888"/>
      <c r="BB152" s="888" t="str">
        <f>BB$64</f>
        <v>default</v>
      </c>
      <c r="BC152" s="452"/>
      <c r="BD152" s="452" t="str">
        <f>BD$64</f>
        <v>waarde</v>
      </c>
      <c r="BE152" s="452" t="str">
        <f>BE$64</f>
        <v>eenheden</v>
      </c>
      <c r="BF152" s="452"/>
      <c r="BG152" s="888" t="str">
        <f>BG$64</f>
        <v>default</v>
      </c>
      <c r="BH152" s="888" t="str">
        <f>BH$64</f>
        <v>eenheid</v>
      </c>
      <c r="BI152" s="452"/>
    </row>
    <row r="153" spans="1:61" hidden="1">
      <c r="A153" s="86"/>
      <c r="B153" s="47" t="str">
        <f>B156</f>
        <v>Uniec 3 per functie</v>
      </c>
      <c r="C153" s="47" t="str">
        <f>C156</f>
        <v>NTA 8800</v>
      </c>
      <c r="D153" s="943"/>
      <c r="E153" s="14"/>
      <c r="F153" s="22" t="s">
        <v>1508</v>
      </c>
      <c r="G153" s="22"/>
      <c r="H153" s="22"/>
      <c r="I153" s="905"/>
      <c r="J153" s="1685"/>
      <c r="K153" s="1685"/>
      <c r="L153" s="16"/>
      <c r="M153" s="25"/>
      <c r="N153" s="22" t="str">
        <f>INDEX(EP_methode_eenheid,1,MATCH($C153,EP_methode,0))</f>
        <v>kWh</v>
      </c>
      <c r="O153" s="15"/>
      <c r="P153" s="154"/>
      <c r="Q153" s="59">
        <f t="shared" ref="Q153:Q161" si="76">IFERROR(IF(AND(P153&lt;&gt;"",$BA153=1),P153,BB153),1)</f>
        <v>1</v>
      </c>
      <c r="R153" s="15"/>
      <c r="S153" s="59">
        <f t="shared" ref="S153:S161" si="77">M153/Q153/BD153</f>
        <v>0</v>
      </c>
      <c r="T153" s="47" t="str">
        <f>IFERROR(INDEX(energiedragers_EP_eenheden,MATCH($J153,tabellen_EMD!$C$196:$C$204,0),MATCH($B153,energiedragers_EP_eenheden_titel,0)),"-")</f>
        <v>-</v>
      </c>
      <c r="U153" s="213" t="s">
        <v>396</v>
      </c>
      <c r="V153" s="154"/>
      <c r="W153" s="59">
        <f t="shared" ref="W153:W161" si="78">IF(AND(V153&lt;&gt;"",$BA153=1),V153,BG153)</f>
        <v>0</v>
      </c>
      <c r="X153" s="47" t="str">
        <f t="shared" ref="X153:X165" si="79">BH153</f>
        <v>kg/-</v>
      </c>
      <c r="Y153" s="12"/>
      <c r="Z153" s="24">
        <f t="shared" ref="Z153:Z161" si="80">S153*W153*ABS(AZ153)</f>
        <v>0</v>
      </c>
      <c r="AA153" s="47" t="s">
        <v>468</v>
      </c>
      <c r="AB153" s="67"/>
      <c r="AC153" s="995"/>
      <c r="AD153" s="1405"/>
      <c r="AE153" s="1405"/>
      <c r="AF153" s="1405"/>
      <c r="AG153" s="1405"/>
      <c r="AH153" s="1405"/>
      <c r="AI153" s="1405"/>
      <c r="AJ153" s="1405"/>
      <c r="AK153" s="1405"/>
      <c r="AL153" s="1405"/>
      <c r="AM153" s="1405"/>
      <c r="AN153" s="1405"/>
      <c r="AO153" s="1405"/>
      <c r="AP153" s="1405"/>
      <c r="AQ153" s="1405"/>
      <c r="AR153" s="1405"/>
      <c r="AS153" s="67"/>
      <c r="AT153" s="995"/>
      <c r="AU153" s="12"/>
      <c r="AV153" s="22" t="str">
        <f t="shared" si="74"/>
        <v>koeling (excl. hulpenergie)</v>
      </c>
      <c r="AW153" s="46">
        <f t="shared" si="75"/>
        <v>0</v>
      </c>
      <c r="AX153" s="24"/>
      <c r="AY153" s="12"/>
      <c r="AZ153" s="115">
        <v>1</v>
      </c>
      <c r="BA153" s="24">
        <f>IFERROR(INDEX(tabellen_EMD!$C$185:$N$193,MATCH($J153,tabellen_EMD!$C$185:$C$193,0),MATCH(BA$63,tabellen_EMD!$C$185:$N$185,0)),0)</f>
        <v>0</v>
      </c>
      <c r="BB153" s="115" t="e">
        <f t="shared" ref="BB153:BB165" si="81">VLOOKUP($J153,energiedragers_EP_PEF,MATCH(_xlfn.CONCAT($C153," | PEF"),energiedragers_EP_PEF_titel,0),FALSE)</f>
        <v>#N/A</v>
      </c>
      <c r="BC153" s="15"/>
      <c r="BD153" s="115">
        <f t="shared" ref="BD153:BD161" si="82">IFERROR(VLOOKUP($J153,energiedragers_EP_omrekenen,MATCH($B153,energiedragers_EP_omrekenen_titel,0),FALSE),1)</f>
        <v>1</v>
      </c>
      <c r="BE153" s="47" t="str">
        <f t="shared" ref="BE153:BE161" si="83">_xlfn.CONCAT(N153,"/",T153)</f>
        <v>kWh/-</v>
      </c>
      <c r="BF153" s="15"/>
      <c r="BG153" s="218">
        <f>IFERROR(INDEX(tabellen_EMD!$C$240:$Z$248,MATCH($J153,tabellen_EMD!$C$240:$C$248,0),MATCH($B153,tabellen_EMD!$C$240:$Z$240,0))*(F153&lt;&gt;"zomercomfort"),0)</f>
        <v>0</v>
      </c>
      <c r="BH153" s="47" t="str">
        <f t="shared" ref="BH153:BH161" si="84">"kg/"&amp;T153</f>
        <v>kg/-</v>
      </c>
      <c r="BI153" s="15"/>
    </row>
    <row r="154" spans="1:61" hidden="1">
      <c r="A154" s="86"/>
      <c r="B154" s="47" t="str">
        <f>B153</f>
        <v>Uniec 3 per functie</v>
      </c>
      <c r="C154" s="47" t="str">
        <f>C153</f>
        <v>NTA 8800</v>
      </c>
      <c r="D154" s="943"/>
      <c r="E154" s="14"/>
      <c r="F154" s="209" t="s">
        <v>1502</v>
      </c>
      <c r="G154" s="209"/>
      <c r="H154" s="209"/>
      <c r="I154" s="905"/>
      <c r="J154" s="1691" t="s">
        <v>465</v>
      </c>
      <c r="K154" s="1698"/>
      <c r="L154" s="16"/>
      <c r="M154" s="25"/>
      <c r="N154" s="22" t="str">
        <f>INDEX(EP_methode_eenheid,1,MATCH($C154,EP_methode,0))</f>
        <v>kWh</v>
      </c>
      <c r="O154" s="15"/>
      <c r="P154" s="39"/>
      <c r="Q154" s="59">
        <f t="shared" si="76"/>
        <v>1.45</v>
      </c>
      <c r="R154" s="15"/>
      <c r="S154" s="24">
        <f t="shared" si="77"/>
        <v>0</v>
      </c>
      <c r="T154" s="47" t="str">
        <f>IFERROR(INDEX(energiedragers_EP_eenheden,MATCH($J154,tabellen_EMD!$C$196:$C$204,0),MATCH($B154,energiedragers_EP_eenheden_titel,0)),"-")</f>
        <v>kWh</v>
      </c>
      <c r="U154" s="39"/>
      <c r="V154" s="15"/>
      <c r="W154" s="59">
        <f t="shared" si="78"/>
        <v>0.34</v>
      </c>
      <c r="X154" s="47" t="str">
        <f t="shared" si="79"/>
        <v>kg/kWh</v>
      </c>
      <c r="Y154" s="12"/>
      <c r="Z154" s="24">
        <f t="shared" si="80"/>
        <v>0</v>
      </c>
      <c r="AA154" s="47" t="s">
        <v>468</v>
      </c>
      <c r="AB154" s="67"/>
      <c r="AC154" s="995"/>
      <c r="AD154" s="1405"/>
      <c r="AE154" s="1405"/>
      <c r="AF154" s="1405"/>
      <c r="AG154" s="1405"/>
      <c r="AH154" s="1405"/>
      <c r="AI154" s="1405"/>
      <c r="AJ154" s="1405"/>
      <c r="AK154" s="1405"/>
      <c r="AL154" s="1405"/>
      <c r="AM154" s="1405"/>
      <c r="AN154" s="1405"/>
      <c r="AO154" s="1405"/>
      <c r="AP154" s="1405"/>
      <c r="AQ154" s="1405"/>
      <c r="AR154" s="1405"/>
      <c r="AS154" s="67"/>
      <c r="AT154" s="995"/>
      <c r="AU154" s="12"/>
      <c r="AV154" s="22" t="str">
        <f t="shared" si="74"/>
        <v>hulpenergie</v>
      </c>
      <c r="AW154" s="46" t="str">
        <f t="shared" si="75"/>
        <v>elektriciteit</v>
      </c>
      <c r="AX154" s="24"/>
      <c r="AY154" s="12"/>
      <c r="AZ154" s="115">
        <v>1</v>
      </c>
      <c r="BA154" s="24">
        <f>IFERROR(INDEX(tabellen_EMD!$C$185:$N$193,MATCH($J154,tabellen_EMD!$C$185:$C$193,0),MATCH(BA$63,tabellen_EMD!$C$185:$N$185,0)),0)</f>
        <v>0</v>
      </c>
      <c r="BB154" s="115">
        <f t="shared" si="81"/>
        <v>1.45</v>
      </c>
      <c r="BC154" s="15"/>
      <c r="BD154" s="115">
        <f t="shared" si="82"/>
        <v>1</v>
      </c>
      <c r="BE154" s="47" t="str">
        <f t="shared" si="83"/>
        <v>kWh/kWh</v>
      </c>
      <c r="BF154" s="15"/>
      <c r="BG154" s="218">
        <f>IFERROR(INDEX(tabellen_EMD!$C$240:$Z$248,MATCH($J154,tabellen_EMD!$C$240:$C$248,0),MATCH($B154,tabellen_EMD!$C$240:$Z$240,0))*(F154&lt;&gt;"zomercomfort"),0)</f>
        <v>0.34</v>
      </c>
      <c r="BH154" s="47" t="str">
        <f t="shared" si="84"/>
        <v>kg/kWh</v>
      </c>
      <c r="BI154" s="15"/>
    </row>
    <row r="155" spans="1:61" hidden="1">
      <c r="A155" s="86"/>
      <c r="B155" s="47" t="str">
        <f>B158</f>
        <v>Uniec 3 per functie</v>
      </c>
      <c r="C155" s="47" t="str">
        <f>C158</f>
        <v>NTA 8800</v>
      </c>
      <c r="D155" s="943"/>
      <c r="E155" s="14"/>
      <c r="F155" s="22" t="s">
        <v>1507</v>
      </c>
      <c r="G155" s="22"/>
      <c r="H155" s="22"/>
      <c r="I155" s="905"/>
      <c r="J155" s="1685"/>
      <c r="K155" s="1685"/>
      <c r="L155" s="16"/>
      <c r="M155" s="25"/>
      <c r="N155" s="22" t="str">
        <f>INDEX(EP_methode_eenheid,1,MATCH($C155,EP_methode,0))</f>
        <v>kWh</v>
      </c>
      <c r="O155" s="15"/>
      <c r="P155" s="154"/>
      <c r="Q155" s="59">
        <f t="shared" si="76"/>
        <v>1</v>
      </c>
      <c r="R155" s="15"/>
      <c r="S155" s="24">
        <f t="shared" si="77"/>
        <v>0</v>
      </c>
      <c r="T155" s="47" t="str">
        <f>IFERROR(INDEX(energiedragers_EP_eenheden,MATCH($J155,tabellen_EMD!$C$196:$C$204,0),MATCH($B155,energiedragers_EP_eenheden_titel,0)),"-")</f>
        <v>-</v>
      </c>
      <c r="U155" s="39"/>
      <c r="V155" s="154"/>
      <c r="W155" s="59">
        <f t="shared" si="78"/>
        <v>0</v>
      </c>
      <c r="X155" s="47" t="str">
        <f t="shared" si="79"/>
        <v>kg/-</v>
      </c>
      <c r="Y155" s="12"/>
      <c r="Z155" s="24">
        <f t="shared" si="80"/>
        <v>0</v>
      </c>
      <c r="AA155" s="47" t="s">
        <v>468</v>
      </c>
      <c r="AB155" s="67"/>
      <c r="AC155" s="995"/>
      <c r="AD155" s="1405"/>
      <c r="AE155" s="1405"/>
      <c r="AF155" s="1405"/>
      <c r="AG155" s="1405"/>
      <c r="AH155" s="1405"/>
      <c r="AI155" s="1405"/>
      <c r="AJ155" s="1405"/>
      <c r="AK155" s="1405"/>
      <c r="AL155" s="1405"/>
      <c r="AM155" s="1405"/>
      <c r="AN155" s="1405"/>
      <c r="AO155" s="1405"/>
      <c r="AP155" s="1405"/>
      <c r="AQ155" s="1405"/>
      <c r="AR155" s="1405"/>
      <c r="AS155" s="67"/>
      <c r="AT155" s="995"/>
      <c r="AU155" s="12"/>
      <c r="AV155" s="22" t="str">
        <f t="shared" si="74"/>
        <v>warm tapwater (excl. hulpenergie)</v>
      </c>
      <c r="AW155" s="46">
        <f t="shared" si="75"/>
        <v>0</v>
      </c>
      <c r="AX155" s="24"/>
      <c r="AY155" s="12"/>
      <c r="AZ155" s="115">
        <v>1</v>
      </c>
      <c r="BA155" s="24">
        <f>IFERROR(INDEX(tabellen_EMD!$C$185:$N$193,MATCH($J155,tabellen_EMD!$C$185:$C$193,0),MATCH(BA$63,tabellen_EMD!$C$185:$N$185,0)),0)</f>
        <v>0</v>
      </c>
      <c r="BB155" s="115" t="e">
        <f t="shared" si="81"/>
        <v>#N/A</v>
      </c>
      <c r="BC155" s="15"/>
      <c r="BD155" s="115">
        <f t="shared" si="82"/>
        <v>1</v>
      </c>
      <c r="BE155" s="47" t="str">
        <f t="shared" si="83"/>
        <v>kWh/-</v>
      </c>
      <c r="BF155" s="15"/>
      <c r="BG155" s="218">
        <f>IFERROR(INDEX(tabellen_EMD!$C$240:$Z$248,MATCH($J155,tabellen_EMD!$C$240:$C$248,0),MATCH($B155,tabellen_EMD!$C$240:$Z$240,0))*(F155&lt;&gt;"zomercomfort"),0)</f>
        <v>0</v>
      </c>
      <c r="BH155" s="47" t="str">
        <f t="shared" si="84"/>
        <v>kg/-</v>
      </c>
      <c r="BI155" s="15"/>
    </row>
    <row r="156" spans="1:61" hidden="1">
      <c r="A156" s="86"/>
      <c r="B156" s="47" t="str">
        <f>B155</f>
        <v>Uniec 3 per functie</v>
      </c>
      <c r="C156" s="47" t="str">
        <f>C155</f>
        <v>NTA 8800</v>
      </c>
      <c r="D156" s="943"/>
      <c r="E156" s="14"/>
      <c r="F156" s="209" t="s">
        <v>1502</v>
      </c>
      <c r="G156" s="209"/>
      <c r="H156" s="209"/>
      <c r="I156" s="905"/>
      <c r="J156" s="1691" t="s">
        <v>465</v>
      </c>
      <c r="K156" s="1698"/>
      <c r="L156" s="16"/>
      <c r="M156" s="25"/>
      <c r="N156" s="22" t="str">
        <f>INDEX(EP_methode_eenheid,1,MATCH($C156,EP_methode,0))</f>
        <v>kWh</v>
      </c>
      <c r="O156" s="15"/>
      <c r="P156" s="39"/>
      <c r="Q156" s="59">
        <f t="shared" si="76"/>
        <v>1.45</v>
      </c>
      <c r="R156" s="15"/>
      <c r="S156" s="24">
        <f t="shared" si="77"/>
        <v>0</v>
      </c>
      <c r="T156" s="47" t="str">
        <f>IFERROR(INDEX(energiedragers_EP_eenheden,MATCH($J156,tabellen_EMD!$C$196:$C$204,0),MATCH($B156,energiedragers_EP_eenheden_titel,0)),"-")</f>
        <v>kWh</v>
      </c>
      <c r="U156" s="39"/>
      <c r="V156" s="15"/>
      <c r="W156" s="59">
        <f t="shared" si="78"/>
        <v>0.34</v>
      </c>
      <c r="X156" s="47" t="str">
        <f t="shared" si="79"/>
        <v>kg/kWh</v>
      </c>
      <c r="Y156" s="12"/>
      <c r="Z156" s="24">
        <f t="shared" si="80"/>
        <v>0</v>
      </c>
      <c r="AA156" s="47" t="s">
        <v>468</v>
      </c>
      <c r="AB156" s="67"/>
      <c r="AC156" s="995"/>
      <c r="AD156" s="1405"/>
      <c r="AE156" s="1405"/>
      <c r="AF156" s="1405"/>
      <c r="AG156" s="1405"/>
      <c r="AH156" s="1405"/>
      <c r="AI156" s="1405"/>
      <c r="AJ156" s="1405"/>
      <c r="AK156" s="1405"/>
      <c r="AL156" s="1405"/>
      <c r="AM156" s="1405"/>
      <c r="AN156" s="1405"/>
      <c r="AO156" s="1405"/>
      <c r="AP156" s="1405"/>
      <c r="AQ156" s="1405"/>
      <c r="AR156" s="1405"/>
      <c r="AS156" s="67"/>
      <c r="AT156" s="995"/>
      <c r="AU156" s="12"/>
      <c r="AV156" s="22" t="str">
        <f t="shared" si="74"/>
        <v>hulpenergie</v>
      </c>
      <c r="AW156" s="46" t="str">
        <f t="shared" si="75"/>
        <v>elektriciteit</v>
      </c>
      <c r="AX156" s="24"/>
      <c r="AY156" s="12"/>
      <c r="AZ156" s="115">
        <v>1</v>
      </c>
      <c r="BA156" s="24">
        <f>IFERROR(INDEX(tabellen_EMD!$C$185:$N$193,MATCH($J156,tabellen_EMD!$C$185:$C$193,0),MATCH(BA$63,tabellen_EMD!$C$185:$N$185,0)),0)</f>
        <v>0</v>
      </c>
      <c r="BB156" s="115">
        <f t="shared" si="81"/>
        <v>1.45</v>
      </c>
      <c r="BC156" s="15"/>
      <c r="BD156" s="115">
        <f t="shared" si="82"/>
        <v>1</v>
      </c>
      <c r="BE156" s="47" t="str">
        <f t="shared" si="83"/>
        <v>kWh/kWh</v>
      </c>
      <c r="BF156" s="15"/>
      <c r="BG156" s="218">
        <f>IFERROR(INDEX(tabellen_EMD!$C$240:$Z$248,MATCH($J156,tabellen_EMD!$C$240:$C$248,0),MATCH($B156,tabellen_EMD!$C$240:$Z$240,0))*(F156&lt;&gt;"zomercomfort"),0)</f>
        <v>0.34</v>
      </c>
      <c r="BH156" s="47" t="str">
        <f t="shared" si="84"/>
        <v>kg/kWh</v>
      </c>
      <c r="BI156" s="15"/>
    </row>
    <row r="157" spans="1:61" hidden="1">
      <c r="A157" s="86"/>
      <c r="B157" s="47" t="str">
        <f>B152</f>
        <v>Uniec 3 per functie</v>
      </c>
      <c r="C157" s="47" t="str">
        <f>C152</f>
        <v>NTA 8800</v>
      </c>
      <c r="D157" s="943"/>
      <c r="E157" s="14"/>
      <c r="F157" s="22" t="s">
        <v>1506</v>
      </c>
      <c r="G157" s="22"/>
      <c r="H157" s="22"/>
      <c r="I157" s="905"/>
      <c r="J157" s="1685"/>
      <c r="K157" s="1685"/>
      <c r="L157" s="16"/>
      <c r="M157" s="25"/>
      <c r="N157" s="22" t="str">
        <f t="shared" ref="N157:N166" si="85">INDEX(EP_methode_eenheid,1,MATCH($C157,EP_methode,0))</f>
        <v>kWh</v>
      </c>
      <c r="O157" s="15"/>
      <c r="P157" s="154"/>
      <c r="Q157" s="59">
        <f t="shared" si="76"/>
        <v>1</v>
      </c>
      <c r="R157" s="15"/>
      <c r="S157" s="24">
        <f t="shared" si="77"/>
        <v>0</v>
      </c>
      <c r="T157" s="47" t="str">
        <f>IFERROR(INDEX(energiedragers_EP_eenheden,MATCH($J157,tabellen_EMD!$C$196:$C$204,0),MATCH($B157,energiedragers_EP_eenheden_titel,0)),"-")</f>
        <v>-</v>
      </c>
      <c r="U157" s="39"/>
      <c r="V157" s="154"/>
      <c r="W157" s="59">
        <f t="shared" si="78"/>
        <v>0</v>
      </c>
      <c r="X157" s="47" t="str">
        <f t="shared" si="79"/>
        <v>kg/-</v>
      </c>
      <c r="Y157" s="12"/>
      <c r="Z157" s="24">
        <f t="shared" si="80"/>
        <v>0</v>
      </c>
      <c r="AA157" s="47" t="s">
        <v>468</v>
      </c>
      <c r="AB157" s="67"/>
      <c r="AC157" s="995"/>
      <c r="AD157" s="1405"/>
      <c r="AE157" s="1405"/>
      <c r="AF157" s="1405"/>
      <c r="AG157" s="1405"/>
      <c r="AH157" s="1405"/>
      <c r="AI157" s="1405"/>
      <c r="AJ157" s="1405"/>
      <c r="AK157" s="1405"/>
      <c r="AL157" s="1405"/>
      <c r="AM157" s="1405"/>
      <c r="AN157" s="1405"/>
      <c r="AO157" s="1405"/>
      <c r="AP157" s="1405"/>
      <c r="AQ157" s="1405"/>
      <c r="AR157" s="1405"/>
      <c r="AS157" s="67"/>
      <c r="AT157" s="995"/>
      <c r="AU157" s="12"/>
      <c r="AV157" s="22" t="str">
        <f t="shared" si="74"/>
        <v>verwarming (excl. hulpenergie)</v>
      </c>
      <c r="AW157" s="46">
        <f t="shared" si="75"/>
        <v>0</v>
      </c>
      <c r="AX157" s="24"/>
      <c r="AY157" s="12"/>
      <c r="AZ157" s="115">
        <v>1</v>
      </c>
      <c r="BA157" s="24">
        <f>IFERROR(INDEX(tabellen_EMD!$C$185:$N$193,MATCH($J157,tabellen_EMD!$C$185:$C$193,0),MATCH(BA$63,tabellen_EMD!$C$185:$N$185,0)),0)</f>
        <v>0</v>
      </c>
      <c r="BB157" s="115" t="e">
        <f t="shared" si="81"/>
        <v>#N/A</v>
      </c>
      <c r="BC157" s="15"/>
      <c r="BD157" s="115">
        <f t="shared" si="82"/>
        <v>1</v>
      </c>
      <c r="BE157" s="47" t="str">
        <f t="shared" si="83"/>
        <v>kWh/-</v>
      </c>
      <c r="BF157" s="15"/>
      <c r="BG157" s="218">
        <f>IFERROR(INDEX(tabellen_EMD!$C$240:$Z$248,MATCH($J157,tabellen_EMD!$C$240:$C$248,0),MATCH($B157,tabellen_EMD!$C$240:$Z$240,0))*(F157&lt;&gt;"zomercomfort"),0)</f>
        <v>0</v>
      </c>
      <c r="BH157" s="47" t="str">
        <f t="shared" si="84"/>
        <v>kg/-</v>
      </c>
      <c r="BI157" s="15"/>
    </row>
    <row r="158" spans="1:61" hidden="1">
      <c r="A158" s="49"/>
      <c r="B158" s="47" t="str">
        <f t="shared" si="73"/>
        <v>Uniec 3 per functie</v>
      </c>
      <c r="C158" s="47" t="str">
        <f t="shared" si="73"/>
        <v>NTA 8800</v>
      </c>
      <c r="D158" s="943"/>
      <c r="E158" s="14"/>
      <c r="F158" s="209" t="s">
        <v>1502</v>
      </c>
      <c r="G158" s="209"/>
      <c r="H158" s="209"/>
      <c r="I158" s="905"/>
      <c r="J158" s="1691" t="s">
        <v>465</v>
      </c>
      <c r="K158" s="1698"/>
      <c r="L158" s="16"/>
      <c r="M158" s="25"/>
      <c r="N158" s="22" t="str">
        <f t="shared" si="85"/>
        <v>kWh</v>
      </c>
      <c r="O158" s="15"/>
      <c r="P158" s="39"/>
      <c r="Q158" s="59">
        <f t="shared" si="76"/>
        <v>1.45</v>
      </c>
      <c r="R158" s="15"/>
      <c r="S158" s="24">
        <f t="shared" si="77"/>
        <v>0</v>
      </c>
      <c r="T158" s="47" t="str">
        <f>IFERROR(INDEX(energiedragers_EP_eenheden,MATCH($J158,tabellen_EMD!$C$196:$C$204,0),MATCH($B158,energiedragers_EP_eenheden_titel,0)),"-")</f>
        <v>kWh</v>
      </c>
      <c r="U158" s="39"/>
      <c r="V158" s="15"/>
      <c r="W158" s="59">
        <f t="shared" si="78"/>
        <v>0.34</v>
      </c>
      <c r="X158" s="47" t="str">
        <f t="shared" si="79"/>
        <v>kg/kWh</v>
      </c>
      <c r="Y158" s="12"/>
      <c r="Z158" s="24">
        <f t="shared" si="80"/>
        <v>0</v>
      </c>
      <c r="AA158" s="47" t="s">
        <v>468</v>
      </c>
      <c r="AB158" s="67"/>
      <c r="AC158" s="995"/>
      <c r="AD158" s="1405"/>
      <c r="AE158" s="1405"/>
      <c r="AF158" s="1405"/>
      <c r="AG158" s="1405"/>
      <c r="AH158" s="1405"/>
      <c r="AI158" s="1405"/>
      <c r="AJ158" s="1405"/>
      <c r="AK158" s="1405"/>
      <c r="AL158" s="1405"/>
      <c r="AM158" s="1405"/>
      <c r="AN158" s="1405"/>
      <c r="AO158" s="1405"/>
      <c r="AP158" s="1405"/>
      <c r="AQ158" s="1405"/>
      <c r="AR158" s="1405"/>
      <c r="AS158" s="67"/>
      <c r="AT158" s="995"/>
      <c r="AU158" s="12"/>
      <c r="AV158" s="22" t="str">
        <f t="shared" si="74"/>
        <v>hulpenergie</v>
      </c>
      <c r="AW158" s="46" t="str">
        <f t="shared" si="75"/>
        <v>elektriciteit</v>
      </c>
      <c r="AX158" s="24"/>
      <c r="AY158" s="12"/>
      <c r="AZ158" s="115">
        <v>1</v>
      </c>
      <c r="BA158" s="24">
        <f>IFERROR(INDEX(tabellen_EMD!$C$185:$N$193,MATCH($J158,tabellen_EMD!$C$185:$C$193,0),MATCH(BA$63,tabellen_EMD!$C$185:$N$185,0)),0)</f>
        <v>0</v>
      </c>
      <c r="BB158" s="115">
        <f t="shared" si="81"/>
        <v>1.45</v>
      </c>
      <c r="BC158" s="15"/>
      <c r="BD158" s="115">
        <f t="shared" si="82"/>
        <v>1</v>
      </c>
      <c r="BE158" s="47" t="str">
        <f t="shared" si="83"/>
        <v>kWh/kWh</v>
      </c>
      <c r="BF158" s="15"/>
      <c r="BG158" s="218">
        <f>IFERROR(INDEX(tabellen_EMD!$C$240:$Z$248,MATCH($J158,tabellen_EMD!$C$240:$C$248,0),MATCH($B158,tabellen_EMD!$C$240:$Z$240,0))*(F158&lt;&gt;"zomercomfort"),0)</f>
        <v>0.34</v>
      </c>
      <c r="BH158" s="47" t="str">
        <f t="shared" si="84"/>
        <v>kg/kWh</v>
      </c>
      <c r="BI158" s="15"/>
    </row>
    <row r="159" spans="1:61" hidden="1">
      <c r="A159" s="18"/>
      <c r="B159" s="47" t="str">
        <f>B154</f>
        <v>Uniec 3 per functie</v>
      </c>
      <c r="C159" s="47" t="str">
        <f>C154</f>
        <v>NTA 8800</v>
      </c>
      <c r="D159" s="943"/>
      <c r="E159" s="14"/>
      <c r="F159" s="22" t="s">
        <v>1396</v>
      </c>
      <c r="G159" s="22"/>
      <c r="H159" s="22"/>
      <c r="I159" s="905"/>
      <c r="J159" s="1691" t="s">
        <v>465</v>
      </c>
      <c r="K159" s="1698"/>
      <c r="L159" s="16"/>
      <c r="M159" s="25"/>
      <c r="N159" s="22" t="str">
        <f t="shared" si="85"/>
        <v>kWh</v>
      </c>
      <c r="O159" s="15"/>
      <c r="P159" s="39"/>
      <c r="Q159" s="59">
        <f t="shared" si="76"/>
        <v>1.45</v>
      </c>
      <c r="R159" s="15"/>
      <c r="S159" s="24">
        <f t="shared" si="77"/>
        <v>0</v>
      </c>
      <c r="T159" s="47" t="str">
        <f>IFERROR(INDEX(energiedragers_EP_eenheden,MATCH($J159,tabellen_EMD!$C$196:$C$204,0),MATCH($B159,energiedragers_EP_eenheden_titel,0)),"-")</f>
        <v>kWh</v>
      </c>
      <c r="U159" s="39"/>
      <c r="V159" s="15"/>
      <c r="W159" s="59">
        <f t="shared" si="78"/>
        <v>0</v>
      </c>
      <c r="X159" s="47" t="str">
        <f t="shared" si="79"/>
        <v>kg/kWh</v>
      </c>
      <c r="Y159" s="12"/>
      <c r="Z159" s="24">
        <f t="shared" si="80"/>
        <v>0</v>
      </c>
      <c r="AA159" s="47" t="s">
        <v>468</v>
      </c>
      <c r="AB159" s="67"/>
      <c r="AC159" s="995"/>
      <c r="AD159" s="1405"/>
      <c r="AE159" s="1405"/>
      <c r="AF159" s="1405"/>
      <c r="AG159" s="1405"/>
      <c r="AH159" s="1405"/>
      <c r="AI159" s="1405"/>
      <c r="AJ159" s="1405"/>
      <c r="AK159" s="1405"/>
      <c r="AL159" s="1405"/>
      <c r="AM159" s="1405"/>
      <c r="AN159" s="1405"/>
      <c r="AO159" s="1405"/>
      <c r="AP159" s="1405"/>
      <c r="AQ159" s="1405"/>
      <c r="AR159" s="1405"/>
      <c r="AS159" s="67"/>
      <c r="AT159" s="995"/>
      <c r="AU159" s="12"/>
      <c r="AV159" s="22" t="str">
        <f t="shared" si="74"/>
        <v>zomercomfort</v>
      </c>
      <c r="AW159" s="46" t="str">
        <f t="shared" si="75"/>
        <v>elektriciteit</v>
      </c>
      <c r="AX159" s="24"/>
      <c r="AY159" s="12"/>
      <c r="AZ159" s="115">
        <v>1</v>
      </c>
      <c r="BA159" s="24">
        <f>IFERROR(INDEX(tabellen_EMD!$C$185:$N$193,MATCH($J159,tabellen_EMD!$C$185:$C$193,0),MATCH(BA$63,tabellen_EMD!$C$185:$N$185,0)),0)</f>
        <v>0</v>
      </c>
      <c r="BB159" s="115">
        <f t="shared" si="81"/>
        <v>1.45</v>
      </c>
      <c r="BC159" s="15"/>
      <c r="BD159" s="115">
        <f t="shared" si="82"/>
        <v>1</v>
      </c>
      <c r="BE159" s="47" t="str">
        <f t="shared" si="83"/>
        <v>kWh/kWh</v>
      </c>
      <c r="BF159" s="15"/>
      <c r="BG159" s="218">
        <f>IFERROR(INDEX(tabellen_EMD!$C$240:$Z$248,MATCH($J159,tabellen_EMD!$C$240:$C$248,0),MATCH($B159,tabellen_EMD!$C$240:$Z$240,0))*(F159&lt;&gt;"zomercomfort"),0)</f>
        <v>0</v>
      </c>
      <c r="BH159" s="47" t="str">
        <f t="shared" si="84"/>
        <v>kg/kWh</v>
      </c>
      <c r="BI159" s="15"/>
    </row>
    <row r="160" spans="1:61" hidden="1">
      <c r="A160" s="18"/>
      <c r="B160" s="47" t="str">
        <f t="shared" si="73"/>
        <v>Uniec 3 per functie</v>
      </c>
      <c r="C160" s="47" t="str">
        <f t="shared" si="73"/>
        <v>NTA 8800</v>
      </c>
      <c r="D160" s="943"/>
      <c r="E160" s="14"/>
      <c r="F160" s="22" t="s">
        <v>1375</v>
      </c>
      <c r="G160" s="22"/>
      <c r="H160" s="22"/>
      <c r="I160" s="905"/>
      <c r="J160" s="1691" t="s">
        <v>465</v>
      </c>
      <c r="K160" s="1698"/>
      <c r="L160" s="16"/>
      <c r="M160" s="25"/>
      <c r="N160" s="22" t="str">
        <f t="shared" si="85"/>
        <v>kWh</v>
      </c>
      <c r="O160" s="15"/>
      <c r="P160" s="39"/>
      <c r="Q160" s="59">
        <f t="shared" si="76"/>
        <v>1.45</v>
      </c>
      <c r="R160" s="15"/>
      <c r="S160" s="24">
        <f t="shared" si="77"/>
        <v>0</v>
      </c>
      <c r="T160" s="47" t="str">
        <f>IFERROR(INDEX(energiedragers_EP_eenheden,MATCH($J160,tabellen_EMD!$C$196:$C$204,0),MATCH($B160,energiedragers_EP_eenheden_titel,0)),"-")</f>
        <v>kWh</v>
      </c>
      <c r="U160" s="39"/>
      <c r="V160" s="15"/>
      <c r="W160" s="59">
        <f t="shared" si="78"/>
        <v>0.34</v>
      </c>
      <c r="X160" s="47" t="str">
        <f t="shared" si="79"/>
        <v>kg/kWh</v>
      </c>
      <c r="Y160" s="12"/>
      <c r="Z160" s="24">
        <f t="shared" si="80"/>
        <v>0</v>
      </c>
      <c r="AA160" s="47" t="s">
        <v>468</v>
      </c>
      <c r="AB160" s="67"/>
      <c r="AC160" s="995"/>
      <c r="AD160" s="1405"/>
      <c r="AE160" s="1405"/>
      <c r="AF160" s="1405"/>
      <c r="AG160" s="1405"/>
      <c r="AH160" s="1405"/>
      <c r="AI160" s="1405"/>
      <c r="AJ160" s="1405"/>
      <c r="AK160" s="1405"/>
      <c r="AL160" s="1405"/>
      <c r="AM160" s="1405"/>
      <c r="AN160" s="1405"/>
      <c r="AO160" s="1405"/>
      <c r="AP160" s="1405"/>
      <c r="AQ160" s="1405"/>
      <c r="AR160" s="1405"/>
      <c r="AS160" s="67"/>
      <c r="AT160" s="995"/>
      <c r="AU160" s="12"/>
      <c r="AV160" s="22" t="str">
        <f t="shared" si="74"/>
        <v>ventilatoren</v>
      </c>
      <c r="AW160" s="46" t="str">
        <f t="shared" si="75"/>
        <v>elektriciteit</v>
      </c>
      <c r="AX160" s="24"/>
      <c r="AY160" s="12"/>
      <c r="AZ160" s="115">
        <v>1</v>
      </c>
      <c r="BA160" s="24">
        <f>IFERROR(INDEX(tabellen_EMD!$C$185:$N$193,MATCH($J160,tabellen_EMD!$C$185:$C$193,0),MATCH(BA$63,tabellen_EMD!$C$185:$N$185,0)),0)</f>
        <v>0</v>
      </c>
      <c r="BB160" s="115">
        <f t="shared" si="81"/>
        <v>1.45</v>
      </c>
      <c r="BC160" s="899"/>
      <c r="BD160" s="115">
        <f t="shared" si="82"/>
        <v>1</v>
      </c>
      <c r="BE160" s="47" t="str">
        <f t="shared" si="83"/>
        <v>kWh/kWh</v>
      </c>
      <c r="BF160" s="899"/>
      <c r="BG160" s="218">
        <f>IFERROR(INDEX(tabellen_EMD!$C$240:$Z$248,MATCH($J160,tabellen_EMD!$C$240:$C$248,0),MATCH($B160,tabellen_EMD!$C$240:$Z$240,0))*(F160&lt;&gt;"zomercomfort"),0)</f>
        <v>0.34</v>
      </c>
      <c r="BH160" s="47" t="str">
        <f t="shared" si="84"/>
        <v>kg/kWh</v>
      </c>
      <c r="BI160" s="899"/>
    </row>
    <row r="161" spans="1:61" s="18" customFormat="1" hidden="1">
      <c r="A161" s="49"/>
      <c r="B161" s="47" t="str">
        <f t="shared" si="73"/>
        <v>Uniec 3 per functie</v>
      </c>
      <c r="C161" s="47" t="str">
        <f t="shared" si="73"/>
        <v>NTA 8800</v>
      </c>
      <c r="D161" s="943"/>
      <c r="E161" s="14"/>
      <c r="F161" s="22" t="s">
        <v>507</v>
      </c>
      <c r="G161" s="22"/>
      <c r="H161" s="22"/>
      <c r="I161" s="905"/>
      <c r="J161" s="1691" t="s">
        <v>465</v>
      </c>
      <c r="K161" s="1698"/>
      <c r="L161" s="16"/>
      <c r="M161" s="25"/>
      <c r="N161" s="22" t="str">
        <f t="shared" si="85"/>
        <v>kWh</v>
      </c>
      <c r="O161" s="15"/>
      <c r="P161" s="39"/>
      <c r="Q161" s="59">
        <f t="shared" si="76"/>
        <v>1.45</v>
      </c>
      <c r="R161" s="15"/>
      <c r="S161" s="24">
        <f t="shared" si="77"/>
        <v>0</v>
      </c>
      <c r="T161" s="47" t="str">
        <f>IFERROR(INDEX(energiedragers_EP_eenheden,MATCH($J161,tabellen_EMD!$C$196:$C$204,0),MATCH($B161,energiedragers_EP_eenheden_titel,0)),"-")</f>
        <v>kWh</v>
      </c>
      <c r="U161" s="39"/>
      <c r="V161" s="15"/>
      <c r="W161" s="59">
        <f t="shared" si="78"/>
        <v>0.34</v>
      </c>
      <c r="X161" s="47" t="str">
        <f t="shared" si="79"/>
        <v>kg/kWh</v>
      </c>
      <c r="Y161" s="12"/>
      <c r="Z161" s="24">
        <f t="shared" si="80"/>
        <v>0</v>
      </c>
      <c r="AA161" s="47" t="s">
        <v>468</v>
      </c>
      <c r="AB161" s="67"/>
      <c r="AC161" s="995"/>
      <c r="AD161" s="1405"/>
      <c r="AE161" s="1405"/>
      <c r="AF161" s="1405"/>
      <c r="AG161" s="1405"/>
      <c r="AH161" s="1405"/>
      <c r="AI161" s="1405"/>
      <c r="AJ161" s="1405"/>
      <c r="AK161" s="1405"/>
      <c r="AL161" s="1405"/>
      <c r="AM161" s="1405"/>
      <c r="AN161" s="1405"/>
      <c r="AO161" s="1405"/>
      <c r="AP161" s="1405"/>
      <c r="AQ161" s="1405"/>
      <c r="AR161" s="1405"/>
      <c r="AS161" s="67"/>
      <c r="AT161" s="995"/>
      <c r="AU161" s="12"/>
      <c r="AV161" s="22" t="str">
        <f t="shared" si="74"/>
        <v>verlichting</v>
      </c>
      <c r="AW161" s="46" t="str">
        <f t="shared" si="75"/>
        <v>elektriciteit</v>
      </c>
      <c r="AX161" s="24"/>
      <c r="AY161" s="12"/>
      <c r="AZ161" s="115">
        <v>1</v>
      </c>
      <c r="BA161" s="24">
        <f>IFERROR(INDEX(tabellen_EMD!$C$185:$N$193,MATCH($J161,tabellen_EMD!$C$185:$C$193,0),MATCH(BA$63,tabellen_EMD!$C$185:$N$185,0)),0)</f>
        <v>0</v>
      </c>
      <c r="BB161" s="115">
        <f t="shared" si="81"/>
        <v>1.45</v>
      </c>
      <c r="BC161" s="899"/>
      <c r="BD161" s="115">
        <f t="shared" si="82"/>
        <v>1</v>
      </c>
      <c r="BE161" s="47" t="str">
        <f t="shared" si="83"/>
        <v>kWh/kWh</v>
      </c>
      <c r="BF161" s="899"/>
      <c r="BG161" s="218">
        <f>IFERROR(INDEX(tabellen_EMD!$C$240:$Z$248,MATCH($J161,tabellen_EMD!$C$240:$C$248,0),MATCH($B161,tabellen_EMD!$C$240:$Z$240,0))*(F161&lt;&gt;"zomercomfort"),0)</f>
        <v>0.34</v>
      </c>
      <c r="BH161" s="47" t="str">
        <f t="shared" si="84"/>
        <v>kg/kWh</v>
      </c>
      <c r="BI161" s="899"/>
    </row>
    <row r="162" spans="1:61" s="940" customFormat="1" hidden="1">
      <c r="A162" s="49"/>
      <c r="B162" s="47" t="str">
        <f t="shared" si="73"/>
        <v>Uniec 3 per functie</v>
      </c>
      <c r="C162" s="47" t="str">
        <f t="shared" si="73"/>
        <v>NTA 8800</v>
      </c>
      <c r="D162" s="943"/>
      <c r="E162" s="14"/>
      <c r="F162" s="15" t="s">
        <v>1391</v>
      </c>
      <c r="G162" s="15"/>
      <c r="H162" s="15"/>
      <c r="I162" s="905"/>
      <c r="J162" s="43" t="s">
        <v>1391</v>
      </c>
      <c r="K162" s="43"/>
      <c r="L162" s="16"/>
      <c r="M162" s="950">
        <f>SUM(M153:M161)</f>
        <v>0</v>
      </c>
      <c r="N162" s="15" t="str">
        <f t="shared" si="85"/>
        <v>kWh</v>
      </c>
      <c r="O162" s="15"/>
      <c r="P162" s="39"/>
      <c r="Q162" s="39"/>
      <c r="R162" s="15"/>
      <c r="S162" s="899"/>
      <c r="T162" s="899"/>
      <c r="U162" s="39"/>
      <c r="V162" s="39"/>
      <c r="W162" s="39"/>
      <c r="X162" s="39"/>
      <c r="Y162" s="12"/>
      <c r="Z162" s="950">
        <f>SUM(Z153:Z161)</f>
        <v>0</v>
      </c>
      <c r="AA162" s="15" t="s">
        <v>468</v>
      </c>
      <c r="AB162" s="67"/>
      <c r="AC162" s="995"/>
      <c r="AD162" s="1405"/>
      <c r="AE162" s="1405"/>
      <c r="AF162" s="1405"/>
      <c r="AG162" s="1405"/>
      <c r="AH162" s="1405"/>
      <c r="AI162" s="1405"/>
      <c r="AJ162" s="1405"/>
      <c r="AK162" s="1405"/>
      <c r="AL162" s="1405"/>
      <c r="AM162" s="1405"/>
      <c r="AN162" s="1405"/>
      <c r="AO162" s="1405"/>
      <c r="AP162" s="1405"/>
      <c r="AQ162" s="1405"/>
      <c r="AR162" s="1405"/>
      <c r="AS162" s="67"/>
      <c r="AT162" s="995"/>
      <c r="AU162" s="12"/>
      <c r="AV162" s="22" t="str">
        <f t="shared" si="74"/>
        <v>totaal</v>
      </c>
      <c r="AW162" s="46" t="str">
        <f t="shared" si="75"/>
        <v>totaal</v>
      </c>
      <c r="AX162" s="24"/>
      <c r="AY162" s="12"/>
      <c r="AZ162" s="12"/>
      <c r="BA162" s="12"/>
      <c r="BB162" s="12"/>
      <c r="BC162" s="899"/>
      <c r="BD162" s="899"/>
      <c r="BE162" s="899"/>
      <c r="BF162" s="899"/>
      <c r="BG162" s="15"/>
      <c r="BH162" s="15"/>
      <c r="BI162" s="899"/>
    </row>
    <row r="163" spans="1:61" hidden="1">
      <c r="A163" s="49"/>
      <c r="B163" s="47" t="str">
        <f>B161</f>
        <v>Uniec 3 per functie</v>
      </c>
      <c r="C163" s="47" t="str">
        <f>C161</f>
        <v>NTA 8800</v>
      </c>
      <c r="D163" s="943"/>
      <c r="E163" s="14"/>
      <c r="F163" s="22" t="s">
        <v>1503</v>
      </c>
      <c r="G163" s="22"/>
      <c r="H163" s="22"/>
      <c r="I163" s="905"/>
      <c r="J163" s="1691" t="s">
        <v>1538</v>
      </c>
      <c r="K163" s="1698"/>
      <c r="L163" s="16"/>
      <c r="M163" s="25"/>
      <c r="N163" s="22" t="str">
        <f t="shared" si="85"/>
        <v>kWh</v>
      </c>
      <c r="O163" s="15"/>
      <c r="P163" s="39"/>
      <c r="Q163" s="59">
        <f>IFERROR(IF(AND(P163&lt;&gt;"",$BA163=1),P163,BB163),1)</f>
        <v>1.45</v>
      </c>
      <c r="R163" s="15"/>
      <c r="S163" s="24">
        <f>M163/Q163/BD163</f>
        <v>0</v>
      </c>
      <c r="T163" s="47" t="str">
        <f>IFERROR(INDEX(energiedragers_EP_eenheden,MATCH($J163,tabellen_EMD!$C$196:$C$204,0),MATCH($B163,energiedragers_EP_eenheden_titel,0)),"-")</f>
        <v>kWh</v>
      </c>
      <c r="U163" s="39"/>
      <c r="V163" s="15"/>
      <c r="W163" s="59">
        <f>IF(AND(V163&lt;&gt;"",$BA163=1),V163,BG163)</f>
        <v>0.34</v>
      </c>
      <c r="X163" s="47" t="str">
        <f t="shared" si="79"/>
        <v>kg/kWh</v>
      </c>
      <c r="Y163" s="12"/>
      <c r="Z163" s="24">
        <f>S163*W163*ABS(AZ163)</f>
        <v>0</v>
      </c>
      <c r="AA163" s="47" t="s">
        <v>468</v>
      </c>
      <c r="AB163" s="67"/>
      <c r="AC163" s="995"/>
      <c r="AD163" s="1405"/>
      <c r="AE163" s="1405"/>
      <c r="AF163" s="1405"/>
      <c r="AG163" s="1405"/>
      <c r="AH163" s="1405"/>
      <c r="AI163" s="1405"/>
      <c r="AJ163" s="1405"/>
      <c r="AK163" s="1405"/>
      <c r="AL163" s="1405"/>
      <c r="AM163" s="1405"/>
      <c r="AN163" s="1405"/>
      <c r="AO163" s="1405"/>
      <c r="AP163" s="1405"/>
      <c r="AQ163" s="1405"/>
      <c r="AR163" s="1405"/>
      <c r="AS163" s="67"/>
      <c r="AT163" s="995"/>
      <c r="AU163" s="12"/>
      <c r="AV163" s="22" t="str">
        <f t="shared" si="74"/>
        <v>geëxporteerde elektriciteit</v>
      </c>
      <c r="AW163" s="46" t="str">
        <f t="shared" si="75"/>
        <v>elektriciteit geëxporteerd</v>
      </c>
      <c r="AX163" s="24"/>
      <c r="AY163" s="12"/>
      <c r="AZ163" s="115">
        <v>1</v>
      </c>
      <c r="BA163" s="24">
        <f>IFERROR(INDEX(tabellen_EMD!$C$185:$N$193,MATCH($J163,tabellen_EMD!$C$185:$C$193,0),MATCH(BA$63,tabellen_EMD!$C$185:$N$185,0)),0)</f>
        <v>0</v>
      </c>
      <c r="BB163" s="115">
        <f t="shared" si="81"/>
        <v>1.45</v>
      </c>
      <c r="BC163" s="899"/>
      <c r="BD163" s="115">
        <f>IFERROR(VLOOKUP($J163,energiedragers_EP_omrekenen,MATCH($B163,energiedragers_EP_omrekenen_titel,0),FALSE),1)</f>
        <v>1</v>
      </c>
      <c r="BE163" s="47" t="str">
        <f>_xlfn.CONCAT(N163,"/",T163)</f>
        <v>kWh/kWh</v>
      </c>
      <c r="BF163" s="899"/>
      <c r="BG163" s="218">
        <f>IFERROR(INDEX(tabellen_EMD!$C$240:$Z$248,MATCH($J163,tabellen_EMD!$C$240:$C$248,0),MATCH($B163,tabellen_EMD!$C$240:$Z$240,0))*(F163&lt;&gt;"zomercomfort"),0)</f>
        <v>0.34</v>
      </c>
      <c r="BH163" s="47" t="str">
        <f>"kg/"&amp;T163</f>
        <v>kg/kWh</v>
      </c>
      <c r="BI163" s="899"/>
    </row>
    <row r="164" spans="1:61" hidden="1">
      <c r="A164" s="49"/>
      <c r="B164" s="47" t="str">
        <f t="shared" si="73"/>
        <v>Uniec 3 per functie</v>
      </c>
      <c r="C164" s="47" t="str">
        <f t="shared" si="73"/>
        <v>NTA 8800</v>
      </c>
      <c r="D164" s="943"/>
      <c r="E164" s="14"/>
      <c r="F164" s="22" t="s">
        <v>1504</v>
      </c>
      <c r="G164" s="22"/>
      <c r="H164" s="22"/>
      <c r="I164" s="905"/>
      <c r="J164" s="1691" t="s">
        <v>466</v>
      </c>
      <c r="K164" s="1698"/>
      <c r="L164" s="16"/>
      <c r="M164" s="25"/>
      <c r="N164" s="22" t="str">
        <f t="shared" si="85"/>
        <v>kWh</v>
      </c>
      <c r="O164" s="15"/>
      <c r="P164" s="39"/>
      <c r="Q164" s="59">
        <f>IFERROR(IF(AND(P164&lt;&gt;"",$BA164=1),P164,BB164),1)</f>
        <v>1.45</v>
      </c>
      <c r="R164" s="15"/>
      <c r="S164" s="24">
        <f>M164/Q164/BD164</f>
        <v>0</v>
      </c>
      <c r="T164" s="47" t="str">
        <f>IFERROR(INDEX(energiedragers_EP_eenheden,MATCH($J164,tabellen_EMD!$C$196:$C$204,0),MATCH($B164,energiedragers_EP_eenheden_titel,0)),"-")</f>
        <v>kWh</v>
      </c>
      <c r="U164" s="39"/>
      <c r="V164" s="15"/>
      <c r="W164" s="59">
        <f>IF(AND(V164&lt;&gt;"",$BA164=1),V164,BG164)</f>
        <v>0.34</v>
      </c>
      <c r="X164" s="47" t="str">
        <f t="shared" si="79"/>
        <v>kg/kWh</v>
      </c>
      <c r="Y164" s="12"/>
      <c r="Z164" s="24">
        <f>S164*W164*ABS(AZ164)</f>
        <v>0</v>
      </c>
      <c r="AA164" s="47" t="s">
        <v>468</v>
      </c>
      <c r="AB164" s="67"/>
      <c r="AC164" s="995"/>
      <c r="AD164" s="1405"/>
      <c r="AE164" s="1405"/>
      <c r="AF164" s="1405"/>
      <c r="AG164" s="1405"/>
      <c r="AH164" s="1405"/>
      <c r="AI164" s="1405"/>
      <c r="AJ164" s="1405"/>
      <c r="AK164" s="1405"/>
      <c r="AL164" s="1405"/>
      <c r="AM164" s="1405"/>
      <c r="AN164" s="1405"/>
      <c r="AO164" s="1405"/>
      <c r="AP164" s="1405"/>
      <c r="AQ164" s="1405"/>
      <c r="AR164" s="1405"/>
      <c r="AS164" s="67"/>
      <c r="AT164" s="995"/>
      <c r="AU164" s="12"/>
      <c r="AV164" s="22" t="str">
        <f t="shared" si="74"/>
        <v>op eigen perceel opgewekte &amp; verbruikte elektriciteit</v>
      </c>
      <c r="AW164" s="46" t="str">
        <f t="shared" si="75"/>
        <v>elektriciteit opgewekt</v>
      </c>
      <c r="AX164" s="24"/>
      <c r="AY164" s="12"/>
      <c r="AZ164" s="115">
        <v>1</v>
      </c>
      <c r="BA164" s="24">
        <f>IFERROR(INDEX(tabellen_EMD!$C$185:$N$193,MATCH($J164,tabellen_EMD!$C$185:$C$193,0),MATCH(BA$63,tabellen_EMD!$C$185:$N$185,0)),0)</f>
        <v>0</v>
      </c>
      <c r="BB164" s="115">
        <f t="shared" si="81"/>
        <v>1.45</v>
      </c>
      <c r="BC164" s="899"/>
      <c r="BD164" s="115">
        <f>IFERROR(VLOOKUP($J164,energiedragers_EP_omrekenen,MATCH($B164,energiedragers_EP_omrekenen_titel,0),FALSE),1)</f>
        <v>1</v>
      </c>
      <c r="BE164" s="47" t="str">
        <f>_xlfn.CONCAT(N164,"/",T164)</f>
        <v>kWh/kWh</v>
      </c>
      <c r="BF164" s="899"/>
      <c r="BG164" s="218">
        <f>IFERROR(INDEX(tabellen_EMD!$C$240:$Z$248,MATCH($J164,tabellen_EMD!$C$240:$C$248,0),MATCH($B164,tabellen_EMD!$C$240:$Z$240,0))*(F164&lt;&gt;"zomercomfort"),0)</f>
        <v>0.34</v>
      </c>
      <c r="BH164" s="47" t="str">
        <f>"kg/"&amp;T164</f>
        <v>kg/kWh</v>
      </c>
      <c r="BI164" s="899"/>
    </row>
    <row r="165" spans="1:61" hidden="1">
      <c r="A165" s="49"/>
      <c r="B165" s="47" t="str">
        <f t="shared" si="73"/>
        <v>Uniec 3 per functie</v>
      </c>
      <c r="C165" s="47" t="str">
        <f t="shared" si="73"/>
        <v>NTA 8800</v>
      </c>
      <c r="D165" s="943"/>
      <c r="E165" s="14"/>
      <c r="F165" s="22" t="s">
        <v>1505</v>
      </c>
      <c r="G165" s="22"/>
      <c r="H165" s="22"/>
      <c r="I165" s="905"/>
      <c r="J165" s="1691" t="s">
        <v>466</v>
      </c>
      <c r="K165" s="1698"/>
      <c r="L165" s="16"/>
      <c r="M165" s="25"/>
      <c r="N165" s="22" t="str">
        <f t="shared" si="85"/>
        <v>kWh</v>
      </c>
      <c r="O165" s="15"/>
      <c r="P165" s="39"/>
      <c r="Q165" s="59">
        <f>IFERROR(IF(AND(P165&lt;&gt;"",$BA165=1),P165,BB165),1)</f>
        <v>1.45</v>
      </c>
      <c r="R165" s="15"/>
      <c r="S165" s="24">
        <f>M165/Q165/BD165</f>
        <v>0</v>
      </c>
      <c r="T165" s="47" t="str">
        <f>IFERROR(INDEX(energiedragers_EP_eenheden,MATCH($J165,tabellen_EMD!$C$196:$C$204,0),MATCH($B165,energiedragers_EP_eenheden_titel,0)),"-")</f>
        <v>kWh</v>
      </c>
      <c r="U165" s="39"/>
      <c r="V165" s="15"/>
      <c r="W165" s="59">
        <f>IF(AND(V165&lt;&gt;"",$BA165=1),V165,BG165)</f>
        <v>0.34</v>
      </c>
      <c r="X165" s="47" t="str">
        <f t="shared" si="79"/>
        <v>kg/kWh</v>
      </c>
      <c r="Y165" s="12"/>
      <c r="Z165" s="24">
        <f>S165*W165*ABS(AZ165)</f>
        <v>0</v>
      </c>
      <c r="AA165" s="47" t="s">
        <v>468</v>
      </c>
      <c r="AB165" s="67"/>
      <c r="AC165" s="995"/>
      <c r="AD165" s="1405"/>
      <c r="AE165" s="1405"/>
      <c r="AF165" s="1405"/>
      <c r="AG165" s="1405"/>
      <c r="AH165" s="1405"/>
      <c r="AI165" s="1405"/>
      <c r="AJ165" s="1405"/>
      <c r="AK165" s="1405"/>
      <c r="AL165" s="1405"/>
      <c r="AM165" s="1405"/>
      <c r="AN165" s="1405"/>
      <c r="AO165" s="1405"/>
      <c r="AP165" s="1405"/>
      <c r="AQ165" s="1405"/>
      <c r="AR165" s="1405"/>
      <c r="AS165" s="67"/>
      <c r="AT165" s="995"/>
      <c r="AU165" s="12"/>
      <c r="AV165" s="22" t="str">
        <f t="shared" si="74"/>
        <v>in het gebied opgewekte elektriciteit</v>
      </c>
      <c r="AW165" s="46" t="str">
        <f t="shared" si="75"/>
        <v>elektriciteit opgewekt</v>
      </c>
      <c r="AX165" s="24"/>
      <c r="AY165" s="12"/>
      <c r="AZ165" s="115">
        <v>1</v>
      </c>
      <c r="BA165" s="24">
        <f>IFERROR(INDEX(tabellen_EMD!$C$185:$N$193,MATCH($J165,tabellen_EMD!$C$185:$C$193,0),MATCH(BA$63,tabellen_EMD!$C$185:$N$185,0)),0)</f>
        <v>0</v>
      </c>
      <c r="BB165" s="115">
        <f t="shared" si="81"/>
        <v>1.45</v>
      </c>
      <c r="BC165" s="899"/>
      <c r="BD165" s="115">
        <f>IFERROR(VLOOKUP($J165,energiedragers_EP_omrekenen,MATCH($B165,energiedragers_EP_omrekenen_titel,0),FALSE),1)</f>
        <v>1</v>
      </c>
      <c r="BE165" s="47" t="str">
        <f>_xlfn.CONCAT(N165,"/",T165)</f>
        <v>kWh/kWh</v>
      </c>
      <c r="BF165" s="899"/>
      <c r="BG165" s="218">
        <f>IFERROR(INDEX(tabellen_EMD!$C$240:$Z$248,MATCH($J165,tabellen_EMD!$C$240:$C$248,0),MATCH($B165,tabellen_EMD!$C$240:$Z$240,0))*(F165&lt;&gt;"zomercomfort"),0)</f>
        <v>0.34</v>
      </c>
      <c r="BH165" s="47" t="str">
        <f>"kg/"&amp;T165</f>
        <v>kg/kWh</v>
      </c>
      <c r="BI165" s="899"/>
    </row>
    <row r="166" spans="1:61" s="940" customFormat="1" hidden="1">
      <c r="A166" s="49"/>
      <c r="B166" s="47" t="str">
        <f t="shared" si="73"/>
        <v>Uniec 3 per functie</v>
      </c>
      <c r="C166" s="47" t="str">
        <f t="shared" si="73"/>
        <v>NTA 8800</v>
      </c>
      <c r="D166" s="943"/>
      <c r="E166" s="14"/>
      <c r="F166" s="15" t="s">
        <v>1391</v>
      </c>
      <c r="G166" s="15"/>
      <c r="H166" s="15"/>
      <c r="I166" s="905"/>
      <c r="J166" s="43" t="s">
        <v>1391</v>
      </c>
      <c r="K166" s="43"/>
      <c r="L166" s="16"/>
      <c r="M166" s="950">
        <f>SUM(M153:M161)-SUM(M163:M165)</f>
        <v>0</v>
      </c>
      <c r="N166" s="15" t="str">
        <f t="shared" si="85"/>
        <v>kWh</v>
      </c>
      <c r="O166" s="15"/>
      <c r="P166" s="39"/>
      <c r="Q166" s="39"/>
      <c r="R166" s="15"/>
      <c r="S166" s="899"/>
      <c r="T166" s="899"/>
      <c r="U166" s="39"/>
      <c r="V166" s="39"/>
      <c r="W166" s="39"/>
      <c r="X166" s="39"/>
      <c r="Y166" s="12"/>
      <c r="Z166" s="950">
        <f>SUM(Z153:Z161)-SUM(Z163:Z165)</f>
        <v>0</v>
      </c>
      <c r="AA166" s="15" t="s">
        <v>468</v>
      </c>
      <c r="AB166" s="67"/>
      <c r="AC166" s="995"/>
      <c r="AD166" s="1405"/>
      <c r="AE166" s="1405"/>
      <c r="AF166" s="1405"/>
      <c r="AG166" s="1405"/>
      <c r="AH166" s="1405"/>
      <c r="AI166" s="1405"/>
      <c r="AJ166" s="1405"/>
      <c r="AK166" s="1405"/>
      <c r="AL166" s="1405"/>
      <c r="AM166" s="1405"/>
      <c r="AN166" s="1405"/>
      <c r="AO166" s="1405"/>
      <c r="AP166" s="1405"/>
      <c r="AQ166" s="1405"/>
      <c r="AR166" s="1405"/>
      <c r="AS166" s="67"/>
      <c r="AT166" s="995"/>
      <c r="AU166" s="12"/>
      <c r="AV166" s="22" t="str">
        <f t="shared" si="74"/>
        <v>totaal</v>
      </c>
      <c r="AW166" s="46" t="str">
        <f t="shared" si="75"/>
        <v>totaal</v>
      </c>
      <c r="AX166" s="24"/>
      <c r="AY166" s="12"/>
      <c r="AZ166" s="12"/>
      <c r="BA166" s="12"/>
      <c r="BB166" s="12"/>
      <c r="BC166" s="899"/>
      <c r="BD166" s="899"/>
      <c r="BE166" s="899"/>
      <c r="BF166" s="899"/>
      <c r="BG166" s="15"/>
      <c r="BH166" s="15"/>
      <c r="BI166" s="899"/>
    </row>
    <row r="167" spans="1:61" s="49" customFormat="1" hidden="1">
      <c r="A167" s="212"/>
      <c r="B167" s="47" t="str">
        <f t="shared" si="73"/>
        <v>Uniec 3 per functie</v>
      </c>
      <c r="C167" s="47" t="str">
        <f t="shared" si="73"/>
        <v>NTA 8800</v>
      </c>
      <c r="D167" s="943"/>
      <c r="E167" s="50"/>
      <c r="F167" s="452" t="str">
        <f>IFERROR(IF($P$23=$B167,_xlfn.CONCAT("Bij 1.1 ingevuld: ",FIXED($J$35,2,FALSE)," ",$K$35),""),"invoer niet correct")</f>
        <v/>
      </c>
      <c r="G167" s="452"/>
      <c r="H167" s="452"/>
      <c r="I167" s="905"/>
      <c r="J167" s="909" t="str">
        <f>IFERROR(IF($P$23=$B167,IF(ABS((M167-$J$35)/$J$35)&gt;1%,"Afwijking &gt;1% met subthema 1.1",""),""),"invoer niet correct")</f>
        <v/>
      </c>
      <c r="K167" s="909"/>
      <c r="L167" s="910"/>
      <c r="M167" s="1339" t="str">
        <f>IFERROR(IF($P$23=$B167,M166/$J$59,""),"")</f>
        <v/>
      </c>
      <c r="N167" s="452" t="str">
        <f>IF($P$23=$B167,_xlfn.CONCAT(N166,"/m2"),"")</f>
        <v/>
      </c>
      <c r="O167" s="452"/>
      <c r="P167" s="39"/>
      <c r="Q167" s="39"/>
      <c r="R167" s="899"/>
      <c r="S167" s="899"/>
      <c r="T167" s="899"/>
      <c r="U167" s="39"/>
      <c r="V167" s="39"/>
      <c r="W167" s="910" t="str">
        <f>IFERROR(IF($P$23=$B167,_xlfn.CONCAT("Bij 1.1 ingevuld: ",FIXED($AG$40,1,FALSE)," ",$AH$40),""),"invoer niet correct")</f>
        <v/>
      </c>
      <c r="X167" s="909" t="str">
        <f>IFERROR(IF($P$23=$B167,IF(ABS((Z167-$AG$40)/$AG$40)&gt;1%,"afwijking &gt;1% met subthema 1.1",""),""),"invoer niet correct")</f>
        <v/>
      </c>
      <c r="Y167" s="12"/>
      <c r="Z167" s="951" t="str">
        <f>IFERROR(IF($P$23=$B167,Z166/$J$58,""),"")</f>
        <v/>
      </c>
      <c r="AA167" s="452" t="str">
        <f>IF($P$23=$B167,_xlfn.CONCAT(AA166,"/m2"),"")</f>
        <v/>
      </c>
      <c r="AB167" s="1393"/>
      <c r="AC167" s="1001"/>
      <c r="AD167" s="1405"/>
      <c r="AE167" s="1405"/>
      <c r="AF167" s="1405"/>
      <c r="AG167" s="1405"/>
      <c r="AH167" s="1405"/>
      <c r="AI167" s="1405"/>
      <c r="AJ167" s="1405"/>
      <c r="AK167" s="1405"/>
      <c r="AL167" s="1405"/>
      <c r="AM167" s="1405"/>
      <c r="AN167" s="1405"/>
      <c r="AO167" s="1405"/>
      <c r="AP167" s="1405"/>
      <c r="AQ167" s="1405"/>
      <c r="AR167" s="1405"/>
      <c r="AS167" s="1393"/>
      <c r="AT167" s="1001"/>
      <c r="AU167" s="12"/>
      <c r="AV167" s="452"/>
      <c r="AW167" s="452"/>
      <c r="AX167" s="452"/>
      <c r="AY167" s="452"/>
      <c r="AZ167" s="452"/>
      <c r="BA167" s="452"/>
      <c r="BB167" s="452"/>
      <c r="BC167" s="452"/>
      <c r="BD167" s="452"/>
      <c r="BE167" s="452"/>
      <c r="BF167" s="452"/>
      <c r="BG167" s="452"/>
      <c r="BH167" s="452"/>
      <c r="BI167" s="899"/>
    </row>
    <row r="168" spans="1:61" s="49" customFormat="1" hidden="1">
      <c r="B168" s="47" t="str">
        <f t="shared" ref="B168:C168" si="86">B167</f>
        <v>Uniec 3 per functie</v>
      </c>
      <c r="C168" s="47" t="str">
        <f t="shared" si="86"/>
        <v>NTA 8800</v>
      </c>
      <c r="D168" s="943"/>
      <c r="E168" s="50"/>
      <c r="F168" s="43"/>
      <c r="G168" s="43"/>
      <c r="H168" s="43"/>
      <c r="I168" s="905"/>
      <c r="J168" s="44"/>
      <c r="K168" s="44"/>
      <c r="L168" s="44"/>
      <c r="M168" s="917"/>
      <c r="N168" s="44"/>
      <c r="O168" s="44"/>
      <c r="P168" s="39"/>
      <c r="Q168" s="39"/>
      <c r="R168" s="899"/>
      <c r="S168" s="899"/>
      <c r="T168" s="899"/>
      <c r="U168" s="39"/>
      <c r="V168" s="39"/>
      <c r="W168" s="39"/>
      <c r="X168" s="39"/>
      <c r="Y168" s="12"/>
      <c r="Z168" s="899"/>
      <c r="AA168" s="899"/>
      <c r="AB168" s="1393"/>
      <c r="AC168" s="1001"/>
      <c r="AD168" s="1405"/>
      <c r="AE168" s="1405"/>
      <c r="AF168" s="1405"/>
      <c r="AG168" s="1405"/>
      <c r="AH168" s="1405"/>
      <c r="AI168" s="1405"/>
      <c r="AJ168" s="1405"/>
      <c r="AK168" s="1405"/>
      <c r="AL168" s="1405"/>
      <c r="AM168" s="1405"/>
      <c r="AN168" s="1405"/>
      <c r="AO168" s="1405"/>
      <c r="AP168" s="1405"/>
      <c r="AQ168" s="1405"/>
      <c r="AR168" s="1405"/>
      <c r="AS168" s="1393"/>
      <c r="AT168" s="1001"/>
      <c r="AU168" s="12"/>
      <c r="AV168" s="12"/>
      <c r="AW168" s="12"/>
      <c r="AX168" s="12"/>
      <c r="AY168" s="12"/>
      <c r="AZ168" s="44"/>
      <c r="BA168" s="12"/>
      <c r="BB168" s="44"/>
      <c r="BC168" s="899"/>
      <c r="BD168" s="899"/>
      <c r="BE168" s="899"/>
      <c r="BF168" s="899"/>
      <c r="BG168" s="899"/>
      <c r="BH168" s="899"/>
      <c r="BI168" s="899"/>
    </row>
    <row r="169" spans="1:61" hidden="1">
      <c r="A169" s="86"/>
      <c r="B169" s="939" t="str">
        <f>tabellen_EMD!$C$180</f>
        <v>Uniec 3 finaal</v>
      </c>
      <c r="C169" s="939" t="str">
        <f>VLOOKUP(B169,'NEN 7120 naar GPR4'!$AV$40:$AY$48,COLUMNS($AV$40:$AX$40),FALSE)</f>
        <v>NTA 8800</v>
      </c>
      <c r="D169" s="943"/>
      <c r="E169" s="14"/>
      <c r="F169" s="15" t="str">
        <f>_xlfn.CONCAT("Overnemen uit '",B169,"': ",VLOOKUP(B169,$AV$41:$AZ$48,COLUMNS($AV$40:$AZ$40),FALSE))</f>
        <v>Overnemen uit 'Uniec 3 finaal': Jaarlijkse hoeveelheid energiegebruik voor de energiefunctie</v>
      </c>
      <c r="G169" s="15"/>
      <c r="H169" s="15"/>
      <c r="I169" s="905"/>
      <c r="J169" s="43"/>
      <c r="K169" s="43"/>
      <c r="L169" s="16"/>
      <c r="M169" s="909" t="s">
        <v>1485</v>
      </c>
      <c r="N169" s="41"/>
      <c r="O169" s="41"/>
      <c r="P169" s="453" t="s">
        <v>1487</v>
      </c>
      <c r="Q169" s="39"/>
      <c r="R169" s="39"/>
      <c r="S169" s="453" t="s">
        <v>1484</v>
      </c>
      <c r="T169" s="39"/>
      <c r="U169" s="39"/>
      <c r="V169" s="453" t="s">
        <v>1613</v>
      </c>
      <c r="W169" s="39"/>
      <c r="X169" s="39"/>
      <c r="Y169" s="12"/>
      <c r="Z169" s="453" t="s">
        <v>1536</v>
      </c>
      <c r="AA169" s="12"/>
      <c r="AB169" s="67"/>
      <c r="AC169" s="995"/>
      <c r="AD169" s="1405"/>
      <c r="AE169" s="1405"/>
      <c r="AF169" s="1405"/>
      <c r="AG169" s="1405"/>
      <c r="AH169" s="1405"/>
      <c r="AI169" s="1405"/>
      <c r="AJ169" s="1405"/>
      <c r="AK169" s="1405"/>
      <c r="AL169" s="1405"/>
      <c r="AM169" s="1405"/>
      <c r="AN169" s="1405"/>
      <c r="AO169" s="1405"/>
      <c r="AP169" s="1405"/>
      <c r="AQ169" s="1405"/>
      <c r="AR169" s="1405"/>
      <c r="AS169" s="67"/>
      <c r="AT169" s="995"/>
      <c r="AU169" s="12"/>
      <c r="AV169" s="12"/>
      <c r="AW169" s="12"/>
      <c r="AX169" s="12"/>
      <c r="AY169" s="12"/>
      <c r="AZ169" s="888" t="str">
        <f>AZ$63</f>
        <v>Eenheid energie</v>
      </c>
      <c r="BA169" s="888" t="s">
        <v>1628</v>
      </c>
      <c r="BB169" s="888" t="str">
        <f>BB$63</f>
        <v>PEF finaal → primair</v>
      </c>
      <c r="BC169" s="452"/>
      <c r="BD169" s="452" t="str">
        <f>BD$63</f>
        <v>eenheden omrekenen</v>
      </c>
      <c r="BE169" s="452"/>
      <c r="BF169" s="452"/>
      <c r="BG169" s="888" t="str">
        <f>BG$63</f>
        <v>CO2</v>
      </c>
      <c r="BH169" s="39"/>
      <c r="BI169" s="899"/>
    </row>
    <row r="170" spans="1:61" hidden="1">
      <c r="A170" s="86"/>
      <c r="B170" s="47" t="str">
        <f t="shared" ref="B170:C180" si="87">B169</f>
        <v>Uniec 3 finaal</v>
      </c>
      <c r="C170" s="47" t="str">
        <f t="shared" si="87"/>
        <v>NTA 8800</v>
      </c>
      <c r="D170" s="943"/>
      <c r="E170" s="14"/>
      <c r="F170" s="909" t="s">
        <v>496</v>
      </c>
      <c r="G170" s="909"/>
      <c r="H170" s="909"/>
      <c r="I170" s="905"/>
      <c r="J170" s="909" t="s">
        <v>458</v>
      </c>
      <c r="K170" s="909"/>
      <c r="L170" s="889"/>
      <c r="M170" s="910" t="s">
        <v>1534</v>
      </c>
      <c r="N170" s="452" t="s">
        <v>204</v>
      </c>
      <c r="O170" s="39"/>
      <c r="P170" s="888" t="s">
        <v>1533</v>
      </c>
      <c r="Q170" s="910" t="s">
        <v>1532</v>
      </c>
      <c r="R170" s="452"/>
      <c r="S170" s="888" t="s">
        <v>1534</v>
      </c>
      <c r="T170" s="889" t="s">
        <v>204</v>
      </c>
      <c r="U170" s="39"/>
      <c r="V170" s="888" t="s">
        <v>1533</v>
      </c>
      <c r="W170" s="910" t="s">
        <v>1532</v>
      </c>
      <c r="X170" s="889" t="s">
        <v>204</v>
      </c>
      <c r="Y170" s="12"/>
      <c r="Z170" s="888" t="s">
        <v>1534</v>
      </c>
      <c r="AA170" s="889" t="s">
        <v>204</v>
      </c>
      <c r="AB170" s="67"/>
      <c r="AC170" s="995"/>
      <c r="AD170" s="1405"/>
      <c r="AE170" s="1405"/>
      <c r="AF170" s="1405"/>
      <c r="AG170" s="1405"/>
      <c r="AH170" s="1405"/>
      <c r="AI170" s="1405"/>
      <c r="AJ170" s="1405"/>
      <c r="AK170" s="1405"/>
      <c r="AL170" s="1405"/>
      <c r="AM170" s="1405"/>
      <c r="AN170" s="1405"/>
      <c r="AO170" s="1405"/>
      <c r="AP170" s="1405"/>
      <c r="AQ170" s="1405"/>
      <c r="AR170" s="1405"/>
      <c r="AS170" s="67"/>
      <c r="AT170" s="995"/>
      <c r="AU170" s="12"/>
      <c r="AV170" s="892" t="str">
        <f t="shared" ref="AV170:AV178" si="88">F170</f>
        <v>energiefunctie</v>
      </c>
      <c r="AW170" s="452" t="str">
        <f>J170</f>
        <v>energiedrager</v>
      </c>
      <c r="AX170" s="910"/>
      <c r="AY170" s="12"/>
      <c r="AZ170" s="888" t="str">
        <f>AZ$64</f>
        <v>pos/neg</v>
      </c>
      <c r="BA170" s="888"/>
      <c r="BB170" s="888" t="str">
        <f>BB$64</f>
        <v>default</v>
      </c>
      <c r="BC170" s="452"/>
      <c r="BD170" s="452" t="str">
        <f>BD$64</f>
        <v>waarde</v>
      </c>
      <c r="BE170" s="452" t="str">
        <f>BE$64</f>
        <v>eenheden</v>
      </c>
      <c r="BF170" s="452"/>
      <c r="BG170" s="888" t="str">
        <f>BG$64</f>
        <v>default</v>
      </c>
      <c r="BH170" s="888" t="str">
        <f>BH$64</f>
        <v>eenheid</v>
      </c>
      <c r="BI170" s="452"/>
    </row>
    <row r="171" spans="1:61" hidden="1">
      <c r="A171" s="86"/>
      <c r="B171" s="47" t="str">
        <f t="shared" si="87"/>
        <v>Uniec 3 finaal</v>
      </c>
      <c r="C171" s="47" t="str">
        <f t="shared" si="87"/>
        <v>NTA 8800</v>
      </c>
      <c r="D171" s="943"/>
      <c r="E171" s="14"/>
      <c r="F171" s="22" t="s">
        <v>1446</v>
      </c>
      <c r="G171" s="22"/>
      <c r="H171" s="22"/>
      <c r="I171" s="905"/>
      <c r="J171" s="1691" t="s">
        <v>465</v>
      </c>
      <c r="K171" s="1698"/>
      <c r="L171" s="16"/>
      <c r="M171" s="24">
        <f>Q171*S171*BD171</f>
        <v>0</v>
      </c>
      <c r="N171" s="47" t="str">
        <f t="shared" ref="N171:N178" si="89">INDEX(EP_methode_eenheid,1,MATCH($C171,EP_methode,0))</f>
        <v>kWh</v>
      </c>
      <c r="O171" s="909"/>
      <c r="P171" s="39"/>
      <c r="Q171" s="59">
        <f>IFERROR(IF(AND(P171&lt;&gt;"",$BA171=1),P171,BB171),1)</f>
        <v>1.45</v>
      </c>
      <c r="R171" s="15"/>
      <c r="S171" s="25"/>
      <c r="T171" s="47" t="str">
        <f>IFERROR(INDEX(energiedragers_EP_eenheden,MATCH($J171,tabellen_EMD!$C$196:$C$204,0),MATCH($B171,energiedragers_EP_eenheden_titel,0)),"-")</f>
        <v>kWh</v>
      </c>
      <c r="U171" s="39"/>
      <c r="V171" s="15"/>
      <c r="W171" s="59">
        <f>IF(AND(V171&lt;&gt;"",$BA171=1),V171,BG171)</f>
        <v>0.34</v>
      </c>
      <c r="X171" s="47" t="str">
        <f>BH171</f>
        <v>kg/kWh</v>
      </c>
      <c r="Y171" s="12"/>
      <c r="Z171" s="24">
        <f>S171*W171*ABS(AZ171)</f>
        <v>0</v>
      </c>
      <c r="AA171" s="47" t="s">
        <v>468</v>
      </c>
      <c r="AB171" s="67"/>
      <c r="AC171" s="995"/>
      <c r="AD171" s="1405"/>
      <c r="AE171" s="1405"/>
      <c r="AF171" s="1405"/>
      <c r="AG171" s="1405"/>
      <c r="AH171" s="1405"/>
      <c r="AI171" s="1405"/>
      <c r="AJ171" s="1405"/>
      <c r="AK171" s="1405"/>
      <c r="AL171" s="1405"/>
      <c r="AM171" s="1405"/>
      <c r="AN171" s="1405"/>
      <c r="AO171" s="1405"/>
      <c r="AP171" s="1405"/>
      <c r="AQ171" s="1405"/>
      <c r="AR171" s="1405"/>
      <c r="AS171" s="67"/>
      <c r="AT171" s="995"/>
      <c r="AU171" s="12"/>
      <c r="AV171" s="22" t="str">
        <f t="shared" si="88"/>
        <v>elek: gebouwgebonden installaties</v>
      </c>
      <c r="AW171" s="46" t="str">
        <f>J171</f>
        <v>elektriciteit</v>
      </c>
      <c r="AX171" s="24"/>
      <c r="AY171" s="12"/>
      <c r="AZ171" s="115">
        <v>1</v>
      </c>
      <c r="BA171" s="24">
        <f>IFERROR(INDEX(tabellen_EMD!$C$185:$N$193,MATCH($J171,tabellen_EMD!$C$185:$C$193,0),MATCH(BA$63,tabellen_EMD!$C$185:$N$185,0)),0)</f>
        <v>0</v>
      </c>
      <c r="BB171" s="115">
        <f>VLOOKUP($J171,energiedragers_EP_PEF,MATCH(_xlfn.CONCAT($C171," | PEF"),energiedragers_EP_PEF_titel,0),FALSE)</f>
        <v>1.45</v>
      </c>
      <c r="BC171" s="899"/>
      <c r="BD171" s="115">
        <f>IFERROR(VLOOKUP($J171,energiedragers_EP_omrekenen,MATCH($B171,energiedragers_EP_omrekenen_titel,0),FALSE),1)</f>
        <v>1</v>
      </c>
      <c r="BE171" s="47" t="str">
        <f>_xlfn.CONCAT(N171,"/",T171)</f>
        <v>kWh/kWh</v>
      </c>
      <c r="BF171" s="899"/>
      <c r="BG171" s="218">
        <f>IFERROR(INDEX(tabellen_EMD!$C$240:$Z$248,MATCH($J171,tabellen_EMD!$C$240:$C$248,0),MATCH($B171,tabellen_EMD!$C$240:$Z$240,0))*(F171&lt;&gt;"zomercomfort"),0)</f>
        <v>0.34</v>
      </c>
      <c r="BH171" s="47" t="str">
        <f>"kg/"&amp;T171</f>
        <v>kg/kWh</v>
      </c>
      <c r="BI171" s="899"/>
    </row>
    <row r="172" spans="1:61" hidden="1">
      <c r="A172" s="86"/>
      <c r="B172" s="47" t="str">
        <f t="shared" si="87"/>
        <v>Uniec 3 finaal</v>
      </c>
      <c r="C172" s="47" t="str">
        <f t="shared" si="87"/>
        <v>NTA 8800</v>
      </c>
      <c r="D172" s="943"/>
      <c r="E172" s="14"/>
      <c r="F172" s="22" t="s">
        <v>1447</v>
      </c>
      <c r="G172" s="22"/>
      <c r="H172" s="22"/>
      <c r="I172" s="905"/>
      <c r="J172" s="965"/>
      <c r="K172" s="965"/>
      <c r="L172" s="965"/>
      <c r="M172" s="965"/>
      <c r="N172" s="965"/>
      <c r="O172" s="965"/>
      <c r="P172" s="965"/>
      <c r="Q172" s="965"/>
      <c r="R172" s="965"/>
      <c r="S172" s="965"/>
      <c r="T172" s="965"/>
      <c r="U172" s="965"/>
      <c r="V172" s="965"/>
      <c r="W172" s="965"/>
      <c r="X172" s="965"/>
      <c r="Y172" s="965"/>
      <c r="Z172" s="965"/>
      <c r="AA172" s="965"/>
      <c r="AB172" s="67"/>
      <c r="AC172" s="995"/>
      <c r="AD172" s="1405"/>
      <c r="AE172" s="1405"/>
      <c r="AF172" s="1405"/>
      <c r="AG172" s="1405"/>
      <c r="AH172" s="1405"/>
      <c r="AI172" s="1405"/>
      <c r="AJ172" s="1405"/>
      <c r="AK172" s="1405"/>
      <c r="AL172" s="1405"/>
      <c r="AM172" s="1405"/>
      <c r="AN172" s="1405"/>
      <c r="AO172" s="1405"/>
      <c r="AP172" s="1405"/>
      <c r="AQ172" s="1405"/>
      <c r="AR172" s="1405"/>
      <c r="AS172" s="67"/>
      <c r="AT172" s="995"/>
      <c r="AU172" s="12"/>
      <c r="AV172" s="22" t="str">
        <f t="shared" si="88"/>
        <v>elek: niet gebouwgebonden installaties</v>
      </c>
      <c r="AW172" s="899"/>
      <c r="AX172" s="899"/>
      <c r="AY172" s="899"/>
      <c r="AZ172" s="899"/>
      <c r="BA172" s="899"/>
      <c r="BB172" s="899"/>
      <c r="BC172" s="899"/>
      <c r="BD172" s="899"/>
      <c r="BE172" s="899"/>
      <c r="BF172" s="899"/>
      <c r="BG172" s="899"/>
      <c r="BH172" s="899"/>
      <c r="BI172" s="899"/>
    </row>
    <row r="173" spans="1:61" hidden="1">
      <c r="A173" s="86"/>
      <c r="B173" s="47" t="str">
        <f t="shared" si="87"/>
        <v>Uniec 3 finaal</v>
      </c>
      <c r="C173" s="47" t="str">
        <f t="shared" si="87"/>
        <v>NTA 8800</v>
      </c>
      <c r="D173" s="943"/>
      <c r="E173" s="14"/>
      <c r="F173" s="22" t="s">
        <v>1448</v>
      </c>
      <c r="G173" s="22"/>
      <c r="H173" s="22"/>
      <c r="I173" s="905"/>
      <c r="J173" s="1691" t="s">
        <v>466</v>
      </c>
      <c r="K173" s="1698"/>
      <c r="L173" s="16"/>
      <c r="M173" s="24">
        <f>Q173*S173*BD173</f>
        <v>0</v>
      </c>
      <c r="N173" s="47" t="str">
        <f t="shared" si="89"/>
        <v>kWh</v>
      </c>
      <c r="O173" s="909"/>
      <c r="P173" s="39"/>
      <c r="Q173" s="59">
        <f>IFERROR(IF(AND(P173&lt;&gt;"",$BA173=1),P173,BB173),1)</f>
        <v>1.45</v>
      </c>
      <c r="R173" s="15"/>
      <c r="S173" s="25"/>
      <c r="T173" s="47" t="str">
        <f>IFERROR(INDEX(energiedragers_EP_eenheden,MATCH($J173,tabellen_EMD!$C$196:$C$204,0),MATCH($B173,energiedragers_EP_eenheden_titel,0)),"-")</f>
        <v>kWh</v>
      </c>
      <c r="U173" s="1156"/>
      <c r="V173" s="15"/>
      <c r="W173" s="59">
        <f>IF(AND(V173&lt;&gt;"",$BA173=1),V173,BG173)</f>
        <v>0.34</v>
      </c>
      <c r="X173" s="47" t="str">
        <f>BH173</f>
        <v>kg/kWh</v>
      </c>
      <c r="Y173" s="12"/>
      <c r="Z173" s="24">
        <f>S173*W173*ABS(AZ173)</f>
        <v>0</v>
      </c>
      <c r="AA173" s="47" t="s">
        <v>468</v>
      </c>
      <c r="AB173" s="67"/>
      <c r="AC173" s="995"/>
      <c r="AD173" s="1405"/>
      <c r="AE173" s="1405"/>
      <c r="AF173" s="1405"/>
      <c r="AG173" s="1405"/>
      <c r="AH173" s="1405"/>
      <c r="AI173" s="1405"/>
      <c r="AJ173" s="1405"/>
      <c r="AK173" s="1405"/>
      <c r="AL173" s="1405"/>
      <c r="AM173" s="1405"/>
      <c r="AN173" s="1405"/>
      <c r="AO173" s="1405"/>
      <c r="AP173" s="1405"/>
      <c r="AQ173" s="1405"/>
      <c r="AR173" s="1405"/>
      <c r="AS173" s="67"/>
      <c r="AT173" s="995"/>
      <c r="AU173" s="12"/>
      <c r="AV173" s="22" t="str">
        <f t="shared" si="88"/>
        <v>elek: opgewekte elektriciteit</v>
      </c>
      <c r="AW173" s="46" t="str">
        <f t="shared" ref="AW173:AW178" si="90">J173</f>
        <v>elektriciteit opgewekt</v>
      </c>
      <c r="AX173" s="24"/>
      <c r="AY173" s="12"/>
      <c r="AZ173" s="115">
        <v>1</v>
      </c>
      <c r="BA173" s="24">
        <f>IFERROR(INDEX(tabellen_EMD!$C$185:$N$193,MATCH($J173,tabellen_EMD!$C$185:$C$193,0),MATCH(BA$63,tabellen_EMD!$C$185:$N$185,0)),0)</f>
        <v>0</v>
      </c>
      <c r="BB173" s="115">
        <f>VLOOKUP($J173,energiedragers_EP_PEF,MATCH(_xlfn.CONCAT($C173," | PEF"),energiedragers_EP_PEF_titel,0),FALSE)</f>
        <v>1.45</v>
      </c>
      <c r="BC173" s="899"/>
      <c r="BD173" s="115">
        <f>IFERROR(VLOOKUP($J173,energiedragers_EP_omrekenen,MATCH($B173,energiedragers_EP_omrekenen_titel,0),FALSE),1)</f>
        <v>1</v>
      </c>
      <c r="BE173" s="47" t="str">
        <f>_xlfn.CONCAT(N173,"/",T173)</f>
        <v>kWh/kWh</v>
      </c>
      <c r="BF173" s="899"/>
      <c r="BG173" s="218">
        <f>IFERROR(INDEX(tabellen_EMD!$C$240:$Z$248,MATCH($J173,tabellen_EMD!$C$240:$C$248,0),MATCH($B173,tabellen_EMD!$C$240:$Z$240,0))*(F173&lt;&gt;"zomercomfort"),0)</f>
        <v>0.34</v>
      </c>
      <c r="BH173" s="47" t="str">
        <f>"kg/"&amp;T173</f>
        <v>kg/kWh</v>
      </c>
      <c r="BI173" s="899"/>
    </row>
    <row r="174" spans="1:61" hidden="1">
      <c r="A174" s="86"/>
      <c r="B174" s="47" t="str">
        <f t="shared" si="87"/>
        <v>Uniec 3 finaal</v>
      </c>
      <c r="C174" s="47" t="str">
        <f t="shared" si="87"/>
        <v>NTA 8800</v>
      </c>
      <c r="D174" s="943"/>
      <c r="E174" s="14"/>
      <c r="F174" s="22" t="s">
        <v>1450</v>
      </c>
      <c r="G174" s="22"/>
      <c r="H174" s="22"/>
      <c r="I174" s="905"/>
      <c r="J174" s="1691" t="s">
        <v>463</v>
      </c>
      <c r="K174" s="1698"/>
      <c r="L174" s="16"/>
      <c r="M174" s="24">
        <f>Q174*S174*BD174</f>
        <v>0</v>
      </c>
      <c r="N174" s="47" t="str">
        <f t="shared" si="89"/>
        <v>kWh</v>
      </c>
      <c r="O174" s="909"/>
      <c r="P174" s="39"/>
      <c r="Q174" s="59">
        <f>IFERROR(IF(AND(P174&lt;&gt;"",$BA174=1),P174,BB174),1)</f>
        <v>1</v>
      </c>
      <c r="R174" s="15"/>
      <c r="S174" s="25"/>
      <c r="T174" s="47" t="str">
        <f>IFERROR(INDEX(energiedragers_EP_eenheden,MATCH($J174,tabellen_EMD!$C$196:$C$204,0),MATCH($B174,energiedragers_EP_eenheden_titel,0)),"-")</f>
        <v>m3 aeq</v>
      </c>
      <c r="U174" s="39"/>
      <c r="V174" s="15"/>
      <c r="W174" s="59">
        <f>IF(AND(V174&lt;&gt;"",$BA174=1),V174,BG174)</f>
        <v>1.788</v>
      </c>
      <c r="X174" s="47" t="str">
        <f>BH174</f>
        <v>kg/m3 aeq</v>
      </c>
      <c r="Y174" s="12"/>
      <c r="Z174" s="24">
        <f>S174*W174*ABS(AZ174)</f>
        <v>0</v>
      </c>
      <c r="AA174" s="47" t="s">
        <v>468</v>
      </c>
      <c r="AB174" s="67"/>
      <c r="AC174" s="995"/>
      <c r="AD174" s="1405"/>
      <c r="AE174" s="1405"/>
      <c r="AF174" s="1405"/>
      <c r="AG174" s="1405"/>
      <c r="AH174" s="1405"/>
      <c r="AI174" s="1405"/>
      <c r="AJ174" s="1405"/>
      <c r="AK174" s="1405"/>
      <c r="AL174" s="1405"/>
      <c r="AM174" s="1405"/>
      <c r="AN174" s="1405"/>
      <c r="AO174" s="1405"/>
      <c r="AP174" s="1405"/>
      <c r="AQ174" s="1405"/>
      <c r="AR174" s="1405"/>
      <c r="AS174" s="67"/>
      <c r="AT174" s="995"/>
      <c r="AU174" s="12"/>
      <c r="AV174" s="22" t="str">
        <f t="shared" si="88"/>
        <v>gas (tbv verwarming / tapwater)</v>
      </c>
      <c r="AW174" s="46" t="str">
        <f t="shared" si="90"/>
        <v>aardgas</v>
      </c>
      <c r="AX174" s="24"/>
      <c r="AY174" s="12"/>
      <c r="AZ174" s="115">
        <v>1</v>
      </c>
      <c r="BA174" s="24">
        <f>IFERROR(INDEX(tabellen_EMD!$C$185:$N$193,MATCH($J174,tabellen_EMD!$C$185:$C$193,0),MATCH(BA$63,tabellen_EMD!$C$185:$N$185,0)),0)</f>
        <v>0</v>
      </c>
      <c r="BB174" s="115">
        <f>VLOOKUP($J174,energiedragers_EP_PEF,MATCH(_xlfn.CONCAT($C174," | PEF"),energiedragers_EP_PEF_titel,0),FALSE)</f>
        <v>1</v>
      </c>
      <c r="BC174" s="899"/>
      <c r="BD174" s="115">
        <f>IFERROR(VLOOKUP($J174,energiedragers_EP_omrekenen,MATCH($B174,energiedragers_EP_omrekenen_titel,0),FALSE),1)</f>
        <v>9.7694444444444439</v>
      </c>
      <c r="BE174" s="47" t="str">
        <f>_xlfn.CONCAT(N174,"/",T174)</f>
        <v>kWh/m3 aeq</v>
      </c>
      <c r="BF174" s="899"/>
      <c r="BG174" s="218">
        <f>IFERROR(INDEX(tabellen_EMD!$C$240:$Z$248,MATCH($J174,tabellen_EMD!$C$240:$C$248,0),MATCH($B174,tabellen_EMD!$C$240:$Z$240,0))*(F174&lt;&gt;"zomercomfort"),0)</f>
        <v>1.788</v>
      </c>
      <c r="BH174" s="47" t="str">
        <f>"kg/"&amp;T174</f>
        <v>kg/m3 aeq</v>
      </c>
      <c r="BI174" s="899"/>
    </row>
    <row r="175" spans="1:61" hidden="1">
      <c r="A175" s="86"/>
      <c r="B175" s="47" t="str">
        <f t="shared" si="87"/>
        <v>Uniec 3 finaal</v>
      </c>
      <c r="C175" s="47" t="str">
        <f t="shared" si="87"/>
        <v>NTA 8800</v>
      </c>
      <c r="D175" s="943"/>
      <c r="E175" s="14"/>
      <c r="F175" s="22" t="s">
        <v>1449</v>
      </c>
      <c r="G175" s="22"/>
      <c r="H175" s="22"/>
      <c r="I175" s="905"/>
      <c r="J175" s="1691" t="s">
        <v>467</v>
      </c>
      <c r="K175" s="1698"/>
      <c r="L175" s="16"/>
      <c r="M175" s="24">
        <f>Q175*S175*BD175</f>
        <v>0</v>
      </c>
      <c r="N175" s="47" t="str">
        <f t="shared" si="89"/>
        <v>kWh</v>
      </c>
      <c r="O175" s="909"/>
      <c r="P175" s="154"/>
      <c r="Q175" s="59">
        <f>IFERROR(IF(AND(P175&lt;&gt;"",$BA175=1),P175,BB175),1)</f>
        <v>1</v>
      </c>
      <c r="R175" s="15"/>
      <c r="S175" s="25"/>
      <c r="T175" s="47" t="str">
        <f>IFERROR(INDEX(energiedragers_EP_eenheden,MATCH($J175,tabellen_EMD!$C$196:$C$204,0),MATCH($B175,energiedragers_EP_eenheden_titel,0)),"-")</f>
        <v>kWh</v>
      </c>
      <c r="U175" s="39"/>
      <c r="V175" s="15"/>
      <c r="W175" s="59">
        <f>IF(AND(V175&lt;&gt;"",$BA175=1),V175,BG175)</f>
        <v>0.372</v>
      </c>
      <c r="X175" s="47" t="str">
        <f>BH175</f>
        <v>kg/kWh</v>
      </c>
      <c r="Y175" s="12"/>
      <c r="Z175" s="24">
        <f>S175*W175*ABS(AZ175)</f>
        <v>0</v>
      </c>
      <c r="AA175" s="47" t="s">
        <v>468</v>
      </c>
      <c r="AB175" s="67"/>
      <c r="AC175" s="995"/>
      <c r="AD175" s="1405"/>
      <c r="AE175" s="1405"/>
      <c r="AF175" s="1405"/>
      <c r="AG175" s="1405"/>
      <c r="AH175" s="1405"/>
      <c r="AI175" s="1405"/>
      <c r="AJ175" s="1405"/>
      <c r="AK175" s="1405"/>
      <c r="AL175" s="1405"/>
      <c r="AM175" s="1405"/>
      <c r="AN175" s="1405"/>
      <c r="AO175" s="1405"/>
      <c r="AP175" s="1405"/>
      <c r="AQ175" s="1405"/>
      <c r="AR175" s="1405"/>
      <c r="AS175" s="67"/>
      <c r="AT175" s="995"/>
      <c r="AU175" s="12"/>
      <c r="AV175" s="22" t="str">
        <f t="shared" si="88"/>
        <v>biomassa (tbv verwarming / tapwater)</v>
      </c>
      <c r="AW175" s="46" t="str">
        <f t="shared" si="90"/>
        <v>hout / biomassa</v>
      </c>
      <c r="AX175" s="24"/>
      <c r="AY175" s="12"/>
      <c r="AZ175" s="115">
        <v>1</v>
      </c>
      <c r="BA175" s="24">
        <f>IFERROR(INDEX(tabellen_EMD!$C$185:$N$193,MATCH($J175,tabellen_EMD!$C$185:$C$193,0),MATCH(BA$63,tabellen_EMD!$C$185:$N$185,0)),0)</f>
        <v>1</v>
      </c>
      <c r="BB175" s="115">
        <f>VLOOKUP($J175,energiedragers_EP_PEF,MATCH(_xlfn.CONCAT($C175," | PEF"),energiedragers_EP_PEF_titel,0),FALSE)</f>
        <v>1</v>
      </c>
      <c r="BC175" s="899"/>
      <c r="BD175" s="115">
        <f>IFERROR(VLOOKUP($J175,energiedragers_EP_omrekenen,MATCH($B175,energiedragers_EP_omrekenen_titel,0),FALSE),1)</f>
        <v>1</v>
      </c>
      <c r="BE175" s="47" t="str">
        <f>_xlfn.CONCAT(N175,"/",T175)</f>
        <v>kWh/kWh</v>
      </c>
      <c r="BF175" s="899"/>
      <c r="BG175" s="218">
        <f>IFERROR(INDEX(tabellen_EMD!$C$240:$Z$248,MATCH($J175,tabellen_EMD!$C$240:$C$248,0),MATCH($B175,tabellen_EMD!$C$240:$Z$240,0))*(F175&lt;&gt;"zomercomfort"),0)</f>
        <v>0.372</v>
      </c>
      <c r="BH175" s="47" t="str">
        <f>"kg/"&amp;T175</f>
        <v>kg/kWh</v>
      </c>
      <c r="BI175" s="899"/>
    </row>
    <row r="176" spans="1:61" hidden="1">
      <c r="A176" s="86"/>
      <c r="B176" s="47" t="str">
        <f t="shared" si="87"/>
        <v>Uniec 3 finaal</v>
      </c>
      <c r="C176" s="47" t="str">
        <f t="shared" si="87"/>
        <v>NTA 8800</v>
      </c>
      <c r="D176" s="943"/>
      <c r="E176" s="14"/>
      <c r="F176" s="52" t="s">
        <v>500</v>
      </c>
      <c r="G176" s="52"/>
      <c r="H176" s="52"/>
      <c r="I176" s="905"/>
      <c r="J176" s="1691" t="s">
        <v>1539</v>
      </c>
      <c r="K176" s="1698"/>
      <c r="L176" s="16"/>
      <c r="M176" s="24">
        <f>Q176*S176*BD176</f>
        <v>0</v>
      </c>
      <c r="N176" s="47" t="str">
        <f t="shared" si="89"/>
        <v>kWh</v>
      </c>
      <c r="O176" s="909"/>
      <c r="P176" s="154"/>
      <c r="Q176" s="59">
        <f>IFERROR(IF(AND(P176&lt;&gt;"",$BA176=1),P176,BB176),1)</f>
        <v>0.90909090909090906</v>
      </c>
      <c r="R176" s="15"/>
      <c r="S176" s="789"/>
      <c r="T176" s="47" t="str">
        <f>IFERROR(INDEX(energiedragers_EP_eenheden,MATCH($J176,tabellen_EMD!$C$196:$C$204,0),MATCH($B176,energiedragers_EP_eenheden_titel,0)),"-")</f>
        <v>GJ</v>
      </c>
      <c r="U176" s="39"/>
      <c r="V176" s="154"/>
      <c r="W176" s="59">
        <f>IF(AND(V176&lt;&gt;"",$BA176=1),V176,BG176)</f>
        <v>47.222000000000001</v>
      </c>
      <c r="X176" s="47" t="str">
        <f t="shared" ref="X176:X177" si="91">BH176</f>
        <v>kg/GJ</v>
      </c>
      <c r="Y176" s="12"/>
      <c r="Z176" s="24">
        <f>S176*W176*ABS(AZ176)</f>
        <v>0</v>
      </c>
      <c r="AA176" s="47" t="s">
        <v>468</v>
      </c>
      <c r="AB176" s="67"/>
      <c r="AC176" s="995"/>
      <c r="AD176" s="1405"/>
      <c r="AE176" s="1405"/>
      <c r="AF176" s="1405"/>
      <c r="AG176" s="1405"/>
      <c r="AH176" s="1405"/>
      <c r="AI176" s="1405"/>
      <c r="AJ176" s="1405"/>
      <c r="AK176" s="1405"/>
      <c r="AL176" s="1405"/>
      <c r="AM176" s="1405"/>
      <c r="AN176" s="1405"/>
      <c r="AO176" s="1405"/>
      <c r="AP176" s="1405"/>
      <c r="AQ176" s="1405"/>
      <c r="AR176" s="1405"/>
      <c r="AS176" s="67"/>
      <c r="AT176" s="995"/>
      <c r="AU176" s="12"/>
      <c r="AV176" s="22" t="str">
        <f t="shared" si="88"/>
        <v>externe warmtelevering</v>
      </c>
      <c r="AW176" s="46" t="str">
        <f t="shared" si="90"/>
        <v>externe warmte</v>
      </c>
      <c r="AX176" s="12"/>
      <c r="AY176" s="12"/>
      <c r="AZ176" s="115">
        <v>1</v>
      </c>
      <c r="BA176" s="24">
        <f>IFERROR(INDEX(tabellen_EMD!$C$185:$N$193,MATCH($J176,tabellen_EMD!$C$185:$C$193,0),MATCH(BA$63,tabellen_EMD!$C$185:$N$185,0)),0)</f>
        <v>1</v>
      </c>
      <c r="BB176" s="115">
        <f>VLOOKUP($J176,energiedragers_EP_PEF,MATCH(_xlfn.CONCAT($C176," | PEF"),energiedragers_EP_PEF_titel,0),FALSE)</f>
        <v>0.90909090909090906</v>
      </c>
      <c r="BC176" s="899"/>
      <c r="BD176" s="115">
        <f>IFERROR(VLOOKUP($J176,energiedragers_EP_omrekenen,MATCH($B176,energiedragers_EP_omrekenen_titel,0),FALSE),1)</f>
        <v>277.77777777777777</v>
      </c>
      <c r="BE176" s="47" t="str">
        <f>_xlfn.CONCAT(N176,"/",T176)</f>
        <v>kWh/GJ</v>
      </c>
      <c r="BF176" s="899"/>
      <c r="BG176" s="24">
        <f>IFERROR(INDEX(tabellen_EMD!$C$240:$Z$248,MATCH($J176,tabellen_EMD!$C$240:$C$248,0),MATCH($B176,tabellen_EMD!$C$240:$Z$240,0))*(F176&lt;&gt;"zomercomfort"),0)</f>
        <v>47.222000000000001</v>
      </c>
      <c r="BH176" s="22" t="str">
        <f>"kg/"&amp;T176</f>
        <v>kg/GJ</v>
      </c>
      <c r="BI176" s="899"/>
    </row>
    <row r="177" spans="1:61" hidden="1">
      <c r="A177" s="86"/>
      <c r="B177" s="47" t="str">
        <f t="shared" si="87"/>
        <v>Uniec 3 finaal</v>
      </c>
      <c r="C177" s="47" t="str">
        <f t="shared" si="87"/>
        <v>NTA 8800</v>
      </c>
      <c r="D177" s="943"/>
      <c r="E177" s="14"/>
      <c r="F177" s="52" t="s">
        <v>1598</v>
      </c>
      <c r="G177" s="52"/>
      <c r="H177" s="52"/>
      <c r="I177" s="905"/>
      <c r="J177" s="1691" t="s">
        <v>1599</v>
      </c>
      <c r="K177" s="1698"/>
      <c r="L177" s="16"/>
      <c r="M177" s="24">
        <f>Q177*S177*BD177</f>
        <v>0</v>
      </c>
      <c r="N177" s="47" t="str">
        <f t="shared" si="89"/>
        <v>kWh</v>
      </c>
      <c r="O177" s="909"/>
      <c r="P177" s="154"/>
      <c r="Q177" s="59">
        <f>IFERROR(IF(AND(P177&lt;&gt;"",$BA177=1),P177,BB177),1)</f>
        <v>3.3333333333333333E-2</v>
      </c>
      <c r="R177" s="15"/>
      <c r="S177" s="789"/>
      <c r="T177" s="47" t="str">
        <f>IFERROR(INDEX(energiedragers_EP_eenheden,MATCH($J177,tabellen_EMD!$C$196:$C$204,0),MATCH($B177,energiedragers_EP_eenheden_titel,0)),"-")</f>
        <v>GJ</v>
      </c>
      <c r="U177" s="39"/>
      <c r="V177" s="154"/>
      <c r="W177" s="59">
        <f>IF(AND(V177&lt;&gt;"",$BA177=1),V177,BG177)</f>
        <v>31.481000000000002</v>
      </c>
      <c r="X177" s="47" t="str">
        <f t="shared" si="91"/>
        <v>kg/GJ</v>
      </c>
      <c r="Y177" s="12"/>
      <c r="Z177" s="24">
        <f>S177*W177*ABS(AZ177)</f>
        <v>0</v>
      </c>
      <c r="AA177" s="47" t="s">
        <v>468</v>
      </c>
      <c r="AB177" s="67"/>
      <c r="AC177" s="995"/>
      <c r="AD177" s="1405"/>
      <c r="AE177" s="1405"/>
      <c r="AF177" s="1405"/>
      <c r="AG177" s="1405"/>
      <c r="AH177" s="1405"/>
      <c r="AI177" s="1405"/>
      <c r="AJ177" s="1405"/>
      <c r="AK177" s="1405"/>
      <c r="AL177" s="1405"/>
      <c r="AM177" s="1405"/>
      <c r="AN177" s="1405"/>
      <c r="AO177" s="1405"/>
      <c r="AP177" s="1405"/>
      <c r="AQ177" s="1405"/>
      <c r="AR177" s="1405"/>
      <c r="AS177" s="67"/>
      <c r="AT177" s="995"/>
      <c r="AU177" s="12"/>
      <c r="AV177" s="22" t="str">
        <f t="shared" si="88"/>
        <v>externe koudelevering</v>
      </c>
      <c r="AW177" s="46" t="str">
        <f t="shared" si="90"/>
        <v>externe koude</v>
      </c>
      <c r="AX177" s="12"/>
      <c r="AY177" s="12"/>
      <c r="AZ177" s="115">
        <v>1</v>
      </c>
      <c r="BA177" s="24">
        <f>IFERROR(INDEX(tabellen_EMD!$C$185:$N$193,MATCH($J177,tabellen_EMD!$C$185:$C$193,0),MATCH(BA$63,tabellen_EMD!$C$185:$N$185,0)),0)</f>
        <v>1</v>
      </c>
      <c r="BB177" s="115">
        <f>VLOOKUP($J177,energiedragers_EP_PEF,MATCH(_xlfn.CONCAT($C177," | PEF"),energiedragers_EP_PEF_titel,0),FALSE)</f>
        <v>3.3333333333333333E-2</v>
      </c>
      <c r="BC177" s="899"/>
      <c r="BD177" s="115">
        <f>IFERROR(VLOOKUP($J177,energiedragers_EP_omrekenen,MATCH($B177,energiedragers_EP_omrekenen_titel,0),FALSE),1)</f>
        <v>277.77777777777777</v>
      </c>
      <c r="BE177" s="47" t="str">
        <f>_xlfn.CONCAT(N177,"/",T177)</f>
        <v>kWh/GJ</v>
      </c>
      <c r="BF177" s="899"/>
      <c r="BG177" s="24">
        <f>IFERROR(INDEX(tabellen_EMD!$C$240:$Z$248,MATCH($J177,tabellen_EMD!$C$240:$C$248,0),MATCH($B177,tabellen_EMD!$C$240:$Z$240,0))*(F177&lt;&gt;"zomercomfort"),0)</f>
        <v>31.481000000000002</v>
      </c>
      <c r="BH177" s="22" t="str">
        <f>"kg/"&amp;T177</f>
        <v>kg/GJ</v>
      </c>
      <c r="BI177" s="899"/>
    </row>
    <row r="178" spans="1:61" s="940" customFormat="1" hidden="1">
      <c r="A178" s="49"/>
      <c r="B178" s="47" t="str">
        <f>B176</f>
        <v>Uniec 3 finaal</v>
      </c>
      <c r="C178" s="47" t="str">
        <f>C176</f>
        <v>NTA 8800</v>
      </c>
      <c r="D178" s="943"/>
      <c r="E178" s="14"/>
      <c r="F178" s="15" t="s">
        <v>1391</v>
      </c>
      <c r="G178" s="15"/>
      <c r="H178" s="15"/>
      <c r="I178" s="905"/>
      <c r="J178" s="43" t="s">
        <v>1391</v>
      </c>
      <c r="K178" s="43"/>
      <c r="L178" s="16"/>
      <c r="M178" s="950">
        <f>SUM(M171,M174,M175,M176,M177-M173)</f>
        <v>0</v>
      </c>
      <c r="N178" s="15" t="str">
        <f t="shared" si="89"/>
        <v>kWh</v>
      </c>
      <c r="O178" s="15"/>
      <c r="P178" s="39"/>
      <c r="Q178" s="39"/>
      <c r="R178" s="15"/>
      <c r="S178" s="899"/>
      <c r="T178" s="899"/>
      <c r="U178" s="39"/>
      <c r="V178" s="39"/>
      <c r="W178" s="39"/>
      <c r="X178" s="39"/>
      <c r="Y178" s="12"/>
      <c r="Z178" s="950">
        <f>SUM(Z171,Z174,Z175,Z176,Z177-Z173)</f>
        <v>0</v>
      </c>
      <c r="AA178" s="15" t="s">
        <v>468</v>
      </c>
      <c r="AB178" s="67"/>
      <c r="AC178" s="995"/>
      <c r="AD178" s="1405"/>
      <c r="AE178" s="1405"/>
      <c r="AF178" s="1405"/>
      <c r="AG178" s="1405"/>
      <c r="AH178" s="1405"/>
      <c r="AI178" s="1405"/>
      <c r="AJ178" s="1405"/>
      <c r="AK178" s="1405"/>
      <c r="AL178" s="1405"/>
      <c r="AM178" s="1405"/>
      <c r="AN178" s="1405"/>
      <c r="AO178" s="1405"/>
      <c r="AP178" s="1405"/>
      <c r="AQ178" s="1405"/>
      <c r="AR178" s="1405"/>
      <c r="AS178" s="67"/>
      <c r="AT178" s="995"/>
      <c r="AU178" s="12"/>
      <c r="AV178" s="22" t="str">
        <f t="shared" si="88"/>
        <v>totaal</v>
      </c>
      <c r="AW178" s="46" t="str">
        <f t="shared" si="90"/>
        <v>totaal</v>
      </c>
      <c r="AX178" s="24"/>
      <c r="AY178" s="12"/>
      <c r="AZ178" s="24"/>
      <c r="BA178" s="12"/>
      <c r="BB178" s="24"/>
      <c r="BC178" s="899"/>
      <c r="BD178" s="12"/>
      <c r="BE178" s="12"/>
      <c r="BF178" s="899"/>
      <c r="BG178" s="12"/>
      <c r="BH178" s="12"/>
      <c r="BI178" s="899"/>
    </row>
    <row r="179" spans="1:61" s="49" customFormat="1" hidden="1">
      <c r="A179" s="212"/>
      <c r="B179" s="47" t="str">
        <f t="shared" si="87"/>
        <v>Uniec 3 finaal</v>
      </c>
      <c r="C179" s="47" t="str">
        <f t="shared" si="87"/>
        <v>NTA 8800</v>
      </c>
      <c r="D179" s="943"/>
      <c r="E179" s="50"/>
      <c r="F179" s="452" t="str">
        <f>IFERROR(IF($P$23=$B179,_xlfn.CONCAT("Bij 1.1 ingevuld: ",FIXED($J$35,2,FALSE)," ",$K$35),""),"invoer niet correct")</f>
        <v/>
      </c>
      <c r="G179" s="452"/>
      <c r="H179" s="452"/>
      <c r="I179" s="905"/>
      <c r="J179" s="909" t="str">
        <f>IFERROR(IF($P$23=$B179,IF(ABS((M179-$J$35)/$J$35)&gt;1%,"Afwijking &gt;1% met subthema 1.1",""),""),"invoer niet correct")</f>
        <v/>
      </c>
      <c r="K179" s="909"/>
      <c r="L179" s="910"/>
      <c r="M179" s="1339" t="str">
        <f>IFERROR(IF($P$23=$B179,M178/$J$59,""),"")</f>
        <v/>
      </c>
      <c r="N179" s="452" t="str">
        <f>IF($P$23=$B179,_xlfn.CONCAT(N178,"/m2"),"")</f>
        <v/>
      </c>
      <c r="O179" s="452"/>
      <c r="P179" s="39"/>
      <c r="Q179" s="39"/>
      <c r="R179" s="899"/>
      <c r="S179" s="899"/>
      <c r="T179" s="899"/>
      <c r="U179" s="39"/>
      <c r="V179" s="39"/>
      <c r="W179" s="910" t="str">
        <f>IFERROR(IF($P$23=$B179,_xlfn.CONCAT("Bij 1.1 ingevuld: ",FIXED($AG$40,1,FALSE)," ",$AH$40),""),"invoer niet correct")</f>
        <v/>
      </c>
      <c r="X179" s="909" t="str">
        <f>IFERROR(IF($P$23=$B179,IF(ABS((Z179-$AG$40)/$AG$40)&gt;1%,"afwijking &gt;1% met subthema 1.1",""),""),"invoer niet correct")</f>
        <v/>
      </c>
      <c r="Y179" s="12"/>
      <c r="Z179" s="951" t="str">
        <f>IFERROR(IF($P$23=$B179,Z178/$J$58,""),"")</f>
        <v/>
      </c>
      <c r="AA179" s="452" t="str">
        <f>IF($P$23=$B179,_xlfn.CONCAT(AA178,"/m2"),"")</f>
        <v/>
      </c>
      <c r="AB179" s="1393"/>
      <c r="AC179" s="1001"/>
      <c r="AD179" s="1405"/>
      <c r="AE179" s="1405"/>
      <c r="AF179" s="1405"/>
      <c r="AG179" s="1405"/>
      <c r="AH179" s="1405"/>
      <c r="AI179" s="1405"/>
      <c r="AJ179" s="1405"/>
      <c r="AK179" s="1405"/>
      <c r="AL179" s="1405"/>
      <c r="AM179" s="1405"/>
      <c r="AN179" s="1405"/>
      <c r="AO179" s="1405"/>
      <c r="AP179" s="1405"/>
      <c r="AQ179" s="1405"/>
      <c r="AR179" s="1405"/>
      <c r="AS179" s="1393"/>
      <c r="AT179" s="1001"/>
      <c r="AU179" s="12"/>
      <c r="AV179" s="452"/>
      <c r="AW179" s="452"/>
      <c r="AX179" s="452"/>
      <c r="AY179" s="452"/>
      <c r="AZ179" s="452"/>
      <c r="BA179" s="452"/>
      <c r="BB179" s="452"/>
      <c r="BC179" s="452"/>
      <c r="BD179" s="452"/>
      <c r="BE179" s="452"/>
      <c r="BF179" s="452"/>
      <c r="BG179" s="899"/>
      <c r="BH179" s="899"/>
      <c r="BI179" s="899"/>
    </row>
    <row r="180" spans="1:61" hidden="1">
      <c r="A180" s="86"/>
      <c r="B180" s="47" t="str">
        <f t="shared" si="87"/>
        <v>Uniec 3 finaal</v>
      </c>
      <c r="C180" s="47" t="str">
        <f t="shared" si="87"/>
        <v>NTA 8800</v>
      </c>
      <c r="D180" s="943"/>
      <c r="E180" s="14"/>
      <c r="F180" s="43"/>
      <c r="G180" s="43"/>
      <c r="H180" s="43"/>
      <c r="I180" s="905"/>
      <c r="J180" s="55"/>
      <c r="K180" s="55"/>
      <c r="L180" s="53"/>
      <c r="M180" s="54"/>
      <c r="N180" s="56"/>
      <c r="O180" s="148"/>
      <c r="P180" s="39"/>
      <c r="Q180" s="39"/>
      <c r="R180" s="53"/>
      <c r="S180" s="1"/>
      <c r="T180" s="53"/>
      <c r="U180" s="39"/>
      <c r="V180" s="39"/>
      <c r="W180" s="39"/>
      <c r="X180" s="39"/>
      <c r="Y180" s="12"/>
      <c r="Z180" s="13"/>
      <c r="AA180" s="13"/>
      <c r="AB180" s="67"/>
      <c r="AC180" s="995"/>
      <c r="AD180" s="1405"/>
      <c r="AE180" s="1405"/>
      <c r="AF180" s="1405"/>
      <c r="AG180" s="1405"/>
      <c r="AH180" s="1405"/>
      <c r="AI180" s="1405"/>
      <c r="AJ180" s="1405"/>
      <c r="AK180" s="1405"/>
      <c r="AL180" s="1405"/>
      <c r="AM180" s="1405"/>
      <c r="AN180" s="1405"/>
      <c r="AO180" s="1405"/>
      <c r="AP180" s="1405"/>
      <c r="AQ180" s="1405"/>
      <c r="AR180" s="1405"/>
      <c r="AS180" s="67"/>
      <c r="AT180" s="995"/>
      <c r="AU180" s="12"/>
      <c r="AV180" s="12"/>
      <c r="AW180" s="12"/>
      <c r="AX180" s="12"/>
      <c r="AY180" s="12"/>
      <c r="AZ180" s="12"/>
      <c r="BA180" s="12"/>
      <c r="BB180" s="12"/>
      <c r="BC180" s="12"/>
      <c r="BD180" s="12"/>
      <c r="BE180" s="12"/>
      <c r="BF180" s="12"/>
      <c r="BG180" s="12"/>
      <c r="BH180" s="12"/>
      <c r="BI180" s="12"/>
    </row>
    <row r="181" spans="1:61" s="49" customFormat="1" hidden="1">
      <c r="A181" s="212" t="s">
        <v>493</v>
      </c>
      <c r="B181" s="1005" t="str">
        <f>$P$23</f>
        <v>Uniec 2 finaal</v>
      </c>
      <c r="C181" s="1005" t="str">
        <f>VLOOKUP(B181,'NEN 7120 naar GPR4'!$AV$40:$AY$48,COLUMNS($AV$40:$AX$40),FALSE)</f>
        <v>NEN 7120</v>
      </c>
      <c r="D181" s="947"/>
      <c r="E181" s="50"/>
      <c r="F181" s="43" t="s">
        <v>1486</v>
      </c>
      <c r="G181" s="43"/>
      <c r="H181" s="43"/>
      <c r="I181" s="905"/>
      <c r="J181" s="44"/>
      <c r="K181" s="44"/>
      <c r="L181" s="44"/>
      <c r="M181" s="909" t="s">
        <v>1485</v>
      </c>
      <c r="N181" s="44"/>
      <c r="O181" s="44"/>
      <c r="P181" s="899"/>
      <c r="Q181" s="899"/>
      <c r="R181" s="899"/>
      <c r="S181" s="453" t="s">
        <v>1605</v>
      </c>
      <c r="T181" s="44"/>
      <c r="U181" s="899"/>
      <c r="V181" s="453"/>
      <c r="W181" s="453" t="s">
        <v>1606</v>
      </c>
      <c r="X181" s="44"/>
      <c r="Y181" s="12"/>
      <c r="Z181" s="453" t="s">
        <v>1536</v>
      </c>
      <c r="AA181" s="12"/>
      <c r="AB181" s="1393"/>
      <c r="AC181" s="995"/>
      <c r="AD181" s="1405"/>
      <c r="AE181" s="1405"/>
      <c r="AF181" s="1405"/>
      <c r="AG181" s="1405"/>
      <c r="AH181" s="1405"/>
      <c r="AI181" s="1405"/>
      <c r="AJ181" s="1405"/>
      <c r="AK181" s="1405"/>
      <c r="AL181" s="1405"/>
      <c r="AM181" s="1405"/>
      <c r="AN181" s="1405"/>
      <c r="AO181" s="1405"/>
      <c r="AP181" s="1405"/>
      <c r="AQ181" s="1405"/>
      <c r="AR181" s="1405"/>
      <c r="AS181" s="1393"/>
      <c r="AT181" s="1001"/>
      <c r="AU181" s="12"/>
      <c r="AV181" s="12"/>
      <c r="AW181" s="12"/>
      <c r="AX181" s="12"/>
      <c r="AY181" s="12"/>
      <c r="AZ181" s="12"/>
      <c r="BA181" s="12"/>
      <c r="BB181" s="12"/>
      <c r="BC181" s="12"/>
      <c r="BD181" s="12"/>
      <c r="BE181" s="12"/>
      <c r="BF181" s="12"/>
      <c r="BG181" s="12"/>
      <c r="BH181" s="12"/>
      <c r="BI181" s="13"/>
    </row>
    <row r="182" spans="1:61" hidden="1">
      <c r="A182" s="212" t="s">
        <v>493</v>
      </c>
      <c r="B182" s="978" t="str">
        <f t="shared" ref="B182:C191" si="92">B181</f>
        <v>Uniec 2 finaal</v>
      </c>
      <c r="C182" s="978" t="str">
        <f t="shared" si="92"/>
        <v>NEN 7120</v>
      </c>
      <c r="D182" s="947"/>
      <c r="E182" s="14"/>
      <c r="F182" s="892" t="s">
        <v>1632</v>
      </c>
      <c r="G182" s="892"/>
      <c r="H182" s="892"/>
      <c r="I182" s="905"/>
      <c r="J182" s="892" t="s">
        <v>1633</v>
      </c>
      <c r="K182" s="965"/>
      <c r="L182" s="889"/>
      <c r="M182" s="910" t="s">
        <v>1534</v>
      </c>
      <c r="N182" s="452" t="s">
        <v>204</v>
      </c>
      <c r="O182" s="452"/>
      <c r="P182" s="452"/>
      <c r="Q182" s="452"/>
      <c r="R182" s="39"/>
      <c r="S182" s="888" t="s">
        <v>1534</v>
      </c>
      <c r="T182" s="889" t="s">
        <v>204</v>
      </c>
      <c r="U182" s="452"/>
      <c r="V182" s="888"/>
      <c r="W182" s="888" t="s">
        <v>1534</v>
      </c>
      <c r="X182" s="889" t="s">
        <v>204</v>
      </c>
      <c r="Y182" s="12"/>
      <c r="Z182" s="888" t="s">
        <v>1534</v>
      </c>
      <c r="AA182" s="889" t="s">
        <v>204</v>
      </c>
      <c r="AB182" s="67"/>
      <c r="AC182" s="995"/>
      <c r="AD182" s="1405"/>
      <c r="AE182" s="1405"/>
      <c r="AF182" s="1405"/>
      <c r="AG182" s="1405"/>
      <c r="AH182" s="1405"/>
      <c r="AI182" s="1405"/>
      <c r="AJ182" s="1405"/>
      <c r="AK182" s="1405"/>
      <c r="AL182" s="1405"/>
      <c r="AM182" s="1405"/>
      <c r="AN182" s="1405"/>
      <c r="AO182" s="1405"/>
      <c r="AP182" s="1405"/>
      <c r="AQ182" s="1405"/>
      <c r="AR182" s="1405"/>
      <c r="AS182" s="67"/>
      <c r="AT182" s="995"/>
      <c r="AU182" s="12"/>
      <c r="AV182" s="12"/>
      <c r="AW182" s="12"/>
      <c r="AX182" s="12"/>
      <c r="AY182" s="12"/>
      <c r="AZ182" s="12"/>
      <c r="BA182" s="12"/>
      <c r="BB182" s="12"/>
      <c r="BC182" s="12"/>
      <c r="BD182" s="12"/>
      <c r="BE182" s="12"/>
      <c r="BF182" s="12"/>
      <c r="BG182" s="12"/>
      <c r="BH182" s="12"/>
      <c r="BI182" s="13"/>
    </row>
    <row r="183" spans="1:61" s="49" customFormat="1" hidden="1">
      <c r="A183" s="212" t="s">
        <v>493</v>
      </c>
      <c r="B183" s="978" t="str">
        <f t="shared" si="92"/>
        <v>Uniec 2 finaal</v>
      </c>
      <c r="C183" s="978" t="str">
        <f t="shared" si="92"/>
        <v>NEN 7120</v>
      </c>
      <c r="D183" s="947"/>
      <c r="E183" s="50"/>
      <c r="F183" s="46" t="str">
        <f>tabellen_EMD!C197</f>
        <v>aardgas</v>
      </c>
      <c r="G183" s="46"/>
      <c r="H183" s="46"/>
      <c r="I183" s="905"/>
      <c r="J183" s="1691" t="s">
        <v>463</v>
      </c>
      <c r="K183" s="1698"/>
      <c r="L183" s="44"/>
      <c r="M183" s="24">
        <f t="shared" ref="M183:M189" si="93">SUMIFS(M$63:M$180,$AZ$63:$AZ$180,1,$B$63:$B$180,$B183,$J$63:$J$180,$F183)-SUMIFS(M$63:M$180,$AZ$63:$AZ$180,-1,$B$63:$B$180,$B183,$J$63:$J$180,$F183)</f>
        <v>0</v>
      </c>
      <c r="N183" s="22" t="str">
        <f t="shared" ref="N183:N190" si="94">INDEX(EP_methode_eenheid,1,MATCH($C183,EP_methode,0))</f>
        <v>MJ</v>
      </c>
      <c r="O183" s="44"/>
      <c r="P183" s="452"/>
      <c r="Q183" s="452"/>
      <c r="R183" s="899"/>
      <c r="S183" s="24">
        <f t="shared" ref="S183:S189" si="95">SUMIFS(S$63:S$180,$AZ$63:$AZ$180,1,$B$63:$B$180,$B183,$J$63:$J$180,$F183)-SUMIFS(S$63:S$180,$AZ$63:$AZ$180,-1,$B$63:$B$180,$B183,$J$63:$J$180,$F183)</f>
        <v>0</v>
      </c>
      <c r="T183" s="47" t="str">
        <f>IFERROR(INDEX(energiedragers_EP_eenheden,MATCH($J183,tabellen_EMD!$C$196:$C$204,0),MATCH($B183,energiedragers_EP_eenheden_titel,0)),"-")</f>
        <v>m3 aeq</v>
      </c>
      <c r="U183" s="452"/>
      <c r="V183" s="39"/>
      <c r="W183" s="24">
        <f>S183/INDEX(tabellen_EMD!$C$259:$Z$266,MATCH($F183,tabellen_EMD!$C$259:$C$266,0),MATCH(B183,tabellen_EMD!$C$259:$Z$259,0))</f>
        <v>0</v>
      </c>
      <c r="X183" s="47" t="str">
        <f>INDEX(tabellen_EMD!$C$251:$F$256,MATCH($J183,tabellen_EMD!$C$251:$C$256,0),MATCH($P$24,tabellen_EMD!$C$251:$F$251,0))</f>
        <v>m3</v>
      </c>
      <c r="Y183" s="12"/>
      <c r="Z183" s="24">
        <f t="shared" ref="Z183:Z189" si="96">SUMIFS(Z$63:Z$180,$AZ$63:$AZ$180,1,$B$63:$B$180,$B183,$J$63:$J$180,$J183)-SUMIFS(Z$63:Z$180,$AZ$63:$AZ$180,-1,$B$63:$B$180,$B183,$J$63:$J$180,$J183)</f>
        <v>0</v>
      </c>
      <c r="AA183" s="47" t="s">
        <v>468</v>
      </c>
      <c r="AB183" s="1393"/>
      <c r="AC183" s="995"/>
      <c r="AD183" s="1405"/>
      <c r="AE183" s="1405"/>
      <c r="AF183" s="1405"/>
      <c r="AG183" s="1405"/>
      <c r="AH183" s="1405"/>
      <c r="AI183" s="1405"/>
      <c r="AJ183" s="1405"/>
      <c r="AK183" s="1405"/>
      <c r="AL183" s="1405"/>
      <c r="AM183" s="1405"/>
      <c r="AN183" s="1405"/>
      <c r="AO183" s="1405"/>
      <c r="AP183" s="1405"/>
      <c r="AQ183" s="1405"/>
      <c r="AR183" s="1405"/>
      <c r="AS183" s="1393"/>
      <c r="AT183" s="1001"/>
      <c r="AU183" s="12"/>
      <c r="AV183" s="12"/>
      <c r="AW183" s="12"/>
      <c r="AX183" s="12"/>
      <c r="AY183" s="12"/>
      <c r="AZ183" s="12"/>
      <c r="BA183" s="12"/>
      <c r="BB183" s="12"/>
      <c r="BC183" s="12"/>
      <c r="BD183" s="12"/>
      <c r="BE183" s="12"/>
      <c r="BF183" s="12"/>
      <c r="BG183" s="12"/>
      <c r="BH183" s="12"/>
      <c r="BI183" s="13"/>
    </row>
    <row r="184" spans="1:61" s="49" customFormat="1" hidden="1">
      <c r="A184" s="212" t="s">
        <v>493</v>
      </c>
      <c r="B184" s="978" t="str">
        <f t="shared" si="92"/>
        <v>Uniec 2 finaal</v>
      </c>
      <c r="C184" s="978" t="str">
        <f t="shared" si="92"/>
        <v>NEN 7120</v>
      </c>
      <c r="D184" s="947"/>
      <c r="E184" s="50"/>
      <c r="F184" s="46" t="str">
        <f>tabellen_EMD!C198</f>
        <v>elektriciteit</v>
      </c>
      <c r="G184" s="46"/>
      <c r="H184" s="46"/>
      <c r="I184" s="905"/>
      <c r="J184" s="1691" t="s">
        <v>465</v>
      </c>
      <c r="K184" s="1698"/>
      <c r="L184" s="44"/>
      <c r="M184" s="24">
        <f t="shared" si="93"/>
        <v>0</v>
      </c>
      <c r="N184" s="22" t="str">
        <f t="shared" si="94"/>
        <v>MJ</v>
      </c>
      <c r="O184" s="44"/>
      <c r="P184" s="452"/>
      <c r="Q184" s="452"/>
      <c r="R184" s="899"/>
      <c r="S184" s="24">
        <f t="shared" si="95"/>
        <v>0</v>
      </c>
      <c r="T184" s="47" t="str">
        <f>IFERROR(INDEX(energiedragers_EP_eenheden,MATCH($J184,tabellen_EMD!$C$196:$C$204,0),MATCH($B184,energiedragers_EP_eenheden_titel,0)),"-")</f>
        <v>kWh</v>
      </c>
      <c r="U184" s="452"/>
      <c r="V184" s="39"/>
      <c r="W184" s="24">
        <f>S184/INDEX(tabellen_EMD!$C$259:$Z$266,MATCH($F184,tabellen_EMD!$C$259:$C$266,0),MATCH(B184,tabellen_EMD!$C$259:$Z$259,0))</f>
        <v>0</v>
      </c>
      <c r="X184" s="47" t="str">
        <f>INDEX(tabellen_EMD!$C$251:$F$256,MATCH($J184,tabellen_EMD!$C$251:$C$256,0),MATCH($P$24,tabellen_EMD!$C$251:$F$251,0))</f>
        <v>kWh</v>
      </c>
      <c r="Y184" s="12"/>
      <c r="Z184" s="24">
        <f t="shared" si="96"/>
        <v>0</v>
      </c>
      <c r="AA184" s="47" t="s">
        <v>468</v>
      </c>
      <c r="AB184" s="1393"/>
      <c r="AC184" s="995"/>
      <c r="AD184" s="1405"/>
      <c r="AE184" s="1405"/>
      <c r="AF184" s="1405"/>
      <c r="AG184" s="1405"/>
      <c r="AH184" s="1405"/>
      <c r="AI184" s="1405"/>
      <c r="AJ184" s="1405"/>
      <c r="AK184" s="1405"/>
      <c r="AL184" s="1405"/>
      <c r="AM184" s="1405"/>
      <c r="AN184" s="1405"/>
      <c r="AO184" s="1405"/>
      <c r="AP184" s="1405"/>
      <c r="AQ184" s="1405"/>
      <c r="AR184" s="1405"/>
      <c r="AS184" s="1393"/>
      <c r="AT184" s="1001"/>
      <c r="AU184" s="12"/>
      <c r="AV184" s="12"/>
      <c r="AW184" s="12"/>
      <c r="AX184" s="12"/>
      <c r="AY184" s="12"/>
      <c r="AZ184" s="12"/>
      <c r="BA184" s="12"/>
      <c r="BB184" s="12"/>
      <c r="BC184" s="12"/>
      <c r="BD184" s="12"/>
      <c r="BE184" s="12"/>
      <c r="BF184" s="12"/>
      <c r="BG184" s="12"/>
      <c r="BH184" s="12"/>
      <c r="BI184" s="13"/>
    </row>
    <row r="185" spans="1:61" s="49" customFormat="1" hidden="1">
      <c r="A185" s="212" t="s">
        <v>493</v>
      </c>
      <c r="B185" s="978" t="str">
        <f t="shared" si="92"/>
        <v>Uniec 2 finaal</v>
      </c>
      <c r="C185" s="978" t="str">
        <f t="shared" si="92"/>
        <v>NEN 7120</v>
      </c>
      <c r="D185" s="947"/>
      <c r="E185" s="50"/>
      <c r="F185" s="46" t="str">
        <f>tabellen_EMD!C199</f>
        <v>elektriciteit opgewekt</v>
      </c>
      <c r="G185" s="46"/>
      <c r="H185" s="46"/>
      <c r="I185" s="905"/>
      <c r="J185" s="1691" t="s">
        <v>466</v>
      </c>
      <c r="K185" s="1698"/>
      <c r="L185" s="44"/>
      <c r="M185" s="24">
        <f t="shared" si="93"/>
        <v>0</v>
      </c>
      <c r="N185" s="22" t="str">
        <f t="shared" si="94"/>
        <v>MJ</v>
      </c>
      <c r="O185" s="44"/>
      <c r="P185" s="452"/>
      <c r="Q185" s="452"/>
      <c r="R185" s="899"/>
      <c r="S185" s="24">
        <f t="shared" si="95"/>
        <v>0</v>
      </c>
      <c r="T185" s="47" t="str">
        <f>IFERROR(INDEX(energiedragers_EP_eenheden,MATCH($J185,tabellen_EMD!$C$196:$C$204,0),MATCH($B185,energiedragers_EP_eenheden_titel,0)),"-")</f>
        <v>kWh</v>
      </c>
      <c r="U185" s="452"/>
      <c r="V185" s="39"/>
      <c r="W185" s="24">
        <f>S185/INDEX(tabellen_EMD!$C$259:$Z$266,MATCH($F185,tabellen_EMD!$C$259:$C$266,0),MATCH(B185,tabellen_EMD!$C$259:$Z$259,0))</f>
        <v>0</v>
      </c>
      <c r="X185" s="47" t="str">
        <f>INDEX(tabellen_EMD!$C$251:$F$256,MATCH($J185,tabellen_EMD!$C$251:$C$256,0),MATCH($P$24,tabellen_EMD!$C$251:$F$251,0))</f>
        <v>kWh</v>
      </c>
      <c r="Y185" s="12"/>
      <c r="Z185" s="24">
        <f t="shared" si="96"/>
        <v>0</v>
      </c>
      <c r="AA185" s="47" t="s">
        <v>468</v>
      </c>
      <c r="AB185" s="1393"/>
      <c r="AC185" s="995"/>
      <c r="AD185" s="1405"/>
      <c r="AE185" s="1405"/>
      <c r="AF185" s="1405"/>
      <c r="AG185" s="1405"/>
      <c r="AH185" s="1405"/>
      <c r="AI185" s="1405"/>
      <c r="AJ185" s="1405"/>
      <c r="AK185" s="1405"/>
      <c r="AL185" s="1405"/>
      <c r="AM185" s="1405"/>
      <c r="AN185" s="1405"/>
      <c r="AO185" s="1405"/>
      <c r="AP185" s="1405"/>
      <c r="AQ185" s="1405"/>
      <c r="AR185" s="1405"/>
      <c r="AS185" s="1393"/>
      <c r="AT185" s="1001"/>
      <c r="AU185" s="12"/>
      <c r="AV185" s="12"/>
      <c r="AW185" s="12"/>
      <c r="AX185" s="12"/>
      <c r="AY185" s="12"/>
      <c r="AZ185" s="12"/>
      <c r="BA185" s="12"/>
      <c r="BB185" s="12"/>
      <c r="BC185" s="12"/>
      <c r="BD185" s="12"/>
      <c r="BE185" s="12"/>
      <c r="BF185" s="12"/>
      <c r="BG185" s="12"/>
      <c r="BH185" s="12"/>
      <c r="BI185" s="13"/>
    </row>
    <row r="186" spans="1:61" s="49" customFormat="1" hidden="1">
      <c r="A186" s="212" t="s">
        <v>493</v>
      </c>
      <c r="B186" s="978" t="str">
        <f t="shared" si="92"/>
        <v>Uniec 2 finaal</v>
      </c>
      <c r="C186" s="978" t="str">
        <f t="shared" si="92"/>
        <v>NEN 7120</v>
      </c>
      <c r="D186" s="947"/>
      <c r="E186" s="50"/>
      <c r="F186" s="46" t="str">
        <f>tabellen_EMD!C200</f>
        <v>elektriciteit geëxporteerd</v>
      </c>
      <c r="G186" s="46"/>
      <c r="H186" s="46"/>
      <c r="I186" s="905"/>
      <c r="J186" s="1691" t="s">
        <v>466</v>
      </c>
      <c r="K186" s="1698"/>
      <c r="L186" s="44"/>
      <c r="M186" s="24">
        <f t="shared" si="93"/>
        <v>0</v>
      </c>
      <c r="N186" s="22" t="str">
        <f t="shared" si="94"/>
        <v>MJ</v>
      </c>
      <c r="O186" s="44"/>
      <c r="P186" s="452"/>
      <c r="Q186" s="452"/>
      <c r="R186" s="899"/>
      <c r="S186" s="24">
        <f t="shared" si="95"/>
        <v>0</v>
      </c>
      <c r="T186" s="47" t="str">
        <f>IFERROR(INDEX(energiedragers_EP_eenheden,MATCH($J186,tabellen_EMD!$C$196:$C$204,0),MATCH($B186,energiedragers_EP_eenheden_titel,0)),"-")</f>
        <v>kWh</v>
      </c>
      <c r="U186" s="452"/>
      <c r="V186" s="39"/>
      <c r="W186" s="24">
        <f>S186/INDEX(tabellen_EMD!$C$259:$Z$266,MATCH($F186,tabellen_EMD!$C$259:$C$266,0),MATCH(B186,tabellen_EMD!$C$259:$Z$259,0))</f>
        <v>0</v>
      </c>
      <c r="X186" s="47" t="str">
        <f>INDEX(tabellen_EMD!$C$251:$F$256,MATCH($J186,tabellen_EMD!$C$251:$C$256,0),MATCH($P$24,tabellen_EMD!$C$251:$F$251,0))</f>
        <v>kWh</v>
      </c>
      <c r="Y186" s="12"/>
      <c r="Z186" s="24">
        <f t="shared" si="96"/>
        <v>0</v>
      </c>
      <c r="AA186" s="47" t="s">
        <v>468</v>
      </c>
      <c r="AB186" s="1393"/>
      <c r="AC186" s="995"/>
      <c r="AD186" s="1405"/>
      <c r="AE186" s="1405"/>
      <c r="AF186" s="1405"/>
      <c r="AG186" s="1405"/>
      <c r="AH186" s="1405"/>
      <c r="AI186" s="1405"/>
      <c r="AJ186" s="1405"/>
      <c r="AK186" s="1405"/>
      <c r="AL186" s="1405"/>
      <c r="AM186" s="1405"/>
      <c r="AN186" s="1405"/>
      <c r="AO186" s="1405"/>
      <c r="AP186" s="1405"/>
      <c r="AQ186" s="1405"/>
      <c r="AR186" s="1405"/>
      <c r="AS186" s="1393"/>
      <c r="AT186" s="1001"/>
      <c r="AU186" s="12"/>
      <c r="AV186" s="12"/>
      <c r="AW186" s="12"/>
      <c r="AX186" s="12"/>
      <c r="AY186" s="12"/>
      <c r="AZ186" s="12"/>
      <c r="BA186" s="12"/>
      <c r="BB186" s="12"/>
      <c r="BC186" s="12"/>
      <c r="BD186" s="12"/>
      <c r="BE186" s="12"/>
      <c r="BF186" s="12"/>
      <c r="BG186" s="12"/>
      <c r="BH186" s="12"/>
      <c r="BI186" s="13"/>
    </row>
    <row r="187" spans="1:61" s="49" customFormat="1" hidden="1">
      <c r="A187" s="212" t="s">
        <v>493</v>
      </c>
      <c r="B187" s="978" t="str">
        <f t="shared" si="92"/>
        <v>Uniec 2 finaal</v>
      </c>
      <c r="C187" s="978" t="str">
        <f t="shared" si="92"/>
        <v>NEN 7120</v>
      </c>
      <c r="D187" s="947"/>
      <c r="E187" s="50"/>
      <c r="F187" s="46" t="str">
        <f>tabellen_EMD!C201</f>
        <v>externe warmte</v>
      </c>
      <c r="G187" s="46"/>
      <c r="H187" s="46"/>
      <c r="I187" s="905"/>
      <c r="J187" s="1691" t="s">
        <v>1539</v>
      </c>
      <c r="K187" s="1698"/>
      <c r="L187" s="44"/>
      <c r="M187" s="24">
        <f t="shared" si="93"/>
        <v>0</v>
      </c>
      <c r="N187" s="22" t="str">
        <f t="shared" si="94"/>
        <v>MJ</v>
      </c>
      <c r="O187" s="44"/>
      <c r="P187" s="452"/>
      <c r="Q187" s="452"/>
      <c r="R187" s="899"/>
      <c r="S187" s="59">
        <f t="shared" si="95"/>
        <v>0</v>
      </c>
      <c r="T187" s="47" t="str">
        <f>IFERROR(INDEX(energiedragers_EP_eenheden,MATCH($J187,tabellen_EMD!$C$196:$C$204,0),MATCH($B187,energiedragers_EP_eenheden_titel,0)),"-")</f>
        <v>GJ</v>
      </c>
      <c r="U187" s="452"/>
      <c r="V187" s="39"/>
      <c r="W187" s="24">
        <f>S187/INDEX(tabellen_EMD!$C$259:$Z$266,MATCH($F187,tabellen_EMD!$C$259:$C$266,0),MATCH(B187,tabellen_EMD!$C$259:$Z$259,0))</f>
        <v>0</v>
      </c>
      <c r="X187" s="47" t="str">
        <f>INDEX(tabellen_EMD!$C$251:$F$256,MATCH($J187,tabellen_EMD!$C$251:$C$256,0),MATCH($P$24,tabellen_EMD!$C$251:$F$251,0))</f>
        <v>GJ</v>
      </c>
      <c r="Y187" s="12"/>
      <c r="Z187" s="24">
        <f t="shared" si="96"/>
        <v>0</v>
      </c>
      <c r="AA187" s="47" t="s">
        <v>468</v>
      </c>
      <c r="AB187" s="1393"/>
      <c r="AC187" s="995"/>
      <c r="AD187" s="1405"/>
      <c r="AE187" s="1405"/>
      <c r="AF187" s="1405"/>
      <c r="AG187" s="1405"/>
      <c r="AH187" s="1405"/>
      <c r="AI187" s="1405"/>
      <c r="AJ187" s="1405"/>
      <c r="AK187" s="1405"/>
      <c r="AL187" s="1405"/>
      <c r="AM187" s="1405"/>
      <c r="AN187" s="1405"/>
      <c r="AO187" s="1405"/>
      <c r="AP187" s="1405"/>
      <c r="AQ187" s="1405"/>
      <c r="AR187" s="1405"/>
      <c r="AS187" s="1393"/>
      <c r="AT187" s="1001"/>
      <c r="AU187" s="12"/>
      <c r="AV187" s="12"/>
      <c r="AW187" s="12"/>
      <c r="AX187" s="12"/>
      <c r="AY187" s="12"/>
      <c r="AZ187" s="12"/>
      <c r="BA187" s="12"/>
      <c r="BB187" s="12"/>
      <c r="BC187" s="12"/>
      <c r="BD187" s="12"/>
      <c r="BE187" s="12"/>
      <c r="BF187" s="12"/>
      <c r="BG187" s="12"/>
      <c r="BH187" s="12"/>
      <c r="BI187" s="13"/>
    </row>
    <row r="188" spans="1:61" s="49" customFormat="1" hidden="1">
      <c r="A188" s="212" t="s">
        <v>493</v>
      </c>
      <c r="B188" s="978" t="str">
        <f t="shared" si="92"/>
        <v>Uniec 2 finaal</v>
      </c>
      <c r="C188" s="978" t="str">
        <f t="shared" si="92"/>
        <v>NEN 7120</v>
      </c>
      <c r="D188" s="947"/>
      <c r="E188" s="50"/>
      <c r="F188" s="46" t="str">
        <f>tabellen_EMD!C202</f>
        <v>externe koude</v>
      </c>
      <c r="G188" s="46"/>
      <c r="H188" s="46"/>
      <c r="I188" s="905"/>
      <c r="J188" s="1691" t="s">
        <v>1539</v>
      </c>
      <c r="K188" s="1698"/>
      <c r="L188" s="44"/>
      <c r="M188" s="24">
        <f t="shared" si="93"/>
        <v>0</v>
      </c>
      <c r="N188" s="22" t="str">
        <f t="shared" si="94"/>
        <v>MJ</v>
      </c>
      <c r="O188" s="44"/>
      <c r="P188" s="452"/>
      <c r="Q188" s="452"/>
      <c r="R188" s="899"/>
      <c r="S188" s="59">
        <f t="shared" si="95"/>
        <v>0</v>
      </c>
      <c r="T188" s="47" t="str">
        <f>IFERROR(INDEX(energiedragers_EP_eenheden,MATCH($J188,tabellen_EMD!$C$196:$C$204,0),MATCH($B188,energiedragers_EP_eenheden_titel,0)),"-")</f>
        <v>GJ</v>
      </c>
      <c r="U188" s="452"/>
      <c r="V188" s="39"/>
      <c r="W188" s="24">
        <f>S188/INDEX(tabellen_EMD!$C$259:$Z$266,MATCH($F188,tabellen_EMD!$C$259:$C$266,0),MATCH(B188,tabellen_EMD!$C$259:$Z$259,0))</f>
        <v>0</v>
      </c>
      <c r="X188" s="47" t="str">
        <f>INDEX(tabellen_EMD!$C$251:$F$256,MATCH($J188,tabellen_EMD!$C$251:$C$256,0),MATCH($P$24,tabellen_EMD!$C$251:$F$251,0))</f>
        <v>GJ</v>
      </c>
      <c r="Y188" s="12"/>
      <c r="Z188" s="24">
        <f t="shared" si="96"/>
        <v>0</v>
      </c>
      <c r="AA188" s="47" t="s">
        <v>468</v>
      </c>
      <c r="AB188" s="1393"/>
      <c r="AC188" s="995"/>
      <c r="AD188" s="1405"/>
      <c r="AE188" s="1405"/>
      <c r="AF188" s="1405"/>
      <c r="AG188" s="1405"/>
      <c r="AH188" s="1405"/>
      <c r="AI188" s="1405"/>
      <c r="AJ188" s="1405"/>
      <c r="AK188" s="1405"/>
      <c r="AL188" s="1405"/>
      <c r="AM188" s="1405"/>
      <c r="AN188" s="1405"/>
      <c r="AO188" s="1405"/>
      <c r="AP188" s="1405"/>
      <c r="AQ188" s="1405"/>
      <c r="AR188" s="1405"/>
      <c r="AS188" s="1393"/>
      <c r="AT188" s="1001"/>
      <c r="AU188" s="12"/>
      <c r="AV188" s="12"/>
      <c r="AW188" s="12"/>
      <c r="AX188" s="12"/>
      <c r="AY188" s="12"/>
      <c r="AZ188" s="12"/>
      <c r="BA188" s="12"/>
      <c r="BB188" s="12"/>
      <c r="BC188" s="12"/>
      <c r="BD188" s="12"/>
      <c r="BE188" s="12"/>
      <c r="BF188" s="12"/>
      <c r="BG188" s="12"/>
      <c r="BH188" s="12"/>
      <c r="BI188" s="13"/>
    </row>
    <row r="189" spans="1:61" s="49" customFormat="1" hidden="1">
      <c r="A189" s="212" t="s">
        <v>493</v>
      </c>
      <c r="B189" s="978" t="str">
        <f>B187</f>
        <v>Uniec 2 finaal</v>
      </c>
      <c r="C189" s="978" t="str">
        <f>C187</f>
        <v>NEN 7120</v>
      </c>
      <c r="D189" s="947"/>
      <c r="E189" s="50"/>
      <c r="F189" s="46" t="str">
        <f>tabellen_EMD!C203</f>
        <v>hout / biomassa</v>
      </c>
      <c r="G189" s="46"/>
      <c r="H189" s="46"/>
      <c r="I189" s="905"/>
      <c r="J189" s="1691" t="s">
        <v>467</v>
      </c>
      <c r="K189" s="1698"/>
      <c r="L189" s="44"/>
      <c r="M189" s="24">
        <f t="shared" si="93"/>
        <v>0</v>
      </c>
      <c r="N189" s="22" t="str">
        <f t="shared" si="94"/>
        <v>MJ</v>
      </c>
      <c r="O189" s="44"/>
      <c r="P189" s="452"/>
      <c r="Q189" s="452"/>
      <c r="R189" s="899"/>
      <c r="S189" s="115">
        <f t="shared" si="95"/>
        <v>0</v>
      </c>
      <c r="T189" s="47" t="str">
        <f>IFERROR(INDEX(energiedragers_EP_eenheden,MATCH($J189,tabellen_EMD!$C$196:$C$204,0),MATCH($B189,energiedragers_EP_eenheden_titel,0)),"-")</f>
        <v>MJ</v>
      </c>
      <c r="U189" s="452"/>
      <c r="V189" s="39"/>
      <c r="W189" s="115">
        <f>S189/INDEX(tabellen_EMD!$C$259:$Z$266,MATCH($F189,tabellen_EMD!$C$259:$C$266,0),MATCH(B189,tabellen_EMD!$C$259:$Z$259,0))</f>
        <v>0</v>
      </c>
      <c r="X189" s="47" t="str">
        <f>INDEX(tabellen_EMD!$C$251:$F$256,MATCH($J189,tabellen_EMD!$C$251:$C$256,0),MATCH($P$24,tabellen_EMD!$C$251:$F$251,0))</f>
        <v>kg</v>
      </c>
      <c r="Y189" s="12"/>
      <c r="Z189" s="115">
        <f t="shared" si="96"/>
        <v>0</v>
      </c>
      <c r="AA189" s="47" t="s">
        <v>468</v>
      </c>
      <c r="AB189" s="1393"/>
      <c r="AC189" s="995"/>
      <c r="AD189" s="1405"/>
      <c r="AE189" s="1405"/>
      <c r="AF189" s="1405"/>
      <c r="AG189" s="1405"/>
      <c r="AH189" s="1405"/>
      <c r="AI189" s="1405"/>
      <c r="AJ189" s="1405"/>
      <c r="AK189" s="1405"/>
      <c r="AL189" s="1405"/>
      <c r="AM189" s="1405"/>
      <c r="AN189" s="1405"/>
      <c r="AO189" s="1405"/>
      <c r="AP189" s="1405"/>
      <c r="AQ189" s="1405"/>
      <c r="AR189" s="1405"/>
      <c r="AS189" s="1393"/>
      <c r="AT189" s="1001"/>
      <c r="AU189" s="12"/>
      <c r="AV189" s="12"/>
      <c r="AW189" s="12"/>
      <c r="AX189" s="12"/>
      <c r="AY189" s="12"/>
      <c r="AZ189" s="12"/>
      <c r="BA189" s="12"/>
      <c r="BB189" s="12"/>
      <c r="BC189" s="12"/>
      <c r="BD189" s="12"/>
      <c r="BE189" s="12"/>
      <c r="BF189" s="12"/>
      <c r="BG189" s="12"/>
      <c r="BH189" s="12"/>
      <c r="BI189" s="13"/>
    </row>
    <row r="190" spans="1:61" s="940" customFormat="1" hidden="1">
      <c r="A190" s="212" t="s">
        <v>493</v>
      </c>
      <c r="B190" s="978" t="str">
        <f t="shared" si="92"/>
        <v>Uniec 2 finaal</v>
      </c>
      <c r="C190" s="978" t="str">
        <f t="shared" si="92"/>
        <v>NEN 7120</v>
      </c>
      <c r="D190" s="947"/>
      <c r="E190" s="14"/>
      <c r="F190" s="43" t="str">
        <f>tabellen_EMD!C204</f>
        <v>totaal</v>
      </c>
      <c r="G190" s="43"/>
      <c r="H190" s="43"/>
      <c r="I190" s="43"/>
      <c r="J190" s="965" t="s">
        <v>1391</v>
      </c>
      <c r="K190" s="965"/>
      <c r="L190" s="43"/>
      <c r="M190" s="54">
        <f>SUM(M183:M184,M187:M189)-SUM(M185:M186)</f>
        <v>0</v>
      </c>
      <c r="N190" s="43" t="str">
        <f t="shared" si="94"/>
        <v>MJ</v>
      </c>
      <c r="O190" s="43"/>
      <c r="P190" s="452"/>
      <c r="Q190" s="452"/>
      <c r="R190" s="15"/>
      <c r="S190" s="43"/>
      <c r="T190" s="452"/>
      <c r="U190" s="452"/>
      <c r="V190" s="39"/>
      <c r="W190" s="39"/>
      <c r="X190" s="39"/>
      <c r="Y190" s="12"/>
      <c r="Z190" s="950">
        <f>SUM(Z183,Z184,-Z185,Z186,Z187,Z189)</f>
        <v>0</v>
      </c>
      <c r="AA190" s="15" t="s">
        <v>468</v>
      </c>
      <c r="AB190" s="67"/>
      <c r="AC190" s="995"/>
      <c r="AD190" s="1405"/>
      <c r="AE190" s="1405"/>
      <c r="AF190" s="1405"/>
      <c r="AG190" s="1405"/>
      <c r="AH190" s="1405"/>
      <c r="AI190" s="1405"/>
      <c r="AJ190" s="1405"/>
      <c r="AK190" s="1405"/>
      <c r="AL190" s="1405"/>
      <c r="AM190" s="1405"/>
      <c r="AN190" s="1405"/>
      <c r="AO190" s="1405"/>
      <c r="AP190" s="1405"/>
      <c r="AQ190" s="1405"/>
      <c r="AR190" s="1405"/>
      <c r="AS190" s="67"/>
      <c r="AT190" s="995"/>
      <c r="AU190" s="12"/>
      <c r="AV190" s="12"/>
      <c r="AW190" s="12"/>
      <c r="AX190" s="12"/>
      <c r="AY190" s="12"/>
      <c r="AZ190" s="12"/>
      <c r="BA190" s="12"/>
      <c r="BB190" s="12"/>
      <c r="BC190" s="12"/>
      <c r="BD190" s="12"/>
      <c r="BE190" s="12"/>
      <c r="BF190" s="12"/>
      <c r="BG190" s="12"/>
      <c r="BH190" s="12"/>
      <c r="BI190" s="13"/>
    </row>
    <row r="191" spans="1:61" s="49" customFormat="1" hidden="1">
      <c r="A191" s="212" t="s">
        <v>493</v>
      </c>
      <c r="B191" s="978" t="str">
        <f t="shared" si="92"/>
        <v>Uniec 2 finaal</v>
      </c>
      <c r="C191" s="978" t="str">
        <f t="shared" si="92"/>
        <v>NEN 7120</v>
      </c>
      <c r="D191" s="947"/>
      <c r="E191" s="50"/>
      <c r="F191" s="452" t="str">
        <f>IFERROR(IF($P$23=$B191,_xlfn.CONCAT("Bij 1.1 ingevuld: ",FIXED($J$35,2,FALSE)," ",$K$35),""),"invoer niet correct")</f>
        <v>Bij 1.1 ingevuld: 0.00 MJ/m2 Ag</v>
      </c>
      <c r="G191" s="452"/>
      <c r="H191" s="452"/>
      <c r="I191" s="905"/>
      <c r="J191" s="909" t="str">
        <f>IFERROR(IF($P$23=$B191,IF(ABS((M191-$J$35)/$J$35)&gt;1%,"Afwijking &gt;1% met subthema 1.1",""),""),"invoer niet correct")</f>
        <v>invoer niet correct</v>
      </c>
      <c r="K191" s="909"/>
      <c r="L191" s="910"/>
      <c r="M191" s="1339">
        <f>IFERROR(IF($P$23=$B191,M190/$J$59,""),"")</f>
        <v>0</v>
      </c>
      <c r="N191" s="452" t="str">
        <f>IF($P$23=$B191,_xlfn.CONCAT(N190,"/m2"),"")</f>
        <v>MJ/m2</v>
      </c>
      <c r="O191" s="452"/>
      <c r="P191" s="39"/>
      <c r="Q191" s="39"/>
      <c r="R191" s="899"/>
      <c r="S191" s="899"/>
      <c r="T191" s="899"/>
      <c r="U191" s="39"/>
      <c r="V191" s="39"/>
      <c r="W191" s="910" t="str">
        <f>IFERROR(IF($P$23=$B191,_xlfn.CONCAT("Bij 1.1 ingevuld: ",FIXED($AG$40,1,FALSE)," ",$AH$40),""),"invoer niet correct")</f>
        <v>Bij 1.1 ingevuld: 0,0 kg/m2 Ag</v>
      </c>
      <c r="X191" s="909" t="str">
        <f>IFERROR(IF($P$23=$B191,IF(ABS((Z191-$AG$40)/$AG$40)&gt;1%,"afwijking &gt;1% met subthema 1.1",""),""),"invoer niet correct")</f>
        <v>invoer niet correct</v>
      </c>
      <c r="Y191" s="12"/>
      <c r="Z191" s="951">
        <f>IFERROR(IF($P$23=$B191,Z190/$J$58,""),"")</f>
        <v>0</v>
      </c>
      <c r="AA191" s="452" t="str">
        <f>IF($P$23=$B191,_xlfn.CONCAT(AA190,"/m2"),"")</f>
        <v>kg/m2</v>
      </c>
      <c r="AB191" s="1393"/>
      <c r="AC191" s="995"/>
      <c r="AD191" s="1405"/>
      <c r="AE191" s="1405"/>
      <c r="AF191" s="1405"/>
      <c r="AG191" s="1405"/>
      <c r="AH191" s="1405"/>
      <c r="AI191" s="1405"/>
      <c r="AJ191" s="1405"/>
      <c r="AK191" s="1405"/>
      <c r="AL191" s="1405"/>
      <c r="AM191" s="1405"/>
      <c r="AN191" s="1405"/>
      <c r="AO191" s="1405"/>
      <c r="AP191" s="1405"/>
      <c r="AQ191" s="1405"/>
      <c r="AR191" s="1405"/>
      <c r="AS191" s="1393"/>
      <c r="AT191" s="1001"/>
      <c r="AU191" s="905"/>
      <c r="AV191" s="12"/>
      <c r="AW191" s="12"/>
      <c r="AX191" s="12"/>
      <c r="AY191" s="12"/>
      <c r="AZ191" s="12"/>
      <c r="BA191" s="12"/>
      <c r="BB191" s="12"/>
      <c r="BC191" s="12"/>
      <c r="BD191" s="12"/>
      <c r="BE191" s="12"/>
      <c r="BF191" s="12"/>
      <c r="BG191" s="12"/>
      <c r="BH191" s="12"/>
      <c r="BI191" s="13"/>
    </row>
    <row r="192" spans="1:61" s="49" customFormat="1" hidden="1">
      <c r="A192" s="212" t="s">
        <v>493</v>
      </c>
      <c r="B192" s="943"/>
      <c r="C192" s="943"/>
      <c r="D192" s="943"/>
      <c r="E192" s="50"/>
      <c r="F192" s="43"/>
      <c r="G192" s="44"/>
      <c r="H192" s="44"/>
      <c r="I192" s="44"/>
      <c r="J192" s="917"/>
      <c r="K192" s="44"/>
      <c r="L192" s="44"/>
      <c r="M192" s="44"/>
      <c r="N192" s="44"/>
      <c r="O192" s="44"/>
      <c r="P192" s="899"/>
      <c r="Q192" s="899"/>
      <c r="R192" s="899"/>
      <c r="S192" s="899"/>
      <c r="T192" s="899"/>
      <c r="U192" s="899"/>
      <c r="V192" s="899"/>
      <c r="W192" s="39"/>
      <c r="X192" s="39"/>
      <c r="Y192" s="12"/>
      <c r="Z192" s="899"/>
      <c r="AA192" s="905"/>
      <c r="AB192" s="1393"/>
      <c r="AC192" s="995"/>
      <c r="AD192" s="1405"/>
      <c r="AE192" s="1405"/>
      <c r="AF192" s="1405"/>
      <c r="AG192" s="1405"/>
      <c r="AH192" s="1405"/>
      <c r="AI192" s="1405"/>
      <c r="AJ192" s="1405"/>
      <c r="AK192" s="1405"/>
      <c r="AL192" s="1405"/>
      <c r="AM192" s="1405"/>
      <c r="AN192" s="1405"/>
      <c r="AO192" s="1405"/>
      <c r="AP192" s="1405"/>
      <c r="AQ192" s="1405"/>
      <c r="AR192" s="1405"/>
      <c r="AS192" s="1393"/>
      <c r="AT192" s="1001"/>
      <c r="AU192" s="900"/>
      <c r="AV192" s="51"/>
      <c r="AW192" s="12"/>
      <c r="AX192" s="12"/>
      <c r="AY192" s="921"/>
      <c r="AZ192" s="921"/>
      <c r="BA192" s="12"/>
      <c r="BB192" s="12"/>
      <c r="BC192" s="12"/>
      <c r="BD192" s="40"/>
      <c r="BE192" s="40"/>
      <c r="BF192" s="13"/>
      <c r="BG192" s="13"/>
      <c r="BH192" s="13"/>
      <c r="BI192" s="14"/>
    </row>
    <row r="193" spans="1:61" s="49" customFormat="1" hidden="1">
      <c r="A193" s="212" t="s">
        <v>493</v>
      </c>
      <c r="B193" s="1005" t="str">
        <f>$P$23</f>
        <v>Uniec 2 finaal</v>
      </c>
      <c r="C193" s="1005" t="str">
        <f>VLOOKUP(B193,'NEN 7120 naar GPR4'!$AV$40:$AY$48,COLUMNS($AV$40:$AX$40),FALSE)</f>
        <v>NEN 7120</v>
      </c>
      <c r="D193" s="947"/>
      <c r="E193" s="50"/>
      <c r="F193" s="43" t="s">
        <v>1486</v>
      </c>
      <c r="G193" s="43"/>
      <c r="H193" s="43"/>
      <c r="I193" s="905"/>
      <c r="J193" s="44"/>
      <c r="K193" s="44"/>
      <c r="L193" s="44"/>
      <c r="M193" s="909" t="s">
        <v>1485</v>
      </c>
      <c r="N193" s="44"/>
      <c r="O193" s="44"/>
      <c r="P193" s="453" t="s">
        <v>1606</v>
      </c>
      <c r="Q193" s="44"/>
      <c r="R193" s="12"/>
      <c r="S193" s="453"/>
      <c r="T193" s="44"/>
      <c r="U193" s="12"/>
      <c r="V193" s="899"/>
      <c r="W193" s="453" t="s">
        <v>1606</v>
      </c>
      <c r="X193" s="44"/>
      <c r="Y193" s="12"/>
      <c r="Z193" s="453"/>
      <c r="AA193" s="453"/>
      <c r="AB193" s="909"/>
      <c r="AC193" s="995"/>
      <c r="AD193" s="1405"/>
      <c r="AE193" s="1405"/>
      <c r="AF193" s="1405"/>
      <c r="AG193" s="1405"/>
      <c r="AH193" s="1405"/>
      <c r="AI193" s="1405"/>
      <c r="AJ193" s="1405"/>
      <c r="AK193" s="1405"/>
      <c r="AL193" s="1405"/>
      <c r="AM193" s="1405"/>
      <c r="AN193" s="1405"/>
      <c r="AO193" s="1405"/>
      <c r="AP193" s="1405"/>
      <c r="AQ193" s="1405"/>
      <c r="AR193" s="1405"/>
      <c r="AS193" s="909"/>
      <c r="AT193" s="1001"/>
      <c r="AU193" s="12"/>
      <c r="AV193" s="12"/>
      <c r="AW193" s="12"/>
      <c r="AX193" s="12"/>
      <c r="AY193" s="12"/>
      <c r="AZ193" s="12"/>
      <c r="BA193" s="12"/>
      <c r="BB193" s="12"/>
      <c r="BC193" s="12"/>
      <c r="BD193" s="12"/>
      <c r="BE193" s="12"/>
      <c r="BF193" s="12"/>
      <c r="BG193" s="12"/>
      <c r="BH193" s="12"/>
      <c r="BI193" s="13"/>
    </row>
    <row r="194" spans="1:61" hidden="1">
      <c r="A194" s="212" t="s">
        <v>493</v>
      </c>
      <c r="B194" s="978" t="str">
        <f t="shared" ref="B194:C201" si="97">B193</f>
        <v>Uniec 2 finaal</v>
      </c>
      <c r="C194" s="978" t="str">
        <f t="shared" si="97"/>
        <v>NEN 7120</v>
      </c>
      <c r="D194" s="947"/>
      <c r="E194" s="14"/>
      <c r="F194" s="892" t="s">
        <v>1500</v>
      </c>
      <c r="G194" s="892"/>
      <c r="H194" s="892"/>
      <c r="I194" s="905"/>
      <c r="J194" s="965" t="s">
        <v>458</v>
      </c>
      <c r="K194" s="965"/>
      <c r="L194" s="889"/>
      <c r="M194" s="910" t="s">
        <v>1534</v>
      </c>
      <c r="N194" s="452" t="s">
        <v>204</v>
      </c>
      <c r="O194" s="452"/>
      <c r="P194" s="888" t="s">
        <v>1534</v>
      </c>
      <c r="Q194" s="889" t="s">
        <v>204</v>
      </c>
      <c r="R194" s="12"/>
      <c r="S194" s="888" t="s">
        <v>1554</v>
      </c>
      <c r="T194" s="889" t="s">
        <v>1555</v>
      </c>
      <c r="U194" s="12"/>
      <c r="V194" s="899"/>
      <c r="W194" s="888" t="s">
        <v>1534</v>
      </c>
      <c r="X194" s="889" t="s">
        <v>204</v>
      </c>
      <c r="Y194" s="12"/>
      <c r="Z194" s="453"/>
      <c r="AA194" s="453"/>
      <c r="AB194" s="909"/>
      <c r="AC194" s="995"/>
      <c r="AD194" s="1405"/>
      <c r="AE194" s="1405"/>
      <c r="AF194" s="1405"/>
      <c r="AG194" s="1405"/>
      <c r="AH194" s="1405"/>
      <c r="AI194" s="1405"/>
      <c r="AJ194" s="1405"/>
      <c r="AK194" s="1405"/>
      <c r="AL194" s="1405"/>
      <c r="AM194" s="1405"/>
      <c r="AN194" s="1405"/>
      <c r="AO194" s="1405"/>
      <c r="AP194" s="1405"/>
      <c r="AQ194" s="1405"/>
      <c r="AR194" s="1405"/>
      <c r="AS194" s="909"/>
      <c r="AT194" s="995"/>
      <c r="AU194" s="12"/>
      <c r="AV194" s="12"/>
      <c r="AW194" s="12"/>
      <c r="AX194" s="12"/>
      <c r="AY194" s="12"/>
      <c r="AZ194" s="12"/>
      <c r="BA194" s="12"/>
      <c r="BB194" s="12"/>
      <c r="BC194" s="12"/>
      <c r="BD194" s="12"/>
      <c r="BE194" s="12"/>
      <c r="BF194" s="12"/>
      <c r="BG194" s="12"/>
      <c r="BH194" s="12"/>
      <c r="BI194" s="13"/>
    </row>
    <row r="195" spans="1:61" s="49" customFormat="1" hidden="1">
      <c r="A195" s="212" t="s">
        <v>493</v>
      </c>
      <c r="B195" s="978" t="str">
        <f t="shared" si="97"/>
        <v>Uniec 2 finaal</v>
      </c>
      <c r="C195" s="978" t="str">
        <f t="shared" si="97"/>
        <v>NEN 7120</v>
      </c>
      <c r="D195" s="947"/>
      <c r="E195" s="50"/>
      <c r="F195" s="46" t="str">
        <f>INDEX(tabellen_EMD!$C$269:$X$274,MATCH($J195,tabellen_EMD!$C$269:$C$274,0),MATCH(EP_versie_scope_functie_methode,tabellen_EMD!$C$269:$X$269,0))</f>
        <v>aardgas</v>
      </c>
      <c r="G195" s="46"/>
      <c r="H195" s="46"/>
      <c r="I195" s="905"/>
      <c r="J195" s="1691" t="s">
        <v>463</v>
      </c>
      <c r="K195" s="1691"/>
      <c r="L195" s="44"/>
      <c r="M195" s="24">
        <f>M183</f>
        <v>0</v>
      </c>
      <c r="N195" s="22" t="str">
        <f t="shared" ref="N195:N200" si="98">INDEX(EP_methode_eenheid,1,MATCH($C195,EP_methode,0))</f>
        <v>MJ</v>
      </c>
      <c r="O195" s="44"/>
      <c r="P195" s="24">
        <f>W183</f>
        <v>0</v>
      </c>
      <c r="Q195" s="47" t="str">
        <f>INDEX(tabellen_EMD!$C$277:$X$282,MATCH($J195,tabellen_EMD!$C$277:$C$282,0),MATCH(EP_versie_scope_functie_methode,tabellen_EMD!$C$277:$X$277,0))</f>
        <v>m3</v>
      </c>
      <c r="R195" s="12"/>
      <c r="S195" s="24">
        <f>INDEX(tabellen_EMD!$C$285:$Z$290,MATCH($J195,tabellen_EMD!$C$285:$C$290,0),MATCH(EP_versie_scope_functie_methode,tabellen_EMD!$C$285:$Z$285,0))</f>
        <v>1</v>
      </c>
      <c r="T195" s="24">
        <f>INDEX(tabellen_EMD!$C$293:$Z$298,MATCH(J$195,tabellen_EMD!$C$293:$C$298,0),MATCH(EP_versie_scope_functie_methode,tabellen_EMD!$C$293:$Z$293,0))</f>
        <v>0</v>
      </c>
      <c r="U195" s="12"/>
      <c r="V195" s="899"/>
      <c r="W195" s="24">
        <f>ROUND(P195/S195,T195)</f>
        <v>0</v>
      </c>
      <c r="X195" s="47" t="str">
        <f>INDEX(tabellen_EMD!$C$277:$X$282,MATCH($J195,tabellen_EMD!$C$277:$C$282,0),MATCH(EP_versie_scope_functie_methode,tabellen_EMD!$C$277:$X$277,0))</f>
        <v>m3</v>
      </c>
      <c r="Y195" s="12"/>
      <c r="Z195" s="453"/>
      <c r="AA195" s="453"/>
      <c r="AB195" s="909"/>
      <c r="AC195" s="995"/>
      <c r="AD195" s="1405"/>
      <c r="AE195" s="1405"/>
      <c r="AF195" s="1405"/>
      <c r="AG195" s="1405"/>
      <c r="AH195" s="1405"/>
      <c r="AI195" s="1405"/>
      <c r="AJ195" s="1405"/>
      <c r="AK195" s="1405"/>
      <c r="AL195" s="1405"/>
      <c r="AM195" s="1405"/>
      <c r="AN195" s="1405"/>
      <c r="AO195" s="1405"/>
      <c r="AP195" s="1405"/>
      <c r="AQ195" s="1405"/>
      <c r="AR195" s="1405"/>
      <c r="AS195" s="909"/>
      <c r="AT195" s="1001"/>
      <c r="AU195" s="12"/>
      <c r="AV195" s="12"/>
      <c r="AW195" s="12"/>
      <c r="AX195" s="12"/>
      <c r="AY195" s="12"/>
      <c r="AZ195" s="12"/>
      <c r="BA195" s="12"/>
      <c r="BB195" s="12"/>
      <c r="BC195" s="12"/>
      <c r="BD195" s="12"/>
      <c r="BE195" s="12"/>
      <c r="BF195" s="12"/>
      <c r="BG195" s="12"/>
      <c r="BH195" s="12"/>
      <c r="BI195" s="13"/>
    </row>
    <row r="196" spans="1:61" s="49" customFormat="1" hidden="1">
      <c r="A196" s="212" t="s">
        <v>493</v>
      </c>
      <c r="B196" s="978" t="str">
        <f t="shared" si="97"/>
        <v>Uniec 2 finaal</v>
      </c>
      <c r="C196" s="978" t="str">
        <f t="shared" si="97"/>
        <v>NEN 7120</v>
      </c>
      <c r="D196" s="947"/>
      <c r="E196" s="50"/>
      <c r="F196" s="46" t="str">
        <f>INDEX(tabellen_EMD!$C$269:$X$274,MATCH($J196,tabellen_EMD!$C$269:$C$274,0),MATCH(EP_versie_scope_functie_methode,tabellen_EMD!$C$269:$X$269,0))</f>
        <v>elektriciteit: gebruik gebouwgebonden installaties</v>
      </c>
      <c r="G196" s="46"/>
      <c r="H196" s="46"/>
      <c r="I196" s="905"/>
      <c r="J196" s="1691" t="s">
        <v>465</v>
      </c>
      <c r="K196" s="1691"/>
      <c r="L196" s="44"/>
      <c r="M196" s="24">
        <f>M184</f>
        <v>0</v>
      </c>
      <c r="N196" s="22" t="str">
        <f t="shared" si="98"/>
        <v>MJ</v>
      </c>
      <c r="O196" s="44"/>
      <c r="P196" s="24">
        <f t="shared" ref="P196" si="99">W184</f>
        <v>0</v>
      </c>
      <c r="Q196" s="47" t="str">
        <f>INDEX(tabellen_EMD!$C$277:$X$282,MATCH($J196,tabellen_EMD!$C$277:$C$282,0),MATCH(EP_versie_scope_functie_methode,tabellen_EMD!$C$277:$X$277,0))</f>
        <v>kWh</v>
      </c>
      <c r="R196" s="12"/>
      <c r="S196" s="24">
        <f>INDEX(tabellen_EMD!$C$285:$Z$290,MATCH($J196,tabellen_EMD!$C$285:$C$290,0),MATCH(EP_versie_scope_functie_methode,tabellen_EMD!$C$285:$Z$285,0))</f>
        <v>1</v>
      </c>
      <c r="T196" s="24">
        <f>INDEX(tabellen_EMD!$C$293:$Z$298,MATCH(J$195,tabellen_EMD!$C$293:$C$298,0),MATCH(EP_versie_scope_functie_methode,tabellen_EMD!$C$293:$Z$293,0))</f>
        <v>0</v>
      </c>
      <c r="U196" s="12"/>
      <c r="V196" s="899"/>
      <c r="W196" s="24">
        <f t="shared" ref="W196:W199" si="100">ROUND(P196/S196,T196)</f>
        <v>0</v>
      </c>
      <c r="X196" s="47" t="str">
        <f>INDEX(tabellen_EMD!$C$277:$X$282,MATCH($J196,tabellen_EMD!$C$277:$C$282,0),MATCH(EP_versie_scope_functie_methode,tabellen_EMD!$C$277:$X$277,0))</f>
        <v>kWh</v>
      </c>
      <c r="Y196" s="12"/>
      <c r="Z196" s="453"/>
      <c r="AA196" s="453"/>
      <c r="AB196" s="909"/>
      <c r="AC196" s="995"/>
      <c r="AD196" s="1405"/>
      <c r="AE196" s="1405"/>
      <c r="AF196" s="1405"/>
      <c r="AG196" s="1405"/>
      <c r="AH196" s="1405"/>
      <c r="AI196" s="1405"/>
      <c r="AJ196" s="1405"/>
      <c r="AK196" s="1405"/>
      <c r="AL196" s="1405"/>
      <c r="AM196" s="1405"/>
      <c r="AN196" s="1405"/>
      <c r="AO196" s="1405"/>
      <c r="AP196" s="1405"/>
      <c r="AQ196" s="1405"/>
      <c r="AR196" s="1405"/>
      <c r="AS196" s="909"/>
      <c r="AT196" s="1001"/>
      <c r="AU196" s="12"/>
      <c r="AV196" s="12"/>
      <c r="AW196" s="12"/>
      <c r="AX196" s="12"/>
      <c r="AY196" s="12"/>
      <c r="AZ196" s="12"/>
      <c r="BA196" s="12"/>
      <c r="BB196" s="12"/>
      <c r="BC196" s="12"/>
      <c r="BD196" s="12"/>
      <c r="BE196" s="12"/>
      <c r="BF196" s="12"/>
      <c r="BG196" s="12"/>
      <c r="BH196" s="12"/>
      <c r="BI196" s="13"/>
    </row>
    <row r="197" spans="1:61" s="49" customFormat="1" hidden="1">
      <c r="A197" s="212" t="s">
        <v>493</v>
      </c>
      <c r="B197" s="978" t="str">
        <f t="shared" si="97"/>
        <v>Uniec 2 finaal</v>
      </c>
      <c r="C197" s="978" t="str">
        <f t="shared" si="97"/>
        <v>NEN 7120</v>
      </c>
      <c r="D197" s="947"/>
      <c r="E197" s="50"/>
      <c r="F197" s="46" t="str">
        <f>INDEX(tabellen_EMD!$C$269:$X$274,MATCH($J197,tabellen_EMD!$C$269:$C$274,0),MATCH(EP_versie_scope_functie_methode,tabellen_EMD!$C$269:$X$269,0))</f>
        <v>elektriciteit: opgewekt</v>
      </c>
      <c r="G197" s="46"/>
      <c r="H197" s="46"/>
      <c r="I197" s="905"/>
      <c r="J197" s="1691" t="s">
        <v>466</v>
      </c>
      <c r="K197" s="1691"/>
      <c r="L197" s="44"/>
      <c r="M197" s="24">
        <f>SUM(M185:M186)</f>
        <v>0</v>
      </c>
      <c r="N197" s="22" t="str">
        <f t="shared" si="98"/>
        <v>MJ</v>
      </c>
      <c r="O197" s="44"/>
      <c r="P197" s="24">
        <f>SUM(W185:W186)</f>
        <v>0</v>
      </c>
      <c r="Q197" s="47" t="str">
        <f>INDEX(tabellen_EMD!$C$277:$X$282,MATCH($J197,tabellen_EMD!$C$277:$C$282,0),MATCH(EP_versie_scope_functie_methode,tabellen_EMD!$C$277:$X$277,0))</f>
        <v>kWh</v>
      </c>
      <c r="R197" s="12"/>
      <c r="S197" s="24">
        <f>INDEX(tabellen_EMD!$C$285:$Z$290,MATCH($J197,tabellen_EMD!$C$285:$C$290,0),MATCH(EP_versie_scope_functie_methode,tabellen_EMD!$C$285:$Z$285,0))</f>
        <v>1</v>
      </c>
      <c r="T197" s="24">
        <f>INDEX(tabellen_EMD!$C$293:$Z$298,MATCH(J$195,tabellen_EMD!$C$293:$C$298,0),MATCH(EP_versie_scope_functie_methode,tabellen_EMD!$C$293:$Z$293,0))</f>
        <v>0</v>
      </c>
      <c r="U197" s="12"/>
      <c r="V197" s="899"/>
      <c r="W197" s="24">
        <f t="shared" si="100"/>
        <v>0</v>
      </c>
      <c r="X197" s="47" t="str">
        <f>INDEX(tabellen_EMD!$C$277:$X$282,MATCH($J197,tabellen_EMD!$C$277:$C$282,0),MATCH(EP_versie_scope_functie_methode,tabellen_EMD!$C$277:$X$277,0))</f>
        <v>kWh</v>
      </c>
      <c r="Y197" s="12"/>
      <c r="Z197" s="453"/>
      <c r="AA197" s="453"/>
      <c r="AB197" s="909"/>
      <c r="AC197" s="995"/>
      <c r="AD197" s="1405"/>
      <c r="AE197" s="1405"/>
      <c r="AF197" s="1405"/>
      <c r="AG197" s="1405"/>
      <c r="AH197" s="1405"/>
      <c r="AI197" s="1405"/>
      <c r="AJ197" s="1405"/>
      <c r="AK197" s="1405"/>
      <c r="AL197" s="1405"/>
      <c r="AM197" s="1405"/>
      <c r="AN197" s="1405"/>
      <c r="AO197" s="1405"/>
      <c r="AP197" s="1405"/>
      <c r="AQ197" s="1405"/>
      <c r="AR197" s="1405"/>
      <c r="AS197" s="909"/>
      <c r="AT197" s="1001"/>
      <c r="AU197" s="12"/>
      <c r="AV197" s="12"/>
      <c r="AW197" s="12"/>
      <c r="AX197" s="12"/>
      <c r="AY197" s="12"/>
      <c r="AZ197" s="12"/>
      <c r="BA197" s="12"/>
      <c r="BB197" s="12"/>
      <c r="BC197" s="12"/>
      <c r="BD197" s="12"/>
      <c r="BE197" s="12"/>
      <c r="BF197" s="12"/>
      <c r="BG197" s="12"/>
      <c r="BH197" s="12"/>
      <c r="BI197" s="13"/>
    </row>
    <row r="198" spans="1:61" s="49" customFormat="1" hidden="1">
      <c r="A198" s="212" t="s">
        <v>493</v>
      </c>
      <c r="B198" s="978" t="str">
        <f t="shared" si="97"/>
        <v>Uniec 2 finaal</v>
      </c>
      <c r="C198" s="978" t="str">
        <f t="shared" si="97"/>
        <v>NEN 7120</v>
      </c>
      <c r="D198" s="947"/>
      <c r="E198" s="50"/>
      <c r="F198" s="46" t="str">
        <f>INDEX(tabellen_EMD!$C$269:$X$274,MATCH($J198,tabellen_EMD!$C$269:$C$274,0),MATCH(EP_versie_scope_functie_methode,tabellen_EMD!$C$269:$X$269,0))</f>
        <v>externe warmte</v>
      </c>
      <c r="G198" s="46"/>
      <c r="H198" s="46"/>
      <c r="I198" s="905"/>
      <c r="J198" s="1691" t="s">
        <v>1539</v>
      </c>
      <c r="K198" s="1691"/>
      <c r="L198" s="44"/>
      <c r="M198" s="24">
        <f>SUM(M187:M188)</f>
        <v>0</v>
      </c>
      <c r="N198" s="22" t="str">
        <f t="shared" si="98"/>
        <v>MJ</v>
      </c>
      <c r="O198" s="44"/>
      <c r="P198" s="24">
        <f>SUM(W187:W188)</f>
        <v>0</v>
      </c>
      <c r="Q198" s="47" t="str">
        <f>INDEX(tabellen_EMD!$C$277:$X$282,MATCH($J198,tabellen_EMD!$C$277:$C$282,0),MATCH(EP_versie_scope_functie_methode,tabellen_EMD!$C$277:$X$277,0))</f>
        <v>GJ</v>
      </c>
      <c r="R198" s="12"/>
      <c r="S198" s="24">
        <f>INDEX(tabellen_EMD!$C$285:$Z$290,MATCH($J198,tabellen_EMD!$C$285:$C$290,0),MATCH(EP_versie_scope_functie_methode,tabellen_EMD!$C$285:$Z$285,0))</f>
        <v>1</v>
      </c>
      <c r="T198" s="24">
        <f>INDEX(tabellen_EMD!$C$293:$Z$298,MATCH(J$195,tabellen_EMD!$C$293:$C$298,0),MATCH(EP_versie_scope_functie_methode,tabellen_EMD!$C$293:$Z$293,0))</f>
        <v>0</v>
      </c>
      <c r="U198" s="12"/>
      <c r="V198" s="899"/>
      <c r="W198" s="24">
        <f t="shared" si="100"/>
        <v>0</v>
      </c>
      <c r="X198" s="47" t="str">
        <f>INDEX(tabellen_EMD!$C$277:$X$282,MATCH($J198,tabellen_EMD!$C$277:$C$282,0),MATCH(EP_versie_scope_functie_methode,tabellen_EMD!$C$277:$X$277,0))</f>
        <v>GJ</v>
      </c>
      <c r="Y198" s="12"/>
      <c r="Z198" s="453"/>
      <c r="AA198" s="453"/>
      <c r="AB198" s="909"/>
      <c r="AC198" s="995"/>
      <c r="AD198" s="1405"/>
      <c r="AE198" s="1405"/>
      <c r="AF198" s="1405"/>
      <c r="AG198" s="1405"/>
      <c r="AH198" s="1405"/>
      <c r="AI198" s="1405"/>
      <c r="AJ198" s="1405"/>
      <c r="AK198" s="1405"/>
      <c r="AL198" s="1405"/>
      <c r="AM198" s="1405"/>
      <c r="AN198" s="1405"/>
      <c r="AO198" s="1405"/>
      <c r="AP198" s="1405"/>
      <c r="AQ198" s="1405"/>
      <c r="AR198" s="1405"/>
      <c r="AS198" s="909"/>
      <c r="AT198" s="1001"/>
      <c r="AU198" s="12"/>
      <c r="AV198" s="12"/>
      <c r="AW198" s="12"/>
      <c r="AX198" s="12"/>
      <c r="AY198" s="12"/>
      <c r="AZ198" s="12"/>
      <c r="BA198" s="12"/>
      <c r="BB198" s="12"/>
      <c r="BC198" s="12"/>
      <c r="BD198" s="12"/>
      <c r="BE198" s="12"/>
      <c r="BF198" s="12"/>
      <c r="BG198" s="12"/>
      <c r="BH198" s="12"/>
      <c r="BI198" s="13"/>
    </row>
    <row r="199" spans="1:61" s="49" customFormat="1" hidden="1">
      <c r="A199" s="212" t="s">
        <v>493</v>
      </c>
      <c r="B199" s="978" t="str">
        <f t="shared" si="97"/>
        <v>Uniec 2 finaal</v>
      </c>
      <c r="C199" s="978" t="str">
        <f t="shared" si="97"/>
        <v>NEN 7120</v>
      </c>
      <c r="D199" s="947"/>
      <c r="E199" s="50"/>
      <c r="F199" s="46" t="str">
        <f>INDEX(tabellen_EMD!$C$269:$X$274,MATCH($J199,tabellen_EMD!$C$269:$C$274,0),MATCH(EP_versie_scope_functie_methode,tabellen_EMD!$C$269:$X$269,0))</f>
        <v>hout/biomassa</v>
      </c>
      <c r="G199" s="46"/>
      <c r="H199" s="46"/>
      <c r="I199" s="905"/>
      <c r="J199" s="1691" t="s">
        <v>467</v>
      </c>
      <c r="K199" s="1691"/>
      <c r="L199" s="44"/>
      <c r="M199" s="24">
        <f>M189</f>
        <v>0</v>
      </c>
      <c r="N199" s="22" t="str">
        <f t="shared" si="98"/>
        <v>MJ</v>
      </c>
      <c r="O199" s="44"/>
      <c r="P199" s="24">
        <f>W189</f>
        <v>0</v>
      </c>
      <c r="Q199" s="47" t="str">
        <f>INDEX(tabellen_EMD!$C$277:$X$282,MATCH($J199,tabellen_EMD!$C$277:$C$282,0),MATCH(EP_versie_scope_functie_methode,tabellen_EMD!$C$277:$X$277,0))</f>
        <v>kWh</v>
      </c>
      <c r="R199" s="12"/>
      <c r="S199" s="24">
        <f>INDEX(tabellen_EMD!$C$285:$Z$290,MATCH($J199,tabellen_EMD!$C$285:$C$290,0),MATCH(EP_versie_scope_functie_methode,tabellen_EMD!$C$285:$Z$285,0))</f>
        <v>4.166666666666667</v>
      </c>
      <c r="T199" s="24">
        <f>INDEX(tabellen_EMD!$C$293:$Z$298,MATCH(J$195,tabellen_EMD!$C$293:$C$298,0),MATCH(EP_versie_scope_functie_methode,tabellen_EMD!$C$293:$Z$293,0))</f>
        <v>0</v>
      </c>
      <c r="U199" s="12"/>
      <c r="V199" s="899"/>
      <c r="W199" s="24">
        <f t="shared" si="100"/>
        <v>0</v>
      </c>
      <c r="X199" s="47" t="str">
        <f>INDEX(tabellen_EMD!$C$277:$X$282,MATCH($J199,tabellen_EMD!$C$277:$C$282,0),MATCH(EP_versie_scope_functie_methode,tabellen_EMD!$C$277:$X$277,0))</f>
        <v>kWh</v>
      </c>
      <c r="Y199" s="12"/>
      <c r="Z199" s="453"/>
      <c r="AA199" s="453"/>
      <c r="AB199" s="909"/>
      <c r="AC199" s="995"/>
      <c r="AD199" s="1405"/>
      <c r="AE199" s="1405"/>
      <c r="AF199" s="1405"/>
      <c r="AG199" s="1405"/>
      <c r="AH199" s="1405"/>
      <c r="AI199" s="1405"/>
      <c r="AJ199" s="1405"/>
      <c r="AK199" s="1405"/>
      <c r="AL199" s="1405"/>
      <c r="AM199" s="1405"/>
      <c r="AN199" s="1405"/>
      <c r="AO199" s="1405"/>
      <c r="AP199" s="1405"/>
      <c r="AQ199" s="1405"/>
      <c r="AR199" s="1405"/>
      <c r="AS199" s="909"/>
      <c r="AT199" s="1001"/>
      <c r="AU199" s="12"/>
      <c r="AV199" s="12"/>
      <c r="AW199" s="12"/>
      <c r="AX199" s="12"/>
      <c r="AY199" s="12"/>
      <c r="AZ199" s="12"/>
      <c r="BA199" s="12"/>
      <c r="BB199" s="12"/>
      <c r="BC199" s="12"/>
      <c r="BD199" s="12"/>
      <c r="BE199" s="12"/>
      <c r="BF199" s="12"/>
      <c r="BG199" s="12"/>
      <c r="BH199" s="12"/>
      <c r="BI199" s="13"/>
    </row>
    <row r="200" spans="1:61" s="940" customFormat="1" hidden="1">
      <c r="A200" s="212" t="s">
        <v>493</v>
      </c>
      <c r="B200" s="978" t="str">
        <f t="shared" si="97"/>
        <v>Uniec 2 finaal</v>
      </c>
      <c r="C200" s="978" t="str">
        <f t="shared" si="97"/>
        <v>NEN 7120</v>
      </c>
      <c r="D200" s="947"/>
      <c r="E200" s="14"/>
      <c r="F200" s="43" t="str">
        <f>tabellen_EMD!C215</f>
        <v>totaal</v>
      </c>
      <c r="G200" s="43"/>
      <c r="H200" s="43"/>
      <c r="I200" s="43"/>
      <c r="J200" s="965" t="s">
        <v>1391</v>
      </c>
      <c r="K200" s="965"/>
      <c r="L200" s="43"/>
      <c r="M200" s="54">
        <f>SUM(M195:M196,M198:M199)-M197</f>
        <v>0</v>
      </c>
      <c r="N200" s="43" t="str">
        <f t="shared" si="98"/>
        <v>MJ</v>
      </c>
      <c r="O200" s="43"/>
      <c r="P200" s="452"/>
      <c r="Q200" s="452"/>
      <c r="R200" s="899"/>
      <c r="S200" s="899"/>
      <c r="T200" s="899"/>
      <c r="U200" s="899"/>
      <c r="V200" s="899"/>
      <c r="W200" s="54"/>
      <c r="X200" s="39"/>
      <c r="Y200" s="12"/>
      <c r="Z200" s="453"/>
      <c r="AA200" s="453"/>
      <c r="AB200" s="909"/>
      <c r="AC200" s="995"/>
      <c r="AD200" s="1405"/>
      <c r="AE200" s="1405"/>
      <c r="AF200" s="1405"/>
      <c r="AG200" s="1405"/>
      <c r="AH200" s="1405"/>
      <c r="AI200" s="1405"/>
      <c r="AJ200" s="1405"/>
      <c r="AK200" s="1405"/>
      <c r="AL200" s="1405"/>
      <c r="AM200" s="1405"/>
      <c r="AN200" s="1405"/>
      <c r="AO200" s="1405"/>
      <c r="AP200" s="1405"/>
      <c r="AQ200" s="1405"/>
      <c r="AR200" s="1405"/>
      <c r="AS200" s="909"/>
      <c r="AT200" s="995"/>
      <c r="AU200" s="12"/>
      <c r="AV200" s="12"/>
      <c r="AW200" s="12"/>
      <c r="AX200" s="12"/>
      <c r="AY200" s="12"/>
      <c r="AZ200" s="12"/>
      <c r="BA200" s="12"/>
      <c r="BB200" s="12"/>
      <c r="BC200" s="12"/>
      <c r="BD200" s="12"/>
      <c r="BE200" s="12"/>
      <c r="BF200" s="12"/>
      <c r="BG200" s="12"/>
      <c r="BH200" s="12"/>
      <c r="BI200" s="13"/>
    </row>
    <row r="201" spans="1:61" s="49" customFormat="1" hidden="1">
      <c r="A201" s="212" t="s">
        <v>493</v>
      </c>
      <c r="B201" s="978" t="str">
        <f t="shared" si="97"/>
        <v>Uniec 2 finaal</v>
      </c>
      <c r="C201" s="978" t="str">
        <f t="shared" si="97"/>
        <v>NEN 7120</v>
      </c>
      <c r="D201" s="947"/>
      <c r="E201" s="50"/>
      <c r="F201" s="452" t="str">
        <f>IFERROR(IF($P$23=$B201,_xlfn.CONCAT("Bij 1.1 ingevuld: ",FIXED($J$35,2,FALSE)," ",$K$35),""),"invoer niet correct")</f>
        <v>Bij 1.1 ingevuld: 0.00 MJ/m2 Ag</v>
      </c>
      <c r="G201" s="452"/>
      <c r="H201" s="452"/>
      <c r="I201" s="905"/>
      <c r="J201" s="909" t="str">
        <f>IFERROR(IF($P$23=$B201,IF(ABS((M201-$J$35)/$J$35)&gt;1%,"Afwijking &gt;1% met subthema 1.1",""),""),"invoer niet correct")</f>
        <v>invoer niet correct</v>
      </c>
      <c r="K201" s="909"/>
      <c r="L201" s="910"/>
      <c r="M201" s="1479">
        <f>IFERROR(IF($P$23=$B201,M200/$J$59,""),"")</f>
        <v>0</v>
      </c>
      <c r="N201" s="452" t="str">
        <f>IF($P$23=$B201,_xlfn.CONCAT(N200,"/m2"),"")</f>
        <v>MJ/m2</v>
      </c>
      <c r="O201" s="452"/>
      <c r="P201" s="39"/>
      <c r="Q201" s="39"/>
      <c r="R201" s="899"/>
      <c r="S201" s="899"/>
      <c r="T201" s="899"/>
      <c r="U201" s="39"/>
      <c r="V201" s="39"/>
      <c r="W201" s="910" t="str">
        <f>IFERROR(IF($P$23=$B201,_xlfn.CONCAT("Bij 1.1 ingevuld: ",FIXED($AG$40,1,FALSE)," ",$AH$40),""),"invoer niet correct")</f>
        <v>Bij 1.1 ingevuld: 0,0 kg/m2 Ag</v>
      </c>
      <c r="X201" s="909" t="str">
        <f>IFERROR(IF($P$23=$B201,IF(ABS((Z201-$AG$40)/$AG$40)&gt;1%,"afwijking &gt;1% met subthema 1.1",""),""),"invoer niet correct")</f>
        <v>invoer niet correct</v>
      </c>
      <c r="Y201" s="12"/>
      <c r="Z201" s="951"/>
      <c r="AA201" s="452"/>
      <c r="AB201" s="909"/>
      <c r="AC201" s="995"/>
      <c r="AD201" s="1405"/>
      <c r="AE201" s="1405"/>
      <c r="AF201" s="1405"/>
      <c r="AG201" s="1405"/>
      <c r="AH201" s="1405"/>
      <c r="AI201" s="1405"/>
      <c r="AJ201" s="1405"/>
      <c r="AK201" s="1405"/>
      <c r="AL201" s="1405"/>
      <c r="AM201" s="1405"/>
      <c r="AN201" s="1405"/>
      <c r="AO201" s="1405"/>
      <c r="AP201" s="1405"/>
      <c r="AQ201" s="1405"/>
      <c r="AR201" s="1405"/>
      <c r="AS201" s="909"/>
      <c r="AT201" s="1001"/>
      <c r="AU201" s="12"/>
      <c r="AV201" s="12"/>
      <c r="AW201" s="12"/>
      <c r="AX201" s="12"/>
      <c r="AY201" s="12"/>
      <c r="AZ201" s="12"/>
      <c r="BA201" s="12"/>
      <c r="BB201" s="12"/>
      <c r="BC201" s="12"/>
      <c r="BD201" s="12"/>
      <c r="BE201" s="12"/>
      <c r="BF201" s="12"/>
      <c r="BG201" s="12"/>
      <c r="BH201" s="12"/>
      <c r="BI201" s="13"/>
    </row>
    <row r="202" spans="1:61" s="49" customFormat="1" hidden="1">
      <c r="A202" s="212" t="s">
        <v>493</v>
      </c>
      <c r="B202" s="943"/>
      <c r="C202" s="943"/>
      <c r="D202" s="943"/>
      <c r="E202" s="50"/>
      <c r="F202" s="43"/>
      <c r="G202" s="44"/>
      <c r="H202" s="44"/>
      <c r="I202" s="44"/>
      <c r="J202" s="917"/>
      <c r="K202" s="44"/>
      <c r="L202" s="44"/>
      <c r="M202" s="44"/>
      <c r="N202" s="44"/>
      <c r="O202" s="44"/>
      <c r="P202" s="899"/>
      <c r="Q202" s="899"/>
      <c r="R202" s="899"/>
      <c r="S202" s="899"/>
      <c r="T202" s="899"/>
      <c r="U202" s="899"/>
      <c r="V202" s="39"/>
      <c r="W202" s="39"/>
      <c r="X202" s="39"/>
      <c r="Y202" s="12"/>
      <c r="Z202" s="453"/>
      <c r="AA202" s="453"/>
      <c r="AB202" s="909"/>
      <c r="AC202" s="995"/>
      <c r="AD202" s="1405"/>
      <c r="AE202" s="1405"/>
      <c r="AF202" s="1405"/>
      <c r="AG202" s="1405"/>
      <c r="AH202" s="1405"/>
      <c r="AI202" s="1405"/>
      <c r="AJ202" s="1405"/>
      <c r="AK202" s="1405"/>
      <c r="AL202" s="1405"/>
      <c r="AM202" s="1405"/>
      <c r="AN202" s="1405"/>
      <c r="AO202" s="1405"/>
      <c r="AP202" s="1405"/>
      <c r="AQ202" s="1405"/>
      <c r="AR202" s="1405"/>
      <c r="AS202" s="909"/>
      <c r="AT202" s="1001"/>
      <c r="AU202" s="12"/>
      <c r="AV202" s="12"/>
      <c r="AW202" s="12"/>
      <c r="AX202" s="12"/>
      <c r="AY202" s="12"/>
      <c r="AZ202" s="12"/>
      <c r="BA202" s="12"/>
      <c r="BB202" s="12"/>
      <c r="BC202" s="12"/>
      <c r="BD202" s="12"/>
      <c r="BE202" s="12"/>
      <c r="BF202" s="12"/>
      <c r="BG202" s="12"/>
      <c r="BH202" s="12"/>
      <c r="BI202" s="13"/>
    </row>
    <row r="203" spans="1:61" ht="18" hidden="1" thickTop="1">
      <c r="A203" s="212" t="s">
        <v>493</v>
      </c>
      <c r="B203" s="943"/>
      <c r="C203" s="943"/>
      <c r="D203" s="943"/>
      <c r="E203" s="14"/>
      <c r="F203" s="43" t="s">
        <v>517</v>
      </c>
      <c r="G203" s="17"/>
      <c r="H203" s="17"/>
      <c r="I203" s="1"/>
      <c r="J203" s="12"/>
      <c r="K203" s="36"/>
      <c r="L203" s="148"/>
      <c r="M203" s="54"/>
      <c r="N203" s="16"/>
      <c r="O203" s="44"/>
      <c r="P203" s="1480" t="s">
        <v>1731</v>
      </c>
      <c r="Q203" s="1481"/>
      <c r="R203" s="1481"/>
      <c r="S203" s="1482"/>
      <c r="T203" s="1483"/>
      <c r="U203" s="1484"/>
      <c r="V203" s="1485"/>
      <c r="W203" s="1486"/>
      <c r="X203" s="16"/>
      <c r="Y203" s="12"/>
      <c r="Z203" s="453"/>
      <c r="AA203" s="453"/>
      <c r="AB203" s="67"/>
      <c r="AC203" s="995"/>
      <c r="AD203" s="1432"/>
      <c r="AE203" s="1409" t="str">
        <f>_xlfn.CONCAT("Informatief: score in ",$P$24," ",$P$25)</f>
        <v>Informatief: score in GPR 4.4 nieuwbouw</v>
      </c>
      <c r="AF203" s="1408"/>
      <c r="AG203" s="1408"/>
      <c r="AH203" s="1388"/>
      <c r="AI203" s="1388"/>
      <c r="AJ203" s="1388"/>
      <c r="AK203" s="1408"/>
      <c r="AL203" s="1415"/>
      <c r="AM203" s="1415"/>
      <c r="AN203" s="39"/>
      <c r="AO203" s="13"/>
      <c r="AP203" s="13"/>
      <c r="AQ203" s="13"/>
      <c r="AR203" s="1405"/>
      <c r="AS203" s="67"/>
      <c r="AT203" s="995"/>
      <c r="AU203" s="12"/>
      <c r="AV203" s="12"/>
      <c r="AW203" s="12"/>
      <c r="AX203" s="12"/>
      <c r="AY203" s="12"/>
      <c r="AZ203" s="12"/>
      <c r="BA203" s="12"/>
      <c r="BB203" s="12"/>
      <c r="BC203" s="12"/>
      <c r="BD203" s="12"/>
      <c r="BE203" s="12"/>
      <c r="BF203" s="12"/>
      <c r="BG203" s="12"/>
      <c r="BH203" s="12"/>
      <c r="BI203" s="13"/>
    </row>
    <row r="204" spans="1:61" ht="32" hidden="1">
      <c r="A204" s="212" t="s">
        <v>493</v>
      </c>
      <c r="D204" s="943"/>
      <c r="E204" s="14"/>
      <c r="F204" s="911" t="s">
        <v>458</v>
      </c>
      <c r="G204" s="918" t="str">
        <f>tabellen_EMD!$C$302</f>
        <v>aardgas</v>
      </c>
      <c r="H204" s="918" t="str">
        <f>tabellen_EMD!$C$303</f>
        <v>elektriciteit</v>
      </c>
      <c r="I204" s="911"/>
      <c r="J204" s="918" t="str">
        <f>tabellen_EMD!$C$304</f>
        <v>elektriciteit opgewekt</v>
      </c>
      <c r="K204" s="918" t="str">
        <f>tabellen_EMD!$C$305</f>
        <v>externe warmte</v>
      </c>
      <c r="L204" s="911"/>
      <c r="M204" s="918" t="str">
        <f>tabellen_EMD!$C$306</f>
        <v>hout / biomassa</v>
      </c>
      <c r="N204" s="918" t="s">
        <v>1594</v>
      </c>
      <c r="O204" s="44"/>
      <c r="P204" s="1487" t="str">
        <f>tabellen_EMD!$C$302</f>
        <v>aardgas</v>
      </c>
      <c r="Q204" s="918" t="str">
        <f>tabellen_EMD!$C$303</f>
        <v>elektriciteit</v>
      </c>
      <c r="R204" s="230"/>
      <c r="S204" s="918" t="str">
        <f>tabellen_EMD!$C$304</f>
        <v>elektriciteit opgewekt</v>
      </c>
      <c r="T204" s="918" t="str">
        <f>tabellen_EMD!$C$305</f>
        <v>externe warmte</v>
      </c>
      <c r="U204" s="230"/>
      <c r="V204" s="918" t="str">
        <f>tabellen_EMD!$C$306</f>
        <v>hout / biomassa</v>
      </c>
      <c r="W204" s="1488" t="s">
        <v>1594</v>
      </c>
      <c r="Y204" s="12"/>
      <c r="Z204" s="453"/>
      <c r="AA204" s="453"/>
      <c r="AB204" s="67"/>
      <c r="AC204" s="995"/>
      <c r="AD204" s="1432"/>
      <c r="AE204" s="1408"/>
      <c r="AF204" s="1408"/>
      <c r="AG204" s="1408"/>
      <c r="AH204" s="1408"/>
      <c r="AI204" s="1408"/>
      <c r="AJ204" s="1408"/>
      <c r="AK204" s="1408"/>
      <c r="AL204" s="1416"/>
      <c r="AM204" s="1416"/>
      <c r="AN204" s="16"/>
      <c r="AO204" s="13"/>
      <c r="AP204" s="13"/>
      <c r="AQ204" s="13"/>
      <c r="AR204" s="1405"/>
      <c r="AS204" s="67"/>
      <c r="AT204" s="995"/>
      <c r="AU204" s="12"/>
      <c r="AV204" s="12"/>
      <c r="AW204" s="12"/>
      <c r="AX204" s="12"/>
      <c r="AY204" s="12"/>
      <c r="AZ204" s="12"/>
      <c r="BA204" s="12"/>
      <c r="BB204" s="12"/>
      <c r="BC204" s="12"/>
      <c r="BD204" s="12"/>
      <c r="BE204" s="12"/>
      <c r="BF204" s="12"/>
      <c r="BG204" s="12"/>
      <c r="BH204" s="12"/>
      <c r="BI204" s="13"/>
    </row>
    <row r="205" spans="1:61" hidden="1">
      <c r="A205" s="212" t="s">
        <v>493</v>
      </c>
      <c r="B205" s="943"/>
      <c r="C205" s="943"/>
      <c r="D205" s="943"/>
      <c r="E205" s="14"/>
      <c r="F205" s="911" t="s">
        <v>1554</v>
      </c>
      <c r="G205" s="1047">
        <f>INDEX(tabellen_EMD!$C$285:$Z$290,MATCH(G$204,tabellen_EMD!$C$285:$C$290,0),MATCH(EP_versie_scope_functie_methode,tabellen_EMD!$C$285:$Z$285,0))</f>
        <v>1</v>
      </c>
      <c r="H205" s="1047">
        <f>INDEX(tabellen_EMD!$C$285:$Z$290,MATCH(H$204,tabellen_EMD!$C$285:$C$290,0),MATCH(EP_versie_scope_functie_methode,tabellen_EMD!$C$285:$Z$285,0))</f>
        <v>1</v>
      </c>
      <c r="I205" s="1047"/>
      <c r="J205" s="1047">
        <f>INDEX(tabellen_EMD!$C$285:$Z$290,MATCH(J$204,tabellen_EMD!$C$285:$C$290,0),MATCH(EP_versie_scope_functie_methode,tabellen_EMD!$C$285:$Z$285,0))</f>
        <v>1</v>
      </c>
      <c r="K205" s="1047">
        <f>INDEX(tabellen_EMD!$C$285:$Z$290,MATCH(K$204,tabellen_EMD!$C$285:$C$290,0),MATCH(EP_versie_scope_functie_methode,tabellen_EMD!$C$285:$Z$285,0))</f>
        <v>1</v>
      </c>
      <c r="L205" s="1047"/>
      <c r="M205" s="1047">
        <f>INDEX(tabellen_EMD!$C$285:$Z$290,MATCH(M$204,tabellen_EMD!$C$285:$C$290,0),MATCH(EP_versie_scope_functie_methode,tabellen_EMD!$C$285:$Z$285,0))</f>
        <v>4.166666666666667</v>
      </c>
      <c r="N205" s="1047"/>
      <c r="O205" s="44"/>
      <c r="P205" s="1489">
        <f>INDEX(tabellen_EMD!$C$285:$Z$290,MATCH(P$204,tabellen_EMD!$C$285:$C$290,0),MATCH(EP_versie_scope_functie_methode,tabellen_EMD!$C$285:$Z$285,0))</f>
        <v>1</v>
      </c>
      <c r="Q205" s="1047">
        <f>INDEX(tabellen_EMD!$C$285:$Z$290,MATCH(Q$204,tabellen_EMD!$C$285:$C$290,0),MATCH(EP_versie_scope_functie_methode,tabellen_EMD!$C$285:$Z$285,0))</f>
        <v>1</v>
      </c>
      <c r="R205" s="230"/>
      <c r="S205" s="1047">
        <f>INDEX(tabellen_EMD!$C$285:$Z$290,MATCH(S$204,tabellen_EMD!$C$285:$C$290,0),MATCH(EP_versie_scope_functie_methode,tabellen_EMD!$C$285:$Z$285,0))</f>
        <v>1</v>
      </c>
      <c r="T205" s="1047">
        <f>INDEX(tabellen_EMD!$C$285:$Z$290,MATCH(T$204,tabellen_EMD!$C$285:$C$290,0),MATCH(EP_versie_scope_functie_methode,tabellen_EMD!$C$285:$Z$285,0))</f>
        <v>1</v>
      </c>
      <c r="U205" s="230"/>
      <c r="V205" s="1047">
        <f>INDEX(tabellen_EMD!$C$285:$Z$290,MATCH(V$204,tabellen_EMD!$C$285:$C$290,0),MATCH(EP_versie_scope_functie_methode,tabellen_EMD!$C$285:$Z$285,0))</f>
        <v>4.166666666666667</v>
      </c>
      <c r="W205" s="1490"/>
      <c r="Y205" s="12"/>
      <c r="Z205" s="453"/>
      <c r="AA205" s="453"/>
      <c r="AB205" s="67"/>
      <c r="AC205" s="995"/>
      <c r="AD205" s="1432"/>
      <c r="AE205" s="1408"/>
      <c r="AF205" s="1408"/>
      <c r="AG205" s="1408"/>
      <c r="AH205" s="1408"/>
      <c r="AI205" s="1408"/>
      <c r="AJ205" s="1408"/>
      <c r="AK205" s="1408"/>
      <c r="AL205" s="1416"/>
      <c r="AM205" s="1416"/>
      <c r="AN205" s="16"/>
      <c r="AO205" s="13"/>
      <c r="AP205" s="13"/>
      <c r="AQ205" s="13"/>
      <c r="AR205" s="1405"/>
      <c r="AS205" s="67"/>
      <c r="AT205" s="995"/>
      <c r="AU205" s="12"/>
      <c r="AV205" s="12"/>
      <c r="AW205" s="12"/>
      <c r="AX205" s="12"/>
      <c r="AY205" s="12"/>
      <c r="AZ205" s="12"/>
      <c r="BA205" s="12"/>
      <c r="BB205" s="12"/>
      <c r="BC205" s="12"/>
      <c r="BD205" s="12"/>
      <c r="BE205" s="12"/>
      <c r="BF205" s="12"/>
      <c r="BG205" s="12"/>
      <c r="BH205" s="12"/>
      <c r="BI205" s="13"/>
    </row>
    <row r="206" spans="1:61" hidden="1">
      <c r="A206" s="212" t="s">
        <v>493</v>
      </c>
      <c r="B206" s="943"/>
      <c r="C206" s="943"/>
      <c r="D206" s="943"/>
      <c r="E206" s="14"/>
      <c r="F206" s="911" t="s">
        <v>1555</v>
      </c>
      <c r="G206" s="1047">
        <f>INDEX(tabellen_EMD!$C$293:$Z$298,MATCH(G$204,tabellen_EMD!$C$293:$C$298,0),MATCH(EP_versie_scope_functie_methode,tabellen_EMD!$C$293:$Z$293,0))</f>
        <v>0</v>
      </c>
      <c r="H206" s="1047">
        <f>INDEX(tabellen_EMD!$C$293:$Z$298,MATCH(H$204,tabellen_EMD!$C$293:$C$298,0),MATCH(EP_versie_scope_functie_methode,tabellen_EMD!$C$293:$Z$293,0))</f>
        <v>0</v>
      </c>
      <c r="I206" s="1047"/>
      <c r="J206" s="1047">
        <f>INDEX(tabellen_EMD!$C$293:$Z$298,MATCH(J$204,tabellen_EMD!$C$293:$C$298,0),MATCH(EP_versie_scope_functie_methode,tabellen_EMD!$C$293:$Z$293,0))</f>
        <v>0</v>
      </c>
      <c r="K206" s="1047">
        <f>INDEX(tabellen_EMD!$C$293:$Z$298,MATCH(K$204,tabellen_EMD!$C$293:$C$298,0),MATCH(EP_versie_scope_functie_methode,tabellen_EMD!$C$293:$Z$293,0))</f>
        <v>1</v>
      </c>
      <c r="L206" s="1047"/>
      <c r="M206" s="1047">
        <f>INDEX(tabellen_EMD!$C$293:$Z$298,MATCH(M$204,tabellen_EMD!$C$293:$C$298,0),MATCH(EP_versie_scope_functie_methode,tabellen_EMD!$C$293:$Z$293,0))</f>
        <v>0</v>
      </c>
      <c r="N206" s="1047"/>
      <c r="O206" s="44"/>
      <c r="P206" s="1489">
        <f>INDEX(tabellen_EMD!$C$293:$Z$298,MATCH(P$204,tabellen_EMD!$C$293:$C$298,0),MATCH(EP_versie_scope_functie_methode,tabellen_EMD!$C$293:$Z$293,0))</f>
        <v>0</v>
      </c>
      <c r="Q206" s="1047">
        <f>INDEX(tabellen_EMD!$C$293:$Z$298,MATCH(Q$204,tabellen_EMD!$C$293:$C$298,0),MATCH(EP_versie_scope_functie_methode,tabellen_EMD!$C$293:$Z$293,0))</f>
        <v>0</v>
      </c>
      <c r="R206" s="230"/>
      <c r="S206" s="1047">
        <f>INDEX(tabellen_EMD!$C$293:$Z$298,MATCH(S$204,tabellen_EMD!$C$293:$C$298,0),MATCH(EP_versie_scope_functie_methode,tabellen_EMD!$C$293:$Z$293,0))</f>
        <v>0</v>
      </c>
      <c r="T206" s="1047">
        <f>INDEX(tabellen_EMD!$C$293:$Z$298,MATCH(T$204,tabellen_EMD!$C$293:$C$298,0),MATCH(EP_versie_scope_functie_methode,tabellen_EMD!$C$293:$Z$293,0))</f>
        <v>1</v>
      </c>
      <c r="U206" s="230"/>
      <c r="V206" s="1047">
        <f>INDEX(tabellen_EMD!$C$293:$Z$298,MATCH(V$204,tabellen_EMD!$C$293:$C$298,0),MATCH(EP_versie_scope_functie_methode,tabellen_EMD!$C$293:$Z$293,0))</f>
        <v>0</v>
      </c>
      <c r="W206" s="1490"/>
      <c r="Y206" s="12"/>
      <c r="Z206" s="453"/>
      <c r="AA206" s="453"/>
      <c r="AB206" s="67"/>
      <c r="AC206" s="995"/>
      <c r="AD206" s="1432"/>
      <c r="AE206" s="1408"/>
      <c r="AF206" s="1408"/>
      <c r="AG206" s="1408"/>
      <c r="AH206" s="1408"/>
      <c r="AI206" s="1408"/>
      <c r="AJ206" s="1408"/>
      <c r="AK206" s="1408"/>
      <c r="AL206" s="1416"/>
      <c r="AM206" s="1416"/>
      <c r="AN206" s="16"/>
      <c r="AO206" s="13"/>
      <c r="AP206" s="13"/>
      <c r="AQ206" s="13"/>
      <c r="AR206" s="1405"/>
      <c r="AS206" s="67"/>
      <c r="AT206" s="995"/>
      <c r="AU206" s="12"/>
      <c r="AV206" s="12"/>
      <c r="AW206" s="12"/>
      <c r="AX206" s="12"/>
      <c r="AY206" s="12"/>
      <c r="AZ206" s="12"/>
      <c r="BA206" s="12"/>
      <c r="BB206" s="12"/>
      <c r="BC206" s="12"/>
      <c r="BD206" s="12"/>
      <c r="BE206" s="12"/>
      <c r="BF206" s="12"/>
      <c r="BG206" s="12"/>
      <c r="BH206" s="12"/>
      <c r="BI206" s="13"/>
    </row>
    <row r="207" spans="1:61" ht="32" hidden="1">
      <c r="A207" s="212" t="s">
        <v>493</v>
      </c>
      <c r="B207" s="943"/>
      <c r="C207" s="943"/>
      <c r="D207" s="943"/>
      <c r="E207" s="14"/>
      <c r="F207" s="911"/>
      <c r="G207" s="911" t="s">
        <v>463</v>
      </c>
      <c r="H207" s="911" t="s">
        <v>519</v>
      </c>
      <c r="I207" s="911"/>
      <c r="J207" s="911" t="s">
        <v>520</v>
      </c>
      <c r="K207" s="911" t="s">
        <v>521</v>
      </c>
      <c r="L207" s="911"/>
      <c r="M207" s="911" t="s">
        <v>522</v>
      </c>
      <c r="N207" s="911"/>
      <c r="O207" s="44"/>
      <c r="P207" s="1491" t="s">
        <v>463</v>
      </c>
      <c r="Q207" s="911" t="s">
        <v>519</v>
      </c>
      <c r="R207" s="230"/>
      <c r="S207" s="911" t="s">
        <v>520</v>
      </c>
      <c r="T207" s="911" t="s">
        <v>521</v>
      </c>
      <c r="U207" s="230"/>
      <c r="V207" s="911" t="s">
        <v>522</v>
      </c>
      <c r="W207" s="1492"/>
      <c r="Y207" s="12"/>
      <c r="Z207" s="453"/>
      <c r="AA207" s="453"/>
      <c r="AB207" s="67"/>
      <c r="AC207" s="995"/>
      <c r="AD207" s="891" t="s">
        <v>396</v>
      </c>
      <c r="AE207" s="1410" t="s">
        <v>511</v>
      </c>
      <c r="AF207" s="1408"/>
      <c r="AG207" s="1388"/>
      <c r="AH207" s="1388"/>
      <c r="AI207" s="1388"/>
      <c r="AJ207" s="1388"/>
      <c r="AK207" s="1408"/>
      <c r="AL207" s="1416"/>
      <c r="AM207" s="1416"/>
      <c r="AN207" s="16"/>
      <c r="AO207" s="13"/>
      <c r="AP207" s="13"/>
      <c r="AQ207" s="13"/>
      <c r="AR207" s="1405"/>
      <c r="AS207" s="67"/>
      <c r="AT207" s="995"/>
      <c r="AU207" s="12"/>
      <c r="AV207" s="12"/>
      <c r="AW207" s="12"/>
      <c r="AX207" s="12"/>
      <c r="AY207" s="12"/>
      <c r="AZ207" s="12"/>
      <c r="BA207" s="12"/>
      <c r="BB207" s="12"/>
      <c r="BC207" s="12"/>
      <c r="BD207" s="12"/>
      <c r="BE207" s="12"/>
      <c r="BF207" s="12"/>
      <c r="BG207" s="12"/>
      <c r="BH207" s="12"/>
      <c r="BI207" s="13"/>
    </row>
    <row r="208" spans="1:61" hidden="1">
      <c r="A208" s="212" t="s">
        <v>493</v>
      </c>
      <c r="B208" s="943"/>
      <c r="C208" s="943"/>
      <c r="D208" s="943"/>
      <c r="E208" s="14"/>
      <c r="F208" s="911"/>
      <c r="G208" s="911" t="str">
        <f>INDEX(tabellen_EMD!$C$277:$Z$282,MATCH(G$204,tabellen_EMD!$C$285:$C$290,0),MATCH(EP_versie_scope_functie_methode,tabellen_EMD!$C$285:$Z$285,0))</f>
        <v>m3</v>
      </c>
      <c r="H208" s="911" t="str">
        <f>INDEX(tabellen_EMD!$C$277:$Z$282,MATCH(H$204,tabellen_EMD!$C$285:$C$290,0),MATCH(EP_versie_scope_functie_methode,tabellen_EMD!$C$285:$Z$285,0))</f>
        <v>kWh</v>
      </c>
      <c r="I208" s="911"/>
      <c r="J208" s="911" t="str">
        <f>INDEX(tabellen_EMD!$C$277:$Z$282,MATCH(J$204,tabellen_EMD!$C$285:$C$290,0),MATCH(EP_versie_scope_functie_methode,tabellen_EMD!$C$285:$Z$285,0))</f>
        <v>kWh</v>
      </c>
      <c r="K208" s="911" t="str">
        <f>INDEX(tabellen_EMD!$C$277:$Z$282,MATCH(K$204,tabellen_EMD!$C$285:$C$290,0),MATCH(EP_versie_scope_functie_methode,tabellen_EMD!$C$285:$Z$285,0))</f>
        <v>GJ</v>
      </c>
      <c r="L208" s="911"/>
      <c r="M208" s="911" t="str">
        <f>INDEX(tabellen_EMD!$C$277:$Z$282,MATCH(M$204,tabellen_EMD!$C$285:$C$290,0),MATCH(EP_versie_scope_functie_methode,tabellen_EMD!$C$285:$Z$285,0))</f>
        <v>kWh</v>
      </c>
      <c r="N208" s="911" t="s">
        <v>562</v>
      </c>
      <c r="O208" s="44"/>
      <c r="P208" s="1491" t="s">
        <v>464</v>
      </c>
      <c r="Q208" s="911" t="s">
        <v>406</v>
      </c>
      <c r="R208" s="230"/>
      <c r="S208" s="911" t="s">
        <v>406</v>
      </c>
      <c r="T208" s="911" t="s">
        <v>405</v>
      </c>
      <c r="U208" s="230"/>
      <c r="V208" s="911" t="str">
        <f>INDEX(tabellen_EMD!$C$277:$Z$282,MATCH(V$204,tabellen_EMD!$C$285:$C$290,0),MATCH(EP_versie_scope_functie_methode,tabellen_EMD!$C$285:$Z$285,0))</f>
        <v>kWh</v>
      </c>
      <c r="W208" s="1492" t="s">
        <v>562</v>
      </c>
      <c r="Y208" s="12"/>
      <c r="Z208" s="453"/>
      <c r="AA208" s="453"/>
      <c r="AB208" s="67"/>
      <c r="AC208" s="995"/>
      <c r="AD208" s="891" t="s">
        <v>396</v>
      </c>
      <c r="AE208" s="1412" t="str">
        <f>_xlfn.CONCAT("Broeikasgas-emissie tgv energiegebruik (",$P$27,")")</f>
        <v>Broeikasgas-emissie tgv energiegebruik (NTA 8800)</v>
      </c>
      <c r="AF208" s="1444"/>
      <c r="AG208" s="1445">
        <f>IFERROR(SUMPRODUCT($G$229:$M$229,$G$249:$M$249)/J275,"")</f>
        <v>0</v>
      </c>
      <c r="AH208" s="1412" t="s">
        <v>1409</v>
      </c>
      <c r="AI208" s="1412"/>
      <c r="AJ208" s="1412"/>
      <c r="AK208" s="1408"/>
      <c r="AL208" s="1416"/>
      <c r="AM208" s="1416"/>
      <c r="AN208" s="16"/>
      <c r="AO208" s="13"/>
      <c r="AP208" s="13"/>
      <c r="AQ208" s="13"/>
      <c r="AR208" s="1405"/>
      <c r="AS208" s="67"/>
      <c r="AT208" s="995"/>
      <c r="AU208" s="12"/>
      <c r="AV208" s="12"/>
      <c r="AW208" s="12"/>
      <c r="AX208" s="12"/>
      <c r="AY208" s="12"/>
      <c r="AZ208" s="12"/>
      <c r="BA208" s="12"/>
      <c r="BB208" s="12"/>
      <c r="BC208" s="12"/>
      <c r="BD208" s="12"/>
      <c r="BE208" s="12"/>
      <c r="BF208" s="12"/>
      <c r="BG208" s="12"/>
      <c r="BH208" s="12"/>
      <c r="BI208" s="13"/>
    </row>
    <row r="209" spans="1:61" hidden="1">
      <c r="A209" s="212" t="s">
        <v>493</v>
      </c>
      <c r="B209" s="943"/>
      <c r="C209" s="943"/>
      <c r="D209" s="943"/>
      <c r="E209" s="14"/>
      <c r="F209" s="22" t="s">
        <v>297</v>
      </c>
      <c r="G209" s="214" t="str">
        <f>G256</f>
        <v/>
      </c>
      <c r="H209" s="214" t="str">
        <f t="shared" ref="H209:N209" si="101">H256</f>
        <v/>
      </c>
      <c r="I209" s="214"/>
      <c r="J209" s="214" t="str">
        <f t="shared" si="101"/>
        <v/>
      </c>
      <c r="K209" s="214" t="str">
        <f t="shared" si="101"/>
        <v/>
      </c>
      <c r="L209" s="214"/>
      <c r="M209" s="214" t="str">
        <f t="shared" si="101"/>
        <v/>
      </c>
      <c r="N209" s="142" t="str">
        <f t="shared" si="101"/>
        <v/>
      </c>
      <c r="O209" s="44"/>
      <c r="P209" s="1493">
        <f t="shared" ref="P209:Q220" si="102">Q256</f>
        <v>0</v>
      </c>
      <c r="Q209" s="214">
        <f t="shared" si="102"/>
        <v>0</v>
      </c>
      <c r="R209" s="230"/>
      <c r="S209" s="214">
        <f t="shared" ref="S209:T220" si="103">T256</f>
        <v>0</v>
      </c>
      <c r="T209" s="214">
        <f t="shared" si="103"/>
        <v>0</v>
      </c>
      <c r="U209" s="230"/>
      <c r="V209" s="214"/>
      <c r="W209" s="1494">
        <f>IFERROR(M44/$M$58*$J$275,"")</f>
        <v>0</v>
      </c>
      <c r="Y209" s="12"/>
      <c r="Z209" s="453"/>
      <c r="AA209" s="453"/>
      <c r="AB209" s="67"/>
      <c r="AC209" s="995"/>
      <c r="AD209" s="891" t="s">
        <v>396</v>
      </c>
      <c r="AE209" s="1412" t="s">
        <v>1408</v>
      </c>
      <c r="AF209" s="1443"/>
      <c r="AG209" s="1445">
        <f>IFERROR(M273,"")</f>
        <v>0</v>
      </c>
      <c r="AH209" s="1412" t="s">
        <v>1409</v>
      </c>
      <c r="AI209" s="1412"/>
      <c r="AJ209" s="1412"/>
      <c r="AK209" s="1408"/>
      <c r="AL209" s="1416"/>
      <c r="AM209" s="1416"/>
      <c r="AN209" s="16"/>
      <c r="AO209" s="13"/>
      <c r="AP209" s="13"/>
      <c r="AQ209" s="13"/>
      <c r="AR209" s="1405"/>
      <c r="AS209" s="67"/>
      <c r="AT209" s="995"/>
      <c r="AU209" s="12"/>
      <c r="AV209" s="12"/>
      <c r="AW209" s="12"/>
      <c r="AX209" s="12"/>
      <c r="AY209" s="12"/>
      <c r="AZ209" s="12"/>
      <c r="BA209" s="12"/>
      <c r="BB209" s="12"/>
      <c r="BC209" s="12"/>
      <c r="BD209" s="12"/>
      <c r="BE209" s="12"/>
      <c r="BF209" s="12"/>
      <c r="BG209" s="12"/>
      <c r="BH209" s="12"/>
      <c r="BI209" s="13"/>
    </row>
    <row r="210" spans="1:61" hidden="1">
      <c r="A210" s="212" t="s">
        <v>493</v>
      </c>
      <c r="B210" s="943"/>
      <c r="C210" s="943"/>
      <c r="D210" s="943"/>
      <c r="E210" s="14"/>
      <c r="F210" s="22" t="s">
        <v>298</v>
      </c>
      <c r="G210" s="214" t="str">
        <f t="shared" ref="G210:N220" si="104">G257</f>
        <v/>
      </c>
      <c r="H210" s="214" t="str">
        <f t="shared" si="104"/>
        <v/>
      </c>
      <c r="I210" s="214"/>
      <c r="J210" s="214" t="str">
        <f t="shared" si="104"/>
        <v/>
      </c>
      <c r="K210" s="214" t="str">
        <f t="shared" si="104"/>
        <v/>
      </c>
      <c r="L210" s="214"/>
      <c r="M210" s="214" t="str">
        <f t="shared" si="104"/>
        <v/>
      </c>
      <c r="N210" s="142" t="str">
        <f t="shared" si="104"/>
        <v/>
      </c>
      <c r="O210" s="44"/>
      <c r="P210" s="1493">
        <f t="shared" si="102"/>
        <v>0</v>
      </c>
      <c r="Q210" s="214">
        <f t="shared" si="102"/>
        <v>0</v>
      </c>
      <c r="R210" s="230"/>
      <c r="S210" s="214">
        <f t="shared" si="103"/>
        <v>0</v>
      </c>
      <c r="T210" s="214">
        <f t="shared" si="103"/>
        <v>0</v>
      </c>
      <c r="U210" s="230"/>
      <c r="V210" s="214"/>
      <c r="W210" s="1494">
        <f t="shared" ref="W210:W220" si="105">IFERROR(M45/$M$58*$J$275,"")</f>
        <v>0</v>
      </c>
      <c r="Y210" s="12"/>
      <c r="Z210" s="453"/>
      <c r="AA210" s="453"/>
      <c r="AB210" s="67"/>
      <c r="AC210" s="995"/>
      <c r="AD210" s="1434"/>
      <c r="AE210" s="1412" t="s">
        <v>1391</v>
      </c>
      <c r="AF210" s="1443"/>
      <c r="AG210" s="1448">
        <f>SUM(AG208,M273)</f>
        <v>0</v>
      </c>
      <c r="AH210" s="1412" t="s">
        <v>1409</v>
      </c>
      <c r="AI210" s="1412"/>
      <c r="AJ210" s="1412"/>
      <c r="AK210" s="1408"/>
      <c r="AL210" s="1416"/>
      <c r="AM210" s="1416"/>
      <c r="AN210" s="16"/>
      <c r="AO210" s="13"/>
      <c r="AP210" s="13"/>
      <c r="AQ210" s="13"/>
      <c r="AR210" s="1405"/>
      <c r="AS210" s="67"/>
      <c r="AT210" s="995"/>
      <c r="AU210" s="12"/>
      <c r="AV210" s="12"/>
      <c r="AW210" s="12"/>
      <c r="AX210" s="12"/>
      <c r="AY210" s="12"/>
      <c r="AZ210" s="12"/>
      <c r="BA210" s="12"/>
      <c r="BB210" s="12"/>
      <c r="BC210" s="12"/>
      <c r="BD210" s="12"/>
      <c r="BE210" s="12"/>
      <c r="BF210" s="12"/>
      <c r="BG210" s="12"/>
      <c r="BH210" s="12"/>
      <c r="BI210" s="13"/>
    </row>
    <row r="211" spans="1:61" hidden="1">
      <c r="A211" s="212" t="s">
        <v>493</v>
      </c>
      <c r="B211" s="943"/>
      <c r="C211" s="943"/>
      <c r="D211" s="943"/>
      <c r="E211" s="14"/>
      <c r="F211" s="22" t="s">
        <v>303</v>
      </c>
      <c r="G211" s="214" t="str">
        <f t="shared" si="104"/>
        <v/>
      </c>
      <c r="H211" s="214" t="str">
        <f t="shared" si="104"/>
        <v/>
      </c>
      <c r="I211" s="214"/>
      <c r="J211" s="214" t="str">
        <f t="shared" si="104"/>
        <v/>
      </c>
      <c r="K211" s="214" t="str">
        <f t="shared" si="104"/>
        <v/>
      </c>
      <c r="L211" s="214"/>
      <c r="M211" s="214" t="str">
        <f t="shared" si="104"/>
        <v/>
      </c>
      <c r="N211" s="142">
        <f t="shared" si="104"/>
        <v>0.33333333333333331</v>
      </c>
      <c r="O211" s="44"/>
      <c r="P211" s="1493">
        <f t="shared" si="102"/>
        <v>0</v>
      </c>
      <c r="Q211" s="214">
        <f t="shared" si="102"/>
        <v>0</v>
      </c>
      <c r="R211" s="230"/>
      <c r="S211" s="214">
        <f t="shared" si="103"/>
        <v>0</v>
      </c>
      <c r="T211" s="214">
        <f t="shared" si="103"/>
        <v>0</v>
      </c>
      <c r="U211" s="230"/>
      <c r="V211" s="214"/>
      <c r="W211" s="1494">
        <f t="shared" si="105"/>
        <v>0.33333333333333331</v>
      </c>
      <c r="Y211" s="12"/>
      <c r="Z211" s="453"/>
      <c r="AA211" s="453"/>
      <c r="AB211" s="67"/>
      <c r="AC211" s="995"/>
      <c r="AD211" s="1429"/>
      <c r="AE211" s="1418"/>
      <c r="AF211" s="1418"/>
      <c r="AG211" s="1418"/>
      <c r="AH211" s="1418"/>
      <c r="AI211" s="1418"/>
      <c r="AJ211" s="1388"/>
      <c r="AK211" s="1408"/>
      <c r="AL211" s="1416"/>
      <c r="AM211" s="1416"/>
      <c r="AN211" s="16"/>
      <c r="AO211" s="13"/>
      <c r="AP211" s="13"/>
      <c r="AQ211" s="13"/>
      <c r="AR211" s="1405"/>
      <c r="AS211" s="67"/>
      <c r="AT211" s="995"/>
      <c r="AU211" s="12"/>
      <c r="AV211" s="12"/>
      <c r="AW211" s="12"/>
      <c r="AX211" s="12"/>
      <c r="AY211" s="12"/>
      <c r="AZ211" s="12"/>
      <c r="BA211" s="12"/>
      <c r="BB211" s="12"/>
      <c r="BC211" s="12"/>
      <c r="BD211" s="12"/>
      <c r="BE211" s="12"/>
      <c r="BF211" s="12"/>
      <c r="BG211" s="12"/>
      <c r="BH211" s="12"/>
      <c r="BI211" s="13"/>
    </row>
    <row r="212" spans="1:61" hidden="1">
      <c r="A212" s="212" t="s">
        <v>493</v>
      </c>
      <c r="B212" s="943"/>
      <c r="C212" s="943"/>
      <c r="D212" s="943"/>
      <c r="E212" s="14"/>
      <c r="F212" s="22" t="s">
        <v>299</v>
      </c>
      <c r="G212" s="214" t="str">
        <f t="shared" si="104"/>
        <v/>
      </c>
      <c r="H212" s="214" t="str">
        <f t="shared" si="104"/>
        <v/>
      </c>
      <c r="I212" s="214"/>
      <c r="J212" s="214" t="str">
        <f t="shared" si="104"/>
        <v/>
      </c>
      <c r="K212" s="214" t="str">
        <f t="shared" si="104"/>
        <v/>
      </c>
      <c r="L212" s="214"/>
      <c r="M212" s="214" t="str">
        <f t="shared" si="104"/>
        <v/>
      </c>
      <c r="N212" s="142">
        <f t="shared" si="104"/>
        <v>0.33333333333333331</v>
      </c>
      <c r="O212" s="44"/>
      <c r="P212" s="1493">
        <f t="shared" si="102"/>
        <v>0</v>
      </c>
      <c r="Q212" s="214">
        <f t="shared" si="102"/>
        <v>0</v>
      </c>
      <c r="R212" s="230"/>
      <c r="S212" s="214">
        <f t="shared" si="103"/>
        <v>0</v>
      </c>
      <c r="T212" s="214">
        <f t="shared" si="103"/>
        <v>0</v>
      </c>
      <c r="U212" s="230"/>
      <c r="V212" s="214"/>
      <c r="W212" s="1494">
        <f t="shared" si="105"/>
        <v>0.33333333333333331</v>
      </c>
      <c r="Y212" s="12"/>
      <c r="Z212" s="453"/>
      <c r="AA212" s="453"/>
      <c r="AB212" s="67"/>
      <c r="AC212" s="995"/>
      <c r="AD212" s="891" t="s">
        <v>396</v>
      </c>
      <c r="AE212" s="1477" t="s">
        <v>1406</v>
      </c>
      <c r="AF212" s="1478"/>
      <c r="AG212" s="905"/>
      <c r="AH212" s="905"/>
      <c r="AI212" s="1418"/>
      <c r="AJ212" s="1388"/>
      <c r="AK212" s="1408"/>
      <c r="AL212" s="1416"/>
      <c r="AM212" s="1416"/>
      <c r="AN212" s="16"/>
      <c r="AO212" s="13"/>
      <c r="AP212" s="13"/>
      <c r="AQ212" s="13"/>
      <c r="AR212" s="1405"/>
      <c r="AS212" s="67"/>
      <c r="AT212" s="995"/>
      <c r="AU212" s="12"/>
      <c r="AV212" s="12"/>
      <c r="AW212" s="12"/>
      <c r="AX212" s="12"/>
      <c r="AY212" s="12"/>
      <c r="AZ212" s="12"/>
      <c r="BA212" s="12"/>
      <c r="BB212" s="12"/>
      <c r="BC212" s="12"/>
      <c r="BD212" s="12"/>
      <c r="BE212" s="12"/>
      <c r="BF212" s="12"/>
      <c r="BG212" s="12"/>
      <c r="BH212" s="12"/>
      <c r="BI212" s="13"/>
    </row>
    <row r="213" spans="1:61" hidden="1">
      <c r="A213" s="212" t="s">
        <v>493</v>
      </c>
      <c r="B213" s="943"/>
      <c r="C213" s="943"/>
      <c r="D213" s="943"/>
      <c r="E213" s="14"/>
      <c r="F213" s="22" t="s">
        <v>422</v>
      </c>
      <c r="G213" s="214" t="str">
        <f t="shared" si="104"/>
        <v/>
      </c>
      <c r="H213" s="214" t="str">
        <f t="shared" si="104"/>
        <v/>
      </c>
      <c r="I213" s="214"/>
      <c r="J213" s="214" t="str">
        <f t="shared" si="104"/>
        <v/>
      </c>
      <c r="K213" s="214" t="str">
        <f t="shared" si="104"/>
        <v/>
      </c>
      <c r="L213" s="214"/>
      <c r="M213" s="214" t="str">
        <f t="shared" si="104"/>
        <v/>
      </c>
      <c r="N213" s="142">
        <f t="shared" si="104"/>
        <v>0.33333333333333331</v>
      </c>
      <c r="O213" s="44"/>
      <c r="P213" s="1493">
        <f t="shared" si="102"/>
        <v>0</v>
      </c>
      <c r="Q213" s="214">
        <f t="shared" si="102"/>
        <v>0</v>
      </c>
      <c r="R213" s="230"/>
      <c r="S213" s="214">
        <f t="shared" si="103"/>
        <v>0</v>
      </c>
      <c r="T213" s="214">
        <f t="shared" si="103"/>
        <v>0</v>
      </c>
      <c r="U213" s="230"/>
      <c r="V213" s="214"/>
      <c r="W213" s="1494">
        <f t="shared" si="105"/>
        <v>0.33333333333333331</v>
      </c>
      <c r="Y213" s="12"/>
      <c r="Z213" s="453"/>
      <c r="AA213" s="453"/>
      <c r="AB213" s="67"/>
      <c r="AC213" s="995"/>
      <c r="AD213" s="891" t="s">
        <v>396</v>
      </c>
      <c r="AE213" s="903" t="s">
        <v>1441</v>
      </c>
      <c r="AF213" s="1474"/>
      <c r="AG213" s="1475">
        <f>F385</f>
        <v>4.3349538492853554</v>
      </c>
      <c r="AH213" s="1476" t="s">
        <v>440</v>
      </c>
      <c r="AI213" s="1412"/>
      <c r="AJ213" s="1388"/>
      <c r="AK213" s="1408"/>
      <c r="AL213" s="1416"/>
      <c r="AM213" s="1416"/>
      <c r="AN213" s="16"/>
      <c r="AO213" s="13"/>
      <c r="AP213" s="13"/>
      <c r="AQ213" s="13"/>
      <c r="AR213" s="1405"/>
      <c r="AS213" s="67"/>
      <c r="AT213" s="995"/>
      <c r="AU213" s="12"/>
      <c r="AV213" s="12"/>
      <c r="AW213" s="12"/>
      <c r="AX213" s="12"/>
      <c r="AY213" s="12"/>
      <c r="AZ213" s="12"/>
      <c r="BA213" s="12"/>
      <c r="BB213" s="12"/>
      <c r="BC213" s="12"/>
      <c r="BD213" s="12"/>
      <c r="BE213" s="12"/>
      <c r="BF213" s="12"/>
      <c r="BG213" s="12"/>
      <c r="BH213" s="12"/>
      <c r="BI213" s="13"/>
    </row>
    <row r="214" spans="1:61" hidden="1">
      <c r="A214" s="212" t="s">
        <v>493</v>
      </c>
      <c r="B214" s="943"/>
      <c r="C214" s="943"/>
      <c r="D214" s="943"/>
      <c r="E214" s="14"/>
      <c r="F214" s="22" t="s">
        <v>305</v>
      </c>
      <c r="G214" s="214" t="str">
        <f t="shared" si="104"/>
        <v/>
      </c>
      <c r="H214" s="214" t="str">
        <f t="shared" si="104"/>
        <v/>
      </c>
      <c r="I214" s="214"/>
      <c r="J214" s="214" t="str">
        <f t="shared" si="104"/>
        <v/>
      </c>
      <c r="K214" s="214" t="str">
        <f t="shared" si="104"/>
        <v/>
      </c>
      <c r="L214" s="214"/>
      <c r="M214" s="214" t="str">
        <f t="shared" si="104"/>
        <v/>
      </c>
      <c r="N214" s="142" t="str">
        <f t="shared" si="104"/>
        <v/>
      </c>
      <c r="O214" s="44"/>
      <c r="P214" s="1493">
        <f t="shared" si="102"/>
        <v>0</v>
      </c>
      <c r="Q214" s="214">
        <f t="shared" si="102"/>
        <v>0</v>
      </c>
      <c r="R214" s="230"/>
      <c r="S214" s="214">
        <f t="shared" si="103"/>
        <v>0</v>
      </c>
      <c r="T214" s="214">
        <f t="shared" si="103"/>
        <v>0</v>
      </c>
      <c r="U214" s="230"/>
      <c r="V214" s="214"/>
      <c r="W214" s="1494">
        <f t="shared" si="105"/>
        <v>0</v>
      </c>
      <c r="Y214" s="12"/>
      <c r="Z214" s="453"/>
      <c r="AA214" s="453"/>
      <c r="AB214" s="67"/>
      <c r="AC214" s="995"/>
      <c r="AD214" s="891" t="s">
        <v>396</v>
      </c>
      <c r="AE214" s="903" t="s">
        <v>1442</v>
      </c>
      <c r="AF214" s="1474"/>
      <c r="AG214" s="1475">
        <f>G385</f>
        <v>-3.9773319655195288E-2</v>
      </c>
      <c r="AH214" s="1476" t="s">
        <v>440</v>
      </c>
      <c r="AI214" s="1412"/>
      <c r="AJ214" s="1388"/>
      <c r="AK214" s="1408"/>
      <c r="AL214" s="1416"/>
      <c r="AM214" s="1416"/>
      <c r="AN214" s="16"/>
      <c r="AO214" s="13"/>
      <c r="AP214" s="13"/>
      <c r="AQ214" s="13"/>
      <c r="AR214" s="1405"/>
      <c r="AS214" s="67"/>
      <c r="AT214" s="995"/>
      <c r="AU214" s="12"/>
      <c r="AV214" s="12"/>
      <c r="AW214" s="12"/>
      <c r="AX214" s="12"/>
      <c r="AY214" s="12"/>
      <c r="AZ214" s="12"/>
      <c r="BA214" s="12"/>
      <c r="BB214" s="12"/>
      <c r="BC214" s="12"/>
      <c r="BD214" s="12"/>
      <c r="BE214" s="12"/>
      <c r="BF214" s="12"/>
      <c r="BG214" s="12"/>
      <c r="BH214" s="12"/>
      <c r="BI214" s="13"/>
    </row>
    <row r="215" spans="1:61" hidden="1">
      <c r="A215" s="212" t="s">
        <v>493</v>
      </c>
      <c r="B215" s="943"/>
      <c r="C215" s="943"/>
      <c r="D215" s="943"/>
      <c r="E215" s="14"/>
      <c r="F215" s="22" t="s">
        <v>302</v>
      </c>
      <c r="G215" s="214" t="str">
        <f t="shared" si="104"/>
        <v/>
      </c>
      <c r="H215" s="214" t="str">
        <f t="shared" si="104"/>
        <v/>
      </c>
      <c r="I215" s="214"/>
      <c r="J215" s="214" t="str">
        <f t="shared" si="104"/>
        <v/>
      </c>
      <c r="K215" s="214" t="str">
        <f t="shared" si="104"/>
        <v/>
      </c>
      <c r="L215" s="214"/>
      <c r="M215" s="214" t="str">
        <f t="shared" si="104"/>
        <v/>
      </c>
      <c r="N215" s="142" t="str">
        <f t="shared" si="104"/>
        <v/>
      </c>
      <c r="O215" s="44"/>
      <c r="P215" s="1493">
        <f t="shared" si="102"/>
        <v>0</v>
      </c>
      <c r="Q215" s="214">
        <f t="shared" si="102"/>
        <v>0</v>
      </c>
      <c r="R215" s="230"/>
      <c r="S215" s="214">
        <f t="shared" si="103"/>
        <v>0</v>
      </c>
      <c r="T215" s="214">
        <f t="shared" si="103"/>
        <v>0</v>
      </c>
      <c r="U215" s="230"/>
      <c r="V215" s="214"/>
      <c r="W215" s="1494">
        <f t="shared" si="105"/>
        <v>0</v>
      </c>
      <c r="Y215" s="12"/>
      <c r="Z215" s="453"/>
      <c r="AA215" s="453"/>
      <c r="AB215" s="67"/>
      <c r="AC215" s="995"/>
      <c r="AD215" s="1429"/>
      <c r="AE215" s="1418"/>
      <c r="AF215" s="1418"/>
      <c r="AG215" s="1418"/>
      <c r="AH215" s="1418"/>
      <c r="AI215" s="1418"/>
      <c r="AJ215" s="1388"/>
      <c r="AK215" s="1408"/>
      <c r="AL215" s="1416"/>
      <c r="AM215" s="1416"/>
      <c r="AN215" s="16"/>
      <c r="AO215" s="13"/>
      <c r="AP215" s="13"/>
      <c r="AQ215" s="13"/>
      <c r="AR215" s="1405"/>
      <c r="AS215" s="67"/>
      <c r="AT215" s="995"/>
      <c r="AU215" s="12"/>
      <c r="AV215" s="12"/>
      <c r="AW215" s="12"/>
      <c r="AX215" s="12"/>
      <c r="AY215" s="12"/>
      <c r="AZ215" s="12"/>
      <c r="BA215" s="12"/>
      <c r="BB215" s="12"/>
      <c r="BC215" s="12"/>
      <c r="BD215" s="12"/>
      <c r="BE215" s="12"/>
      <c r="BF215" s="12"/>
      <c r="BG215" s="12"/>
      <c r="BH215" s="12"/>
      <c r="BI215" s="13"/>
    </row>
    <row r="216" spans="1:61" hidden="1">
      <c r="A216" s="212" t="s">
        <v>493</v>
      </c>
      <c r="B216" s="943"/>
      <c r="C216" s="943"/>
      <c r="D216" s="943"/>
      <c r="E216" s="14"/>
      <c r="F216" s="22" t="s">
        <v>423</v>
      </c>
      <c r="G216" s="214" t="str">
        <f t="shared" si="104"/>
        <v/>
      </c>
      <c r="H216" s="214" t="str">
        <f t="shared" si="104"/>
        <v/>
      </c>
      <c r="I216" s="214"/>
      <c r="J216" s="214" t="str">
        <f t="shared" si="104"/>
        <v/>
      </c>
      <c r="K216" s="214" t="str">
        <f t="shared" si="104"/>
        <v/>
      </c>
      <c r="L216" s="214"/>
      <c r="M216" s="214" t="str">
        <f t="shared" si="104"/>
        <v/>
      </c>
      <c r="N216" s="142" t="str">
        <f t="shared" si="104"/>
        <v/>
      </c>
      <c r="O216" s="44"/>
      <c r="P216" s="1493">
        <f t="shared" si="102"/>
        <v>0</v>
      </c>
      <c r="Q216" s="214">
        <f t="shared" si="102"/>
        <v>0</v>
      </c>
      <c r="R216" s="230"/>
      <c r="S216" s="214">
        <f t="shared" si="103"/>
        <v>0</v>
      </c>
      <c r="T216" s="214">
        <f t="shared" si="103"/>
        <v>0</v>
      </c>
      <c r="U216" s="230"/>
      <c r="V216" s="214"/>
      <c r="W216" s="1494">
        <f t="shared" si="105"/>
        <v>0</v>
      </c>
      <c r="Y216" s="12"/>
      <c r="Z216" s="453"/>
      <c r="AA216" s="453"/>
      <c r="AB216" s="67"/>
      <c r="AC216" s="995"/>
      <c r="AD216" s="891"/>
      <c r="AE216" s="1383" t="s">
        <v>538</v>
      </c>
      <c r="AF216" s="1444"/>
      <c r="AG216" s="1445">
        <f>N404</f>
        <v>-3.8855112523342866E-4</v>
      </c>
      <c r="AH216" s="1412" t="s">
        <v>440</v>
      </c>
      <c r="AI216" s="1412"/>
      <c r="AJ216" s="1388"/>
      <c r="AK216" s="1408"/>
      <c r="AL216" s="1416"/>
      <c r="AM216" s="1416"/>
      <c r="AN216" s="16"/>
      <c r="AO216" s="13"/>
      <c r="AP216" s="13"/>
      <c r="AQ216" s="13"/>
      <c r="AR216" s="1405"/>
      <c r="AS216" s="67"/>
      <c r="AT216" s="995"/>
      <c r="AU216" s="12"/>
      <c r="AV216" s="12"/>
      <c r="AW216" s="12"/>
      <c r="AX216" s="12"/>
      <c r="AY216" s="12"/>
      <c r="AZ216" s="12"/>
      <c r="BA216" s="12"/>
      <c r="BB216" s="12"/>
      <c r="BC216" s="12"/>
      <c r="BD216" s="12"/>
      <c r="BE216" s="12"/>
      <c r="BF216" s="12"/>
      <c r="BG216" s="12"/>
      <c r="BH216" s="12"/>
      <c r="BI216" s="13"/>
    </row>
    <row r="217" spans="1:61" hidden="1">
      <c r="A217" s="212" t="s">
        <v>493</v>
      </c>
      <c r="B217" s="943"/>
      <c r="C217" s="943"/>
      <c r="D217" s="943"/>
      <c r="E217" s="14"/>
      <c r="F217" s="22" t="s">
        <v>307</v>
      </c>
      <c r="G217" s="214" t="str">
        <f t="shared" si="104"/>
        <v/>
      </c>
      <c r="H217" s="214" t="str">
        <f t="shared" si="104"/>
        <v/>
      </c>
      <c r="I217" s="214"/>
      <c r="J217" s="214" t="str">
        <f t="shared" si="104"/>
        <v/>
      </c>
      <c r="K217" s="214" t="str">
        <f t="shared" si="104"/>
        <v/>
      </c>
      <c r="L217" s="214"/>
      <c r="M217" s="214" t="str">
        <f t="shared" si="104"/>
        <v/>
      </c>
      <c r="N217" s="142" t="str">
        <f t="shared" si="104"/>
        <v/>
      </c>
      <c r="O217" s="44"/>
      <c r="P217" s="1493">
        <f t="shared" si="102"/>
        <v>0</v>
      </c>
      <c r="Q217" s="214">
        <f t="shared" si="102"/>
        <v>0</v>
      </c>
      <c r="R217" s="230"/>
      <c r="S217" s="214">
        <f t="shared" si="103"/>
        <v>0</v>
      </c>
      <c r="T217" s="214">
        <f t="shared" si="103"/>
        <v>0</v>
      </c>
      <c r="U217" s="230"/>
      <c r="V217" s="214"/>
      <c r="W217" s="1494">
        <f t="shared" si="105"/>
        <v>0</v>
      </c>
      <c r="Y217" s="12"/>
      <c r="Z217" s="453"/>
      <c r="AA217" s="453"/>
      <c r="AB217" s="67"/>
      <c r="AC217" s="995"/>
      <c r="AD217" s="891"/>
      <c r="AE217" s="1383" t="s">
        <v>431</v>
      </c>
      <c r="AF217" s="1444"/>
      <c r="AG217" s="1445">
        <f>J272</f>
        <v>0</v>
      </c>
      <c r="AH217" s="1412" t="s">
        <v>440</v>
      </c>
      <c r="AI217" s="1412"/>
      <c r="AJ217" s="1388"/>
      <c r="AK217" s="1408"/>
      <c r="AL217" s="1416"/>
      <c r="AM217" s="1416"/>
      <c r="AN217" s="16"/>
      <c r="AO217" s="13"/>
      <c r="AP217" s="13"/>
      <c r="AQ217" s="13"/>
      <c r="AR217" s="1405"/>
      <c r="AS217" s="67"/>
      <c r="AT217" s="995"/>
      <c r="AU217" s="12"/>
      <c r="AV217" s="12"/>
      <c r="AW217" s="12"/>
      <c r="AX217" s="12"/>
      <c r="AY217" s="12"/>
      <c r="AZ217" s="12"/>
      <c r="BA217" s="12"/>
      <c r="BB217" s="12"/>
      <c r="BC217" s="12"/>
      <c r="BD217" s="12"/>
      <c r="BE217" s="12"/>
      <c r="BF217" s="12"/>
      <c r="BG217" s="12"/>
      <c r="BH217" s="12"/>
      <c r="BI217" s="13"/>
    </row>
    <row r="218" spans="1:61" hidden="1">
      <c r="A218" s="212" t="s">
        <v>493</v>
      </c>
      <c r="B218" s="943"/>
      <c r="C218" s="943"/>
      <c r="D218" s="943"/>
      <c r="E218" s="14"/>
      <c r="F218" s="22" t="s">
        <v>306</v>
      </c>
      <c r="G218" s="214" t="str">
        <f t="shared" si="104"/>
        <v/>
      </c>
      <c r="H218" s="214" t="str">
        <f t="shared" si="104"/>
        <v/>
      </c>
      <c r="I218" s="214"/>
      <c r="J218" s="214" t="str">
        <f t="shared" si="104"/>
        <v/>
      </c>
      <c r="K218" s="214" t="str">
        <f t="shared" si="104"/>
        <v/>
      </c>
      <c r="L218" s="214"/>
      <c r="M218" s="214" t="str">
        <f t="shared" si="104"/>
        <v/>
      </c>
      <c r="N218" s="142" t="str">
        <f t="shared" si="104"/>
        <v/>
      </c>
      <c r="O218" s="44"/>
      <c r="P218" s="1493">
        <f t="shared" si="102"/>
        <v>0</v>
      </c>
      <c r="Q218" s="214">
        <f t="shared" si="102"/>
        <v>0</v>
      </c>
      <c r="R218" s="230"/>
      <c r="S218" s="214">
        <f t="shared" si="103"/>
        <v>0</v>
      </c>
      <c r="T218" s="214">
        <f t="shared" si="103"/>
        <v>0</v>
      </c>
      <c r="U218" s="230"/>
      <c r="V218" s="214"/>
      <c r="W218" s="1494">
        <f t="shared" si="105"/>
        <v>0</v>
      </c>
      <c r="Y218" s="12"/>
      <c r="Z218" s="453"/>
      <c r="AA218" s="453"/>
      <c r="AB218" s="67"/>
      <c r="AC218" s="995"/>
      <c r="AD218" s="891" t="s">
        <v>396</v>
      </c>
      <c r="AE218" s="1383" t="s">
        <v>456</v>
      </c>
      <c r="AF218" s="1444"/>
      <c r="AG218" s="1445">
        <f>IFERROR(K404,"")</f>
        <v>-3.8855112523342866E-4</v>
      </c>
      <c r="AH218" s="1412" t="s">
        <v>440</v>
      </c>
      <c r="AI218" s="1412"/>
      <c r="AJ218" s="1388"/>
      <c r="AK218" s="1408"/>
      <c r="AL218" s="1416"/>
      <c r="AM218" s="1416"/>
      <c r="AN218" s="16"/>
      <c r="AO218" s="13"/>
      <c r="AP218" s="13"/>
      <c r="AQ218" s="13"/>
      <c r="AR218" s="1405"/>
      <c r="AS218" s="67"/>
      <c r="AT218" s="995"/>
      <c r="AU218" s="12"/>
      <c r="AV218" s="12"/>
      <c r="AW218" s="12"/>
      <c r="AX218" s="12"/>
      <c r="AY218" s="12"/>
      <c r="AZ218" s="12"/>
      <c r="BA218" s="12"/>
      <c r="BB218" s="12"/>
      <c r="BC218" s="12"/>
      <c r="BD218" s="12"/>
      <c r="BE218" s="12"/>
      <c r="BF218" s="12"/>
      <c r="BG218" s="12"/>
      <c r="BH218" s="12"/>
      <c r="BI218" s="13"/>
    </row>
    <row r="219" spans="1:61" hidden="1">
      <c r="A219" s="212" t="s">
        <v>493</v>
      </c>
      <c r="B219" s="943"/>
      <c r="C219" s="943"/>
      <c r="D219" s="943"/>
      <c r="E219" s="14"/>
      <c r="F219" s="22" t="s">
        <v>424</v>
      </c>
      <c r="G219" s="214" t="str">
        <f t="shared" si="104"/>
        <v/>
      </c>
      <c r="H219" s="214" t="str">
        <f t="shared" si="104"/>
        <v/>
      </c>
      <c r="I219" s="214"/>
      <c r="J219" s="214" t="str">
        <f t="shared" si="104"/>
        <v/>
      </c>
      <c r="K219" s="214" t="str">
        <f t="shared" si="104"/>
        <v/>
      </c>
      <c r="L219" s="214"/>
      <c r="M219" s="214" t="str">
        <f t="shared" si="104"/>
        <v/>
      </c>
      <c r="N219" s="142" t="str">
        <f t="shared" si="104"/>
        <v/>
      </c>
      <c r="O219" s="44"/>
      <c r="P219" s="1493">
        <f t="shared" si="102"/>
        <v>0</v>
      </c>
      <c r="Q219" s="214">
        <f t="shared" si="102"/>
        <v>0</v>
      </c>
      <c r="R219" s="230"/>
      <c r="S219" s="214">
        <f t="shared" si="103"/>
        <v>0</v>
      </c>
      <c r="T219" s="214">
        <f t="shared" si="103"/>
        <v>0</v>
      </c>
      <c r="U219" s="230"/>
      <c r="V219" s="214"/>
      <c r="W219" s="1494">
        <f t="shared" si="105"/>
        <v>0</v>
      </c>
      <c r="Y219" s="12"/>
      <c r="Z219" s="453"/>
      <c r="AA219" s="453"/>
      <c r="AB219" s="67"/>
      <c r="AC219" s="995"/>
      <c r="AD219" s="1429"/>
      <c r="AE219" s="1418"/>
      <c r="AF219" s="1418"/>
      <c r="AG219" s="1418"/>
      <c r="AH219" s="1418"/>
      <c r="AI219" s="1418"/>
      <c r="AJ219" s="1388"/>
      <c r="AK219" s="1408"/>
      <c r="AL219" s="1416"/>
      <c r="AM219" s="1416"/>
      <c r="AN219" s="16"/>
      <c r="AO219" s="13"/>
      <c r="AP219" s="13"/>
      <c r="AQ219" s="13"/>
      <c r="AR219" s="1405"/>
      <c r="AS219" s="67"/>
      <c r="AT219" s="995"/>
      <c r="AU219" s="12"/>
      <c r="AV219" s="12"/>
      <c r="AW219" s="12"/>
      <c r="AX219" s="12"/>
      <c r="AY219" s="12"/>
      <c r="AZ219" s="12"/>
      <c r="BA219" s="12"/>
      <c r="BB219" s="12"/>
      <c r="BC219" s="12"/>
      <c r="BD219" s="12"/>
      <c r="BE219" s="12"/>
      <c r="BF219" s="12"/>
      <c r="BG219" s="12"/>
      <c r="BH219" s="12"/>
      <c r="BI219" s="13"/>
    </row>
    <row r="220" spans="1:61" ht="18" hidden="1" thickBot="1">
      <c r="A220" s="212" t="s">
        <v>493</v>
      </c>
      <c r="B220" s="943"/>
      <c r="C220" s="943"/>
      <c r="D220" s="943"/>
      <c r="E220" s="14"/>
      <c r="F220" s="22" t="s">
        <v>425</v>
      </c>
      <c r="G220" s="214" t="str">
        <f t="shared" si="104"/>
        <v/>
      </c>
      <c r="H220" s="214" t="str">
        <f t="shared" si="104"/>
        <v/>
      </c>
      <c r="I220" s="214"/>
      <c r="J220" s="214" t="str">
        <f t="shared" si="104"/>
        <v/>
      </c>
      <c r="K220" s="214" t="str">
        <f t="shared" si="104"/>
        <v/>
      </c>
      <c r="L220" s="214"/>
      <c r="M220" s="214" t="str">
        <f t="shared" si="104"/>
        <v/>
      </c>
      <c r="N220" s="142" t="str">
        <f t="shared" si="104"/>
        <v/>
      </c>
      <c r="O220" s="44"/>
      <c r="P220" s="1495">
        <f t="shared" si="102"/>
        <v>0</v>
      </c>
      <c r="Q220" s="1496">
        <f t="shared" si="102"/>
        <v>0</v>
      </c>
      <c r="R220" s="1497"/>
      <c r="S220" s="1496">
        <f t="shared" si="103"/>
        <v>0</v>
      </c>
      <c r="T220" s="1496">
        <f t="shared" si="103"/>
        <v>0</v>
      </c>
      <c r="U220" s="1497"/>
      <c r="V220" s="1496"/>
      <c r="W220" s="1498">
        <f t="shared" si="105"/>
        <v>0</v>
      </c>
      <c r="Y220" s="12"/>
      <c r="Z220" s="453"/>
      <c r="AA220" s="453"/>
      <c r="AB220" s="67"/>
      <c r="AC220" s="995"/>
      <c r="AD220" s="891" t="s">
        <v>396</v>
      </c>
      <c r="AE220" s="1383" t="s">
        <v>1451</v>
      </c>
      <c r="AF220" s="1444"/>
      <c r="AG220" s="1446">
        <f>F404</f>
        <v>9.9536653965742641</v>
      </c>
      <c r="AH220" s="1387" t="s">
        <v>132</v>
      </c>
      <c r="AI220" s="1412"/>
      <c r="AJ220" s="1388"/>
      <c r="AK220" s="1408"/>
      <c r="AL220" s="1416"/>
      <c r="AM220" s="1416"/>
      <c r="AN220" s="16"/>
      <c r="AO220" s="13"/>
      <c r="AP220" s="13"/>
      <c r="AQ220" s="13"/>
      <c r="AR220" s="1405"/>
      <c r="AS220" s="67"/>
      <c r="AT220" s="995"/>
      <c r="AU220" s="12"/>
      <c r="AV220" s="12"/>
      <c r="AW220" s="12"/>
      <c r="AX220" s="12"/>
      <c r="AY220" s="12"/>
      <c r="AZ220" s="12"/>
      <c r="BA220" s="12"/>
      <c r="BB220" s="12"/>
      <c r="BC220" s="12"/>
      <c r="BD220" s="12"/>
      <c r="BE220" s="12"/>
      <c r="BF220" s="12"/>
      <c r="BG220" s="12"/>
      <c r="BH220" s="12"/>
      <c r="BI220" s="13"/>
    </row>
    <row r="221" spans="1:61" ht="18.5" hidden="1" thickTop="1" thickBot="1">
      <c r="A221" s="212" t="s">
        <v>493</v>
      </c>
      <c r="B221" s="943"/>
      <c r="C221" s="943"/>
      <c r="D221" s="943"/>
      <c r="E221" s="14"/>
      <c r="F221" s="43"/>
      <c r="G221" s="55"/>
      <c r="H221" s="55"/>
      <c r="I221" s="53"/>
      <c r="J221" s="55"/>
      <c r="K221" s="56"/>
      <c r="L221" s="148"/>
      <c r="M221" s="54"/>
      <c r="N221" s="16"/>
      <c r="O221" s="44"/>
      <c r="P221" s="1499"/>
      <c r="Q221" s="1500"/>
      <c r="R221" s="1500"/>
      <c r="S221" s="1500"/>
      <c r="T221" s="1500"/>
      <c r="U221" s="1500"/>
      <c r="V221" s="1501"/>
      <c r="W221" s="1502"/>
      <c r="X221" s="39"/>
      <c r="Y221" s="12"/>
      <c r="Z221" s="453"/>
      <c r="AA221" s="453"/>
      <c r="AB221" s="67"/>
      <c r="AC221" s="995"/>
      <c r="AD221" s="1435"/>
      <c r="AE221" s="1416"/>
      <c r="AF221" s="1419"/>
      <c r="AG221" s="1419"/>
      <c r="AH221" s="1419"/>
      <c r="AI221" s="1418"/>
      <c r="AJ221" s="1418"/>
      <c r="AK221" s="1417"/>
      <c r="AL221" s="1416"/>
      <c r="AM221" s="1416"/>
      <c r="AN221" s="16"/>
      <c r="AO221" s="13"/>
      <c r="AP221" s="13"/>
      <c r="AQ221" s="13"/>
      <c r="AR221" s="1405"/>
      <c r="AS221" s="67"/>
      <c r="AT221" s="995"/>
      <c r="AU221" s="12"/>
      <c r="AV221" s="12"/>
      <c r="AW221" s="12"/>
      <c r="AX221" s="12"/>
      <c r="AY221" s="12"/>
      <c r="AZ221" s="12"/>
      <c r="BA221" s="12"/>
      <c r="BB221" s="12"/>
      <c r="BC221" s="12"/>
      <c r="BD221" s="12"/>
      <c r="BE221" s="12"/>
      <c r="BF221" s="12"/>
      <c r="BG221" s="12"/>
      <c r="BH221" s="12"/>
      <c r="BI221" s="13"/>
    </row>
    <row r="222" spans="1:61">
      <c r="A222" s="212"/>
      <c r="B222" s="943"/>
      <c r="C222" s="943"/>
      <c r="D222" s="943"/>
      <c r="E222" s="14"/>
      <c r="F222" s="43" t="s">
        <v>517</v>
      </c>
      <c r="G222" s="17"/>
      <c r="H222" s="17"/>
      <c r="I222" s="1"/>
      <c r="J222" s="12"/>
      <c r="K222" s="36"/>
      <c r="L222" s="148"/>
      <c r="M222" s="54"/>
      <c r="N222" s="16"/>
      <c r="O222" s="44"/>
      <c r="P222" s="899"/>
      <c r="Q222" s="899"/>
      <c r="R222" s="899"/>
      <c r="S222" s="899"/>
      <c r="T222" s="899"/>
      <c r="U222" s="899"/>
      <c r="V222" s="39"/>
      <c r="W222" s="39"/>
      <c r="X222" s="39"/>
      <c r="Y222" s="12"/>
      <c r="Z222" s="453"/>
      <c r="AA222" s="453"/>
      <c r="AB222" s="67"/>
      <c r="AC222" s="995"/>
      <c r="AD222" s="1432"/>
      <c r="AE222" s="1692" t="str">
        <f>_xlfn.CONCAT("Informatief: Klimaatmonitor en DPG in ",$P$24," ",$P$25)</f>
        <v>Informatief: Klimaatmonitor en DPG in GPR 4.4 nieuwbouw</v>
      </c>
      <c r="AF222" s="1452"/>
      <c r="AG222" s="1694" t="str">
        <f>_xlfn.CONCAT("Grenswaarde GPR bij doelmethode ",P27)</f>
        <v>Grenswaarde GPR bij doelmethode NTA 8800</v>
      </c>
      <c r="AH222" s="1695"/>
      <c r="AI222" s="1453"/>
      <c r="AJ222" s="1694" t="str">
        <f>_xlfn.CONCAT("Broeikasgas-emissie tgv")</f>
        <v>Broeikasgas-emissie tgv</v>
      </c>
      <c r="AK222" s="1695"/>
      <c r="AL222" s="1695"/>
      <c r="AM222" s="1453"/>
      <c r="AN222" s="1694" t="s">
        <v>1711</v>
      </c>
      <c r="AO222" s="1695"/>
      <c r="AP222" s="1695"/>
      <c r="AQ222" s="13"/>
      <c r="AR222" s="1405"/>
      <c r="AS222" s="67"/>
      <c r="AT222" s="995"/>
      <c r="AU222" s="12"/>
      <c r="AV222" s="12"/>
      <c r="AW222" s="12"/>
      <c r="AX222" s="12"/>
      <c r="AY222" s="12"/>
      <c r="AZ222" s="12"/>
      <c r="BA222" s="12"/>
      <c r="BB222" s="12"/>
      <c r="BC222" s="12"/>
      <c r="BD222" s="12"/>
      <c r="BE222" s="12"/>
      <c r="BF222" s="12"/>
      <c r="BG222" s="12"/>
      <c r="BH222" s="12"/>
      <c r="BI222" s="13"/>
    </row>
    <row r="223" spans="1:61" s="211" customFormat="1">
      <c r="A223" s="212"/>
      <c r="B223" s="1092"/>
      <c r="C223" s="1092"/>
      <c r="D223" s="1092"/>
      <c r="E223" s="210"/>
      <c r="F223" s="911"/>
      <c r="G223" s="911"/>
      <c r="H223" s="911"/>
      <c r="I223" s="911"/>
      <c r="J223" s="911"/>
      <c r="K223" s="911"/>
      <c r="L223" s="911"/>
      <c r="M223" s="911"/>
      <c r="N223" s="918"/>
      <c r="O223" s="44"/>
      <c r="P223" s="899"/>
      <c r="Q223" s="899"/>
      <c r="R223" s="899"/>
      <c r="S223" s="899"/>
      <c r="T223" s="899"/>
      <c r="U223" s="899"/>
      <c r="V223" s="39"/>
      <c r="W223" s="39"/>
      <c r="X223" s="39"/>
      <c r="Y223" s="12"/>
      <c r="Z223" s="453"/>
      <c r="AA223" s="453"/>
      <c r="AB223" s="1394"/>
      <c r="AC223" s="1002"/>
      <c r="AD223" s="1436"/>
      <c r="AE223" s="1693"/>
      <c r="AF223" s="1453"/>
      <c r="AG223" s="1695"/>
      <c r="AH223" s="1695"/>
      <c r="AI223" s="1454"/>
      <c r="AJ223" s="1695"/>
      <c r="AK223" s="1695"/>
      <c r="AL223" s="1695"/>
      <c r="AM223" s="1454"/>
      <c r="AN223" s="1695"/>
      <c r="AO223" s="1695"/>
      <c r="AP223" s="1695"/>
      <c r="AQ223" s="1409"/>
      <c r="AR223" s="1409"/>
      <c r="AS223" s="1394"/>
      <c r="AT223" s="1002"/>
      <c r="AU223" s="12"/>
      <c r="AV223" s="12"/>
      <c r="AW223" s="12"/>
      <c r="AX223" s="12"/>
      <c r="AY223" s="12"/>
      <c r="AZ223" s="12"/>
      <c r="BA223" s="12"/>
      <c r="BB223" s="12"/>
      <c r="BC223" s="12"/>
      <c r="BD223" s="12"/>
      <c r="BE223" s="12"/>
      <c r="BF223" s="12"/>
      <c r="BG223" s="12"/>
      <c r="BH223" s="12"/>
      <c r="BI223" s="13"/>
    </row>
    <row r="224" spans="1:61" ht="30.75" customHeight="1">
      <c r="B224" s="943"/>
      <c r="C224" s="943"/>
      <c r="D224" s="943"/>
      <c r="E224" s="14"/>
      <c r="F224" s="911"/>
      <c r="G224" s="911" t="str">
        <f>INDEX(tabellen_EMD!$C$269:$X$274,MATCH(G$226,tabellen_EMD!$C$269:$C$274,0),MATCH(EP_versie_scope_functie_methode,tabellen_EMD!$C$269:$X$269,0))</f>
        <v>aardgas</v>
      </c>
      <c r="H224" s="911" t="str">
        <f>INDEX(tabellen_EMD!$C$269:$X$274,MATCH(H$226,tabellen_EMD!$C$269:$C$274,0),MATCH(EP_versie_scope_functie_methode,tabellen_EMD!$C$269:$X$269,0))</f>
        <v>elektriciteit: gebruik gebouwgebonden installaties</v>
      </c>
      <c r="I224" s="911"/>
      <c r="J224" s="911" t="str">
        <f>INDEX(tabellen_EMD!$C$269:$X$274,MATCH(J$226,tabellen_EMD!$C$269:$C$274,0),MATCH(EP_versie_scope_functie_methode,tabellen_EMD!$C$269:$X$269,0))</f>
        <v>elektriciteit: opgewekt</v>
      </c>
      <c r="K224" s="911" t="str">
        <f>INDEX(tabellen_EMD!$C$269:$X$274,MATCH(K$226,tabellen_EMD!$C$269:$C$274,0),MATCH(EP_versie_scope_functie_methode,tabellen_EMD!$C$269:$X$269,0))</f>
        <v>externe warmte</v>
      </c>
      <c r="L224" s="911"/>
      <c r="M224" s="911" t="str">
        <f>INDEX(tabellen_EMD!$C$269:$X$274,MATCH(M$226,tabellen_EMD!$C$269:$C$274,0),MATCH(EP_versie_scope_functie_methode,tabellen_EMD!$C$269:$X$269,0))</f>
        <v>hout/biomassa</v>
      </c>
      <c r="N224" s="918" t="s">
        <v>1594</v>
      </c>
      <c r="O224" s="44"/>
      <c r="P224" s="899"/>
      <c r="Q224" s="899"/>
      <c r="R224" s="899"/>
      <c r="S224" s="899"/>
      <c r="T224" s="899"/>
      <c r="U224" s="899"/>
      <c r="V224" s="39"/>
      <c r="W224" s="39"/>
      <c r="X224" s="39"/>
      <c r="Y224" s="12"/>
      <c r="Z224" s="453"/>
      <c r="AA224" s="453"/>
      <c r="AB224" s="67"/>
      <c r="AC224" s="995"/>
      <c r="AD224" s="891"/>
      <c r="AE224" s="891"/>
      <c r="AF224" s="891"/>
      <c r="AG224" s="1420" t="s">
        <v>1635</v>
      </c>
      <c r="AH224" s="1420" t="s">
        <v>1636</v>
      </c>
      <c r="AI224" s="1415"/>
      <c r="AJ224" s="1420" t="str">
        <f>_xlfn.CONCAT("energie
(",$P$27,")")</f>
        <v>energie
(NTA 8800)</v>
      </c>
      <c r="AK224" s="1420" t="s">
        <v>1637</v>
      </c>
      <c r="AL224" s="1420" t="s">
        <v>1391</v>
      </c>
      <c r="AM224" s="1420"/>
      <c r="AN224" s="1420" t="s">
        <v>538</v>
      </c>
      <c r="AO224" s="1420" t="s">
        <v>431</v>
      </c>
      <c r="AP224" s="1420" t="s">
        <v>456</v>
      </c>
      <c r="AQ224" s="1420"/>
      <c r="AR224" s="1420" t="s">
        <v>484</v>
      </c>
      <c r="AS224" s="67"/>
      <c r="AT224" s="995"/>
      <c r="AU224" s="12"/>
      <c r="AV224" s="12"/>
      <c r="AW224" s="12"/>
      <c r="AX224" s="12"/>
      <c r="AY224" s="12"/>
      <c r="AZ224" s="12"/>
      <c r="BA224" s="12"/>
      <c r="BB224" s="12"/>
      <c r="BC224" s="12"/>
      <c r="BD224" s="12"/>
      <c r="BE224" s="12"/>
      <c r="BF224" s="12"/>
      <c r="BG224" s="12"/>
      <c r="BH224" s="12"/>
      <c r="BI224" s="13"/>
    </row>
    <row r="225" spans="1:61" s="211" customFormat="1" ht="32">
      <c r="A225" s="1091"/>
      <c r="B225" s="1092"/>
      <c r="C225" s="1092"/>
      <c r="D225" s="1092"/>
      <c r="E225" s="210"/>
      <c r="F225" s="911" t="s">
        <v>204</v>
      </c>
      <c r="G225" s="911" t="str">
        <f>INDEX(tabellen_EMD!$C$277:$Z$282,MATCH(G$204,tabellen_EMD!$C$285:$C$290,0),MATCH(EP_versie_scope_functie_methode,tabellen_EMD!$C$285:$Z$285,0))</f>
        <v>m3</v>
      </c>
      <c r="H225" s="911" t="str">
        <f>INDEX(tabellen_EMD!$C$277:$Z$282,MATCH(H$204,tabellen_EMD!$C$285:$C$290,0),MATCH(EP_versie_scope_functie_methode,tabellen_EMD!$C$285:$Z$285,0))</f>
        <v>kWh</v>
      </c>
      <c r="I225" s="911"/>
      <c r="J225" s="911" t="str">
        <f>INDEX(tabellen_EMD!$C$277:$Z$282,MATCH(J$204,tabellen_EMD!$C$285:$C$290,0),MATCH(EP_versie_scope_functie_methode,tabellen_EMD!$C$285:$Z$285,0))</f>
        <v>kWh</v>
      </c>
      <c r="K225" s="911" t="str">
        <f>INDEX(tabellen_EMD!$C$277:$Z$282,MATCH(K$204,tabellen_EMD!$C$285:$C$290,0),MATCH(EP_versie_scope_functie_methode,tabellen_EMD!$C$285:$Z$285,0))</f>
        <v>GJ</v>
      </c>
      <c r="L225" s="911"/>
      <c r="M225" s="911" t="str">
        <f>INDEX(tabellen_EMD!$C$277:$Z$282,MATCH(M$204,tabellen_EMD!$C$285:$C$290,0),MATCH(EP_versie_scope_functie_methode,tabellen_EMD!$C$285:$Z$285,0))</f>
        <v>kWh</v>
      </c>
      <c r="N225" s="911" t="s">
        <v>562</v>
      </c>
      <c r="O225" s="44"/>
      <c r="P225" s="899"/>
      <c r="Q225" s="899"/>
      <c r="R225" s="899"/>
      <c r="S225" s="899"/>
      <c r="T225" s="899"/>
      <c r="U225" s="899"/>
      <c r="V225" s="39"/>
      <c r="W225" s="39"/>
      <c r="X225" s="39"/>
      <c r="Y225" s="12"/>
      <c r="Z225" s="453"/>
      <c r="AA225" s="453"/>
      <c r="AB225" s="1394"/>
      <c r="AC225" s="1002"/>
      <c r="AD225" s="1436"/>
      <c r="AE225" s="1436"/>
      <c r="AF225" s="1436"/>
      <c r="AG225" s="1420" t="s">
        <v>440</v>
      </c>
      <c r="AH225" s="1420" t="s">
        <v>440</v>
      </c>
      <c r="AI225" s="1415"/>
      <c r="AJ225" s="1420" t="s">
        <v>1595</v>
      </c>
      <c r="AK225" s="1420" t="s">
        <v>1595</v>
      </c>
      <c r="AL225" s="1420" t="s">
        <v>1595</v>
      </c>
      <c r="AM225" s="1420"/>
      <c r="AN225" s="1420" t="s">
        <v>440</v>
      </c>
      <c r="AO225" s="1420" t="s">
        <v>440</v>
      </c>
      <c r="AP225" s="1420" t="s">
        <v>440</v>
      </c>
      <c r="AQ225" s="1420"/>
      <c r="AR225" s="1420" t="s">
        <v>132</v>
      </c>
      <c r="AS225" s="1394"/>
      <c r="AT225" s="1002"/>
      <c r="AU225" s="12"/>
      <c r="AV225" s="12"/>
      <c r="AW225" s="12"/>
      <c r="AX225" s="12"/>
      <c r="AY225" s="12"/>
      <c r="AZ225" s="12"/>
      <c r="BA225" s="12"/>
      <c r="BB225" s="12"/>
      <c r="BC225" s="12"/>
      <c r="BD225" s="12"/>
      <c r="BE225" s="12"/>
      <c r="BF225" s="12"/>
      <c r="BG225" s="12"/>
      <c r="BH225" s="12"/>
      <c r="BI225" s="13"/>
    </row>
    <row r="226" spans="1:61" ht="32" hidden="1">
      <c r="A226" s="212" t="s">
        <v>493</v>
      </c>
      <c r="B226" s="943"/>
      <c r="C226" s="943"/>
      <c r="D226" s="943"/>
      <c r="E226" s="14"/>
      <c r="F226" s="911" t="s">
        <v>458</v>
      </c>
      <c r="G226" s="918" t="str">
        <f>tabellen_EMD!$C$302</f>
        <v>aardgas</v>
      </c>
      <c r="H226" s="918" t="str">
        <f>tabellen_EMD!$C$303</f>
        <v>elektriciteit</v>
      </c>
      <c r="I226" s="911"/>
      <c r="J226" s="918" t="str">
        <f>tabellen_EMD!$C$304</f>
        <v>elektriciteit opgewekt</v>
      </c>
      <c r="K226" s="918" t="str">
        <f>tabellen_EMD!$C$305</f>
        <v>externe warmte</v>
      </c>
      <c r="L226" s="911"/>
      <c r="M226" s="918" t="str">
        <f>tabellen_EMD!$C$306</f>
        <v>hout / biomassa</v>
      </c>
      <c r="N226" s="918" t="s">
        <v>1594</v>
      </c>
      <c r="O226" s="44"/>
      <c r="P226" s="899"/>
      <c r="Q226" s="899"/>
      <c r="R226" s="899"/>
      <c r="S226" s="899"/>
      <c r="T226" s="899"/>
      <c r="U226" s="899"/>
      <c r="V226" s="39"/>
      <c r="W226" s="39"/>
      <c r="X226" s="39"/>
      <c r="Y226" s="12"/>
      <c r="Z226" s="453"/>
      <c r="AA226" s="453"/>
      <c r="AB226" s="67"/>
      <c r="AC226" s="995"/>
      <c r="AD226" s="1432"/>
      <c r="AE226" s="1432"/>
      <c r="AF226" s="1432"/>
      <c r="AG226" s="1432"/>
      <c r="AH226" s="1432"/>
      <c r="AI226" s="1432"/>
      <c r="AJ226" s="1432"/>
      <c r="AK226" s="1432"/>
      <c r="AL226" s="1432"/>
      <c r="AM226" s="1432"/>
      <c r="AN226" s="1432"/>
      <c r="AO226" s="1432"/>
      <c r="AP226" s="1432"/>
      <c r="AQ226" s="1432"/>
      <c r="AR226" s="1432"/>
      <c r="AS226" s="67"/>
      <c r="AT226" s="995"/>
      <c r="AU226" s="12"/>
      <c r="AV226" s="12"/>
      <c r="AW226" s="12"/>
      <c r="AX226" s="12"/>
      <c r="AY226" s="12"/>
      <c r="AZ226" s="12"/>
      <c r="BA226" s="12"/>
      <c r="BB226" s="12"/>
      <c r="BC226" s="12"/>
      <c r="BD226" s="12"/>
      <c r="BE226" s="12"/>
      <c r="BF226" s="12"/>
      <c r="BG226" s="12"/>
      <c r="BH226" s="12"/>
      <c r="BI226" s="13"/>
    </row>
    <row r="227" spans="1:61" s="211" customFormat="1" hidden="1">
      <c r="A227" s="212" t="s">
        <v>493</v>
      </c>
      <c r="B227" s="1092"/>
      <c r="C227" s="1092"/>
      <c r="D227" s="1092"/>
      <c r="E227" s="210"/>
      <c r="F227" s="22" t="s">
        <v>553</v>
      </c>
      <c r="G227" s="186">
        <f>INDEX(tabellen_EMD!$C$301:$R$306,MATCH(G$226,tabellen_EMD!$C$301:$C$306,0),MATCH($P$24,tabellen_EMD!$C$301:$R$301,0))</f>
        <v>0.12266000000000001</v>
      </c>
      <c r="H227" s="186">
        <f>INDEX(tabellen_EMD!$C$301:$R$306,MATCH(H$226,tabellen_EMD!$C$301:$C$306,0),MATCH($P$24,tabellen_EMD!$C$301:$R$301,0))</f>
        <v>3.6199000000000002E-2</v>
      </c>
      <c r="I227" s="911"/>
      <c r="J227" s="186">
        <f>INDEX(tabellen_EMD!$C$301:$R$306,MATCH(J$226,tabellen_EMD!$C$301:$C$306,0),MATCH($P$24,tabellen_EMD!$C$301:$R$301,0))</f>
        <v>-3.6199000000000002E-2</v>
      </c>
      <c r="K227" s="186">
        <f>INDEX(tabellen_EMD!$C$301:$R$306,MATCH(K$226,tabellen_EMD!$C$301:$C$306,0),MATCH($P$24,tabellen_EMD!$C$301:$R$301,0))</f>
        <v>5.2314472561842482</v>
      </c>
      <c r="L227" s="911"/>
      <c r="M227" s="186">
        <f>INDEX(tabellen_EMD!$C$301:$R$306,MATCH(M$226,tabellen_EMD!$C$301:$C$306,0),MATCH($P$24,tabellen_EMD!$C$301:$R$301,0))</f>
        <v>7.2647999999999992E-3</v>
      </c>
      <c r="N227" s="911"/>
      <c r="O227" s="44"/>
      <c r="P227" s="899"/>
      <c r="Q227" s="899"/>
      <c r="R227" s="899"/>
      <c r="S227" s="899"/>
      <c r="T227" s="899"/>
      <c r="U227" s="899"/>
      <c r="V227" s="39"/>
      <c r="W227" s="39"/>
      <c r="X227" s="39"/>
      <c r="Y227" s="12"/>
      <c r="Z227" s="453"/>
      <c r="AA227" s="453"/>
      <c r="AB227" s="1394"/>
      <c r="AC227" s="1002"/>
      <c r="AD227" s="1436"/>
      <c r="AE227" s="1436"/>
      <c r="AF227" s="1436"/>
      <c r="AG227" s="1436"/>
      <c r="AH227" s="1436"/>
      <c r="AI227" s="1436"/>
      <c r="AJ227" s="1436"/>
      <c r="AK227" s="1436"/>
      <c r="AL227" s="1436"/>
      <c r="AM227" s="1436"/>
      <c r="AN227" s="1436"/>
      <c r="AO227" s="1436"/>
      <c r="AP227" s="1436"/>
      <c r="AQ227" s="1436"/>
      <c r="AR227" s="1436"/>
      <c r="AS227" s="1394"/>
      <c r="AT227" s="1002"/>
      <c r="AU227" s="12"/>
      <c r="AV227" s="12"/>
      <c r="AW227" s="12"/>
      <c r="AX227" s="12"/>
      <c r="AY227" s="12"/>
      <c r="AZ227" s="12"/>
      <c r="BA227" s="12"/>
      <c r="BB227" s="12"/>
      <c r="BC227" s="12"/>
      <c r="BD227" s="12"/>
      <c r="BE227" s="12"/>
      <c r="BF227" s="12"/>
      <c r="BG227" s="12"/>
      <c r="BH227" s="12"/>
      <c r="BI227" s="13"/>
    </row>
    <row r="228" spans="1:61" s="211" customFormat="1" hidden="1">
      <c r="A228" s="212" t="s">
        <v>493</v>
      </c>
      <c r="B228" s="1092"/>
      <c r="C228" s="1092"/>
      <c r="D228" s="1092"/>
      <c r="E228" s="210"/>
      <c r="F228" s="22" t="s">
        <v>204</v>
      </c>
      <c r="G228" s="186" t="str">
        <f>INDEX(tabellen_EMD!$C$301:$R$306,MATCH(G$226,tabellen_EMD!$C$301:$C$306,0),MATCH($P$24&amp;" | eenheid",tabellen_EMD!$C$301:$R$301,0))</f>
        <v>euro/m3</v>
      </c>
      <c r="H228" s="186" t="str">
        <f>INDEX(tabellen_EMD!$C$301:$R$306,MATCH(H$226,tabellen_EMD!$C$301:$C$306,0),MATCH($P$24&amp;" | eenheid",tabellen_EMD!$C$301:$R$301,0))</f>
        <v>euro/kWh</v>
      </c>
      <c r="I228" s="911"/>
      <c r="J228" s="186" t="str">
        <f>INDEX(tabellen_EMD!$C$301:$R$306,MATCH(J$226,tabellen_EMD!$C$301:$C$306,0),MATCH($P$24&amp;" | eenheid",tabellen_EMD!$C$301:$R$301,0))</f>
        <v>euro/kWh</v>
      </c>
      <c r="K228" s="186" t="str">
        <f>INDEX(tabellen_EMD!$C$301:$R$306,MATCH(K$226,tabellen_EMD!$C$301:$C$306,0),MATCH($P$24&amp;" | eenheid",tabellen_EMD!$C$301:$R$301,0))</f>
        <v>euro/GJ</v>
      </c>
      <c r="L228" s="911"/>
      <c r="M228" s="186" t="str">
        <f>INDEX(tabellen_EMD!$C$301:$R$306,MATCH(M$226,tabellen_EMD!$C$301:$C$306,0),MATCH($P$24&amp;" | eenheid",tabellen_EMD!$C$301:$R$301,0))</f>
        <v>euro/kg</v>
      </c>
      <c r="N228" s="911"/>
      <c r="O228" s="44"/>
      <c r="P228" s="899"/>
      <c r="Q228" s="899"/>
      <c r="R228" s="899"/>
      <c r="S228" s="899"/>
      <c r="T228" s="899"/>
      <c r="U228" s="899"/>
      <c r="V228" s="39"/>
      <c r="W228" s="39"/>
      <c r="X228" s="39"/>
      <c r="Y228" s="12"/>
      <c r="Z228" s="453"/>
      <c r="AA228" s="453"/>
      <c r="AB228" s="1394"/>
      <c r="AC228" s="1002"/>
      <c r="AD228" s="1436"/>
      <c r="AE228" s="1436"/>
      <c r="AF228" s="1436"/>
      <c r="AG228" s="1436"/>
      <c r="AH228" s="1436"/>
      <c r="AI228" s="1436"/>
      <c r="AJ228" s="1436"/>
      <c r="AK228" s="1436"/>
      <c r="AL228" s="1436"/>
      <c r="AM228" s="1436"/>
      <c r="AN228" s="1436"/>
      <c r="AO228" s="1436"/>
      <c r="AP228" s="1436"/>
      <c r="AQ228" s="1436"/>
      <c r="AR228" s="1436"/>
      <c r="AS228" s="1394"/>
      <c r="AT228" s="1002"/>
      <c r="AU228" s="12"/>
      <c r="AV228" s="12"/>
      <c r="AW228" s="12"/>
      <c r="AX228" s="12"/>
      <c r="AY228" s="12"/>
      <c r="AZ228" s="12"/>
      <c r="BA228" s="12"/>
      <c r="BB228" s="12"/>
      <c r="BC228" s="12"/>
      <c r="BD228" s="12"/>
      <c r="BE228" s="12"/>
      <c r="BF228" s="12"/>
      <c r="BG228" s="12"/>
      <c r="BH228" s="12"/>
      <c r="BI228" s="13"/>
    </row>
    <row r="229" spans="1:61" s="211" customFormat="1" hidden="1">
      <c r="A229" s="212" t="s">
        <v>493</v>
      </c>
      <c r="B229" s="1092"/>
      <c r="C229" s="1092"/>
      <c r="D229" s="1092"/>
      <c r="E229" s="210"/>
      <c r="F229" s="22" t="s">
        <v>510</v>
      </c>
      <c r="G229" s="186">
        <f>INDEX(tabellen_EMD!$C$301:$R$306,MATCH(G$226,tabellen_EMD!$C$301:$C$306,0),MATCH($P$24&amp;" | GWP E",tabellen_EMD!$C$301:$R$301,0))</f>
        <v>2.1019999999999999</v>
      </c>
      <c r="H229" s="186">
        <f>INDEX(tabellen_EMD!$C$301:$R$306,MATCH(H$226,tabellen_EMD!$C$301:$C$306,0),MATCH($P$24&amp;" | GWP E",tabellen_EMD!$C$301:$R$301,0))</f>
        <v>0.48699999999999999</v>
      </c>
      <c r="I229" s="911"/>
      <c r="J229" s="186">
        <f>INDEX(tabellen_EMD!$C$301:$R$306,MATCH(J$226,tabellen_EMD!$C$301:$C$306,0),MATCH($P$24&amp;" | GWP E",tabellen_EMD!$C$301:$R$301,0))</f>
        <v>-0.48699999999999999</v>
      </c>
      <c r="K229" s="186">
        <f>INDEX(tabellen_EMD!$C$301:$R$306,MATCH(K$226,tabellen_EMD!$C$301:$C$306,0),MATCH($P$24&amp;" | GWP E",tabellen_EMD!$C$301:$R$301,0))</f>
        <v>89.650270116576607</v>
      </c>
      <c r="L229" s="911"/>
      <c r="M229" s="186">
        <f>INDEX(tabellen_EMD!$C$301:$R$306,MATCH(M$226,tabellen_EMD!$C$301:$C$306,0),MATCH($P$24&amp;" | GWP E",tabellen_EMD!$C$301:$R$301,0))</f>
        <v>3.9581999999999999E-2</v>
      </c>
      <c r="N229" s="911"/>
      <c r="O229" s="44"/>
      <c r="P229" s="899"/>
      <c r="Q229" s="899"/>
      <c r="R229" s="899"/>
      <c r="S229" s="899"/>
      <c r="T229" s="899"/>
      <c r="U229" s="899"/>
      <c r="V229" s="39"/>
      <c r="W229" s="39"/>
      <c r="X229" s="39"/>
      <c r="Y229" s="12"/>
      <c r="Z229" s="453"/>
      <c r="AA229" s="453"/>
      <c r="AB229" s="1394"/>
      <c r="AC229" s="1002"/>
      <c r="AD229" s="1436"/>
      <c r="AE229" s="1436"/>
      <c r="AF229" s="1436"/>
      <c r="AG229" s="1436"/>
      <c r="AH229" s="1436"/>
      <c r="AI229" s="1436"/>
      <c r="AJ229" s="1436"/>
      <c r="AK229" s="1436"/>
      <c r="AL229" s="1436"/>
      <c r="AM229" s="1436"/>
      <c r="AN229" s="1436"/>
      <c r="AO229" s="1436"/>
      <c r="AP229" s="1436"/>
      <c r="AQ229" s="1436"/>
      <c r="AR229" s="1436"/>
      <c r="AS229" s="1394"/>
      <c r="AT229" s="1002"/>
      <c r="AU229" s="12"/>
      <c r="AV229" s="12"/>
      <c r="AW229" s="12"/>
      <c r="AX229" s="12"/>
      <c r="AY229" s="12"/>
      <c r="AZ229" s="12"/>
      <c r="BA229" s="12"/>
      <c r="BB229" s="12"/>
      <c r="BC229" s="12"/>
      <c r="BD229" s="12"/>
      <c r="BE229" s="12"/>
      <c r="BF229" s="12"/>
      <c r="BG229" s="12"/>
      <c r="BH229" s="12"/>
      <c r="BI229" s="13"/>
    </row>
    <row r="230" spans="1:61" s="211" customFormat="1" hidden="1">
      <c r="A230" s="212" t="s">
        <v>493</v>
      </c>
      <c r="B230" s="1092"/>
      <c r="C230" s="1092"/>
      <c r="D230" s="1092"/>
      <c r="E230" s="210"/>
      <c r="F230" s="22" t="s">
        <v>204</v>
      </c>
      <c r="G230" s="186" t="str">
        <f>INDEX(tabellen_EMD!$C$301:$S$306,MATCH(G$226,tabellen_EMD!$C$301:$C$306,0),MATCH($P$24&amp;" | GWP eenheid",tabellen_EMD!$C$301:$S$301,0))</f>
        <v>kg/m3</v>
      </c>
      <c r="H230" s="186" t="str">
        <f>INDEX(tabellen_EMD!$C$301:$S$306,MATCH(H$226,tabellen_EMD!$C$301:$C$306,0),MATCH($P$24&amp;" | GWP eenheid",tabellen_EMD!$C$301:$S$301,0))</f>
        <v>kg/kWh</v>
      </c>
      <c r="I230" s="911"/>
      <c r="J230" s="186" t="str">
        <f>INDEX(tabellen_EMD!$C$301:$S$306,MATCH(J$226,tabellen_EMD!$C$301:$C$306,0),MATCH($P$24&amp;" | GWP eenheid",tabellen_EMD!$C$301:$S$301,0))</f>
        <v>kg/kWh</v>
      </c>
      <c r="K230" s="186" t="str">
        <f>INDEX(tabellen_EMD!$C$301:$S$306,MATCH(K$226,tabellen_EMD!$C$301:$C$306,0),MATCH($P$24&amp;" | GWP eenheid",tabellen_EMD!$C$301:$S$301,0))</f>
        <v>kg/GJ</v>
      </c>
      <c r="L230" s="911"/>
      <c r="M230" s="186" t="str">
        <f>INDEX(tabellen_EMD!$C$301:$S$306,MATCH(M$226,tabellen_EMD!$C$301:$C$306,0),MATCH($P$24&amp;" | GWP eenheid",tabellen_EMD!$C$301:$S$301,0))</f>
        <v>kg/kg</v>
      </c>
      <c r="N230" s="911"/>
      <c r="O230" s="44"/>
      <c r="P230" s="899"/>
      <c r="Q230" s="899"/>
      <c r="R230" s="899"/>
      <c r="S230" s="899"/>
      <c r="T230" s="899"/>
      <c r="U230" s="899"/>
      <c r="V230" s="39"/>
      <c r="W230" s="39"/>
      <c r="X230" s="39"/>
      <c r="Y230" s="12"/>
      <c r="Z230" s="453"/>
      <c r="AA230" s="453"/>
      <c r="AB230" s="1394"/>
      <c r="AC230" s="1002"/>
      <c r="AD230" s="1436"/>
      <c r="AE230" s="1436"/>
      <c r="AF230" s="1436"/>
      <c r="AG230" s="1436"/>
      <c r="AH230" s="1436"/>
      <c r="AI230" s="1436"/>
      <c r="AJ230" s="1436"/>
      <c r="AK230" s="1436"/>
      <c r="AL230" s="1436"/>
      <c r="AM230" s="1436"/>
      <c r="AN230" s="1436"/>
      <c r="AO230" s="1436"/>
      <c r="AP230" s="1436"/>
      <c r="AQ230" s="1436"/>
      <c r="AR230" s="1436"/>
      <c r="AS230" s="1394"/>
      <c r="AT230" s="1002"/>
      <c r="AU230" s="12"/>
      <c r="AV230" s="12"/>
      <c r="AW230" s="12"/>
      <c r="AX230" s="12"/>
      <c r="AY230" s="12"/>
      <c r="AZ230" s="12"/>
      <c r="BA230" s="12"/>
      <c r="BB230" s="12"/>
      <c r="BC230" s="12"/>
      <c r="BD230" s="12"/>
      <c r="BE230" s="12"/>
      <c r="BF230" s="12"/>
      <c r="BG230" s="12"/>
      <c r="BH230" s="12"/>
      <c r="BI230" s="13"/>
    </row>
    <row r="231" spans="1:61" hidden="1">
      <c r="A231" s="212" t="s">
        <v>493</v>
      </c>
      <c r="B231" s="943"/>
      <c r="C231" s="943"/>
      <c r="D231" s="943"/>
      <c r="E231" s="14"/>
      <c r="F231" s="22" t="s">
        <v>1554</v>
      </c>
      <c r="G231" s="1161">
        <f>INDEX(tabellen_EMD!$C$285:$Z$290,MATCH(G$226,tabellen_EMD!$C$285:$C$290,0),MATCH(EP_versie_scope_functie_methode,tabellen_EMD!$C$285:$Z$285,0))</f>
        <v>1</v>
      </c>
      <c r="H231" s="1161">
        <f>INDEX(tabellen_EMD!$C$285:$Z$290,MATCH(H$226,tabellen_EMD!$C$285:$C$290,0),MATCH(EP_versie_scope_functie_methode,tabellen_EMD!$C$285:$Z$285,0))</f>
        <v>1</v>
      </c>
      <c r="I231" s="1047"/>
      <c r="J231" s="1161">
        <f>INDEX(tabellen_EMD!$C$285:$Z$290,MATCH(J$226,tabellen_EMD!$C$285:$C$290,0),MATCH(EP_versie_scope_functie_methode,tabellen_EMD!$C$285:$Z$285,0))</f>
        <v>1</v>
      </c>
      <c r="K231" s="1161">
        <f>INDEX(tabellen_EMD!$C$285:$Z$290,MATCH(K$226,tabellen_EMD!$C$285:$C$290,0),MATCH(EP_versie_scope_functie_methode,tabellen_EMD!$C$285:$Z$285,0))</f>
        <v>1</v>
      </c>
      <c r="L231" s="1047"/>
      <c r="M231" s="1161">
        <f>INDEX(tabellen_EMD!$C$285:$Z$290,MATCH(M$226,tabellen_EMD!$C$285:$C$290,0),MATCH(EP_versie_scope_functie_methode,tabellen_EMD!$C$285:$Z$285,0))</f>
        <v>4.166666666666667</v>
      </c>
      <c r="N231" s="1047"/>
      <c r="O231" s="44"/>
      <c r="P231" s="899"/>
      <c r="Q231" s="899"/>
      <c r="R231" s="899"/>
      <c r="S231" s="899"/>
      <c r="T231" s="899"/>
      <c r="U231" s="899"/>
      <c r="V231" s="39"/>
      <c r="W231" s="39"/>
      <c r="X231" s="39"/>
      <c r="Y231" s="12"/>
      <c r="Z231" s="453"/>
      <c r="AA231" s="453"/>
      <c r="AB231" s="67"/>
      <c r="AC231" s="995"/>
      <c r="AD231" s="1432"/>
      <c r="AE231" s="1432"/>
      <c r="AF231" s="1432"/>
      <c r="AG231" s="1432"/>
      <c r="AH231" s="1432"/>
      <c r="AI231" s="1432"/>
      <c r="AJ231" s="1432"/>
      <c r="AK231" s="1432"/>
      <c r="AL231" s="1432"/>
      <c r="AM231" s="1432"/>
      <c r="AN231" s="1432"/>
      <c r="AO231" s="1432"/>
      <c r="AP231" s="1432"/>
      <c r="AQ231" s="1432"/>
      <c r="AR231" s="1432"/>
      <c r="AS231" s="67"/>
      <c r="AT231" s="995"/>
      <c r="AU231" s="12"/>
      <c r="AV231" s="12"/>
      <c r="AW231" s="12"/>
      <c r="AX231" s="12"/>
      <c r="AY231" s="12"/>
      <c r="AZ231" s="12"/>
      <c r="BA231" s="12"/>
      <c r="BB231" s="12"/>
      <c r="BC231" s="12"/>
      <c r="BD231" s="12"/>
      <c r="BE231" s="12"/>
      <c r="BF231" s="12"/>
      <c r="BG231" s="12"/>
      <c r="BH231" s="12"/>
      <c r="BI231" s="13"/>
    </row>
    <row r="232" spans="1:61" hidden="1">
      <c r="A232" s="212" t="s">
        <v>493</v>
      </c>
      <c r="B232" s="943"/>
      <c r="C232" s="943"/>
      <c r="D232" s="943"/>
      <c r="E232" s="14"/>
      <c r="F232" s="22" t="s">
        <v>1555</v>
      </c>
      <c r="G232" s="1161">
        <f>INDEX(tabellen_EMD!$C$293:$Z$298,MATCH(G$226,tabellen_EMD!$C$293:$C$298,0),MATCH(EP_versie_scope_functie_methode,tabellen_EMD!$C$293:$Z$293,0))</f>
        <v>0</v>
      </c>
      <c r="H232" s="1161">
        <f>INDEX(tabellen_EMD!$C$293:$Z$298,MATCH(H$226,tabellen_EMD!$C$293:$C$298,0),MATCH(EP_versie_scope_functie_methode,tabellen_EMD!$C$293:$Z$293,0))</f>
        <v>0</v>
      </c>
      <c r="I232" s="1047"/>
      <c r="J232" s="1161">
        <f>INDEX(tabellen_EMD!$C$293:$Z$298,MATCH(J$226,tabellen_EMD!$C$293:$C$298,0),MATCH(EP_versie_scope_functie_methode,tabellen_EMD!$C$293:$Z$293,0))</f>
        <v>0</v>
      </c>
      <c r="K232" s="1161">
        <f>INDEX(tabellen_EMD!$C$293:$Z$298,MATCH(K$226,tabellen_EMD!$C$293:$C$298,0),MATCH(EP_versie_scope_functie_methode,tabellen_EMD!$C$293:$Z$293,0))</f>
        <v>1</v>
      </c>
      <c r="L232" s="1047"/>
      <c r="M232" s="1161">
        <f>INDEX(tabellen_EMD!$C$293:$Z$298,MATCH(M$226,tabellen_EMD!$C$293:$C$298,0),MATCH(EP_versie_scope_functie_methode,tabellen_EMD!$C$293:$Z$293,0))</f>
        <v>0</v>
      </c>
      <c r="N232" s="1047"/>
      <c r="O232" s="44"/>
      <c r="P232" s="899"/>
      <c r="Q232" s="899"/>
      <c r="R232" s="899"/>
      <c r="S232" s="899"/>
      <c r="T232" s="899"/>
      <c r="U232" s="899"/>
      <c r="V232" s="39"/>
      <c r="W232" s="39"/>
      <c r="X232" s="39"/>
      <c r="Y232" s="12"/>
      <c r="Z232" s="453"/>
      <c r="AA232" s="453"/>
      <c r="AB232" s="67"/>
      <c r="AC232" s="995"/>
      <c r="AD232" s="1432"/>
      <c r="AE232" s="1432"/>
      <c r="AF232" s="1432"/>
      <c r="AG232" s="1432"/>
      <c r="AH232" s="1432"/>
      <c r="AI232" s="1432"/>
      <c r="AJ232" s="1432"/>
      <c r="AK232" s="1432"/>
      <c r="AL232" s="1432"/>
      <c r="AM232" s="1432"/>
      <c r="AN232" s="1432"/>
      <c r="AO232" s="1432"/>
      <c r="AP232" s="1432"/>
      <c r="AQ232" s="1432"/>
      <c r="AR232" s="1432"/>
      <c r="AS232" s="67"/>
      <c r="AT232" s="995"/>
      <c r="AU232" s="12"/>
      <c r="AV232" s="12"/>
      <c r="AW232" s="12"/>
      <c r="AX232" s="12"/>
      <c r="AY232" s="12"/>
      <c r="AZ232" s="12"/>
      <c r="BA232" s="12"/>
      <c r="BB232" s="12"/>
      <c r="BC232" s="12"/>
      <c r="BD232" s="12"/>
      <c r="BE232" s="12"/>
      <c r="BF232" s="12"/>
      <c r="BG232" s="12"/>
      <c r="BH232" s="12"/>
      <c r="BI232" s="13"/>
    </row>
    <row r="233" spans="1:61" s="211" customFormat="1" hidden="1">
      <c r="A233" s="212" t="s">
        <v>493</v>
      </c>
      <c r="B233" s="1092"/>
      <c r="C233" s="1092"/>
      <c r="D233" s="1092"/>
      <c r="E233" s="210"/>
      <c r="F233" s="22" t="s">
        <v>1650</v>
      </c>
      <c r="G233" s="24">
        <f>VLOOKUP(G$226,$J$195:$W$199,COLUMNS($J$194:$W$194),FALSE)*G$231</f>
        <v>0</v>
      </c>
      <c r="H233" s="24">
        <f t="shared" ref="H233:M233" si="106">VLOOKUP(H$226,$J$195:$W$199,COLUMNS($J$194:$W$194),FALSE)*H$231</f>
        <v>0</v>
      </c>
      <c r="I233" s="24"/>
      <c r="J233" s="24">
        <f t="shared" si="106"/>
        <v>0</v>
      </c>
      <c r="K233" s="142">
        <f t="shared" si="106"/>
        <v>0</v>
      </c>
      <c r="L233" s="142"/>
      <c r="M233" s="24">
        <f t="shared" si="106"/>
        <v>0</v>
      </c>
      <c r="N233" s="24">
        <f>J275</f>
        <v>1</v>
      </c>
      <c r="O233" s="44"/>
      <c r="P233" s="899"/>
      <c r="Q233" s="899"/>
      <c r="R233" s="899"/>
      <c r="S233" s="899"/>
      <c r="T233" s="899"/>
      <c r="U233" s="899"/>
      <c r="V233" s="39"/>
      <c r="W233" s="39"/>
      <c r="X233" s="39"/>
      <c r="Y233" s="12"/>
      <c r="Z233" s="453"/>
      <c r="AA233" s="453"/>
      <c r="AB233" s="1394"/>
      <c r="AC233" s="1002"/>
      <c r="AD233" s="1436"/>
      <c r="AE233" s="1436"/>
      <c r="AF233" s="1436"/>
      <c r="AG233" s="1436"/>
      <c r="AH233" s="1436"/>
      <c r="AI233" s="1436"/>
      <c r="AJ233" s="1436"/>
      <c r="AK233" s="1436"/>
      <c r="AL233" s="1436"/>
      <c r="AM233" s="1436"/>
      <c r="AN233" s="1436"/>
      <c r="AO233" s="1436"/>
      <c r="AP233" s="1436"/>
      <c r="AQ233" s="1436"/>
      <c r="AR233" s="1436"/>
      <c r="AS233" s="1394"/>
      <c r="AT233" s="1002"/>
      <c r="AU233" s="12"/>
      <c r="AV233" s="12"/>
      <c r="AW233" s="12"/>
      <c r="AX233" s="12"/>
      <c r="AY233" s="12"/>
      <c r="AZ233" s="12"/>
      <c r="BA233" s="12"/>
      <c r="BB233" s="12"/>
      <c r="BC233" s="12"/>
      <c r="BD233" s="12"/>
      <c r="BE233" s="12"/>
      <c r="BF233" s="12"/>
      <c r="BG233" s="12"/>
      <c r="BH233" s="12"/>
      <c r="BI233" s="13"/>
    </row>
    <row r="234" spans="1:61" s="211" customFormat="1" hidden="1">
      <c r="A234" s="212" t="s">
        <v>493</v>
      </c>
      <c r="B234" s="1092"/>
      <c r="C234" s="1092"/>
      <c r="D234" s="1092"/>
      <c r="E234" s="210"/>
      <c r="F234" s="911"/>
      <c r="G234" s="911"/>
      <c r="H234" s="911"/>
      <c r="I234" s="911"/>
      <c r="J234" s="911"/>
      <c r="K234" s="911"/>
      <c r="L234" s="911"/>
      <c r="M234" s="911"/>
      <c r="N234" s="911"/>
      <c r="O234" s="44"/>
      <c r="P234" s="899"/>
      <c r="Q234" s="899"/>
      <c r="R234" s="899"/>
      <c r="S234" s="899"/>
      <c r="T234" s="899"/>
      <c r="U234" s="899"/>
      <c r="V234" s="39"/>
      <c r="W234" s="39"/>
      <c r="X234" s="39"/>
      <c r="Y234" s="12"/>
      <c r="Z234" s="453"/>
      <c r="AA234" s="453"/>
      <c r="AB234" s="1394"/>
      <c r="AC234" s="1002"/>
      <c r="AD234" s="1436"/>
      <c r="AE234" s="1436"/>
      <c r="AF234" s="1436"/>
      <c r="AG234" s="1436"/>
      <c r="AH234" s="1436"/>
      <c r="AI234" s="1436"/>
      <c r="AJ234" s="1436"/>
      <c r="AK234" s="1436"/>
      <c r="AL234" s="1436"/>
      <c r="AM234" s="1436"/>
      <c r="AN234" s="1436"/>
      <c r="AO234" s="1436"/>
      <c r="AP234" s="1436"/>
      <c r="AQ234" s="1436"/>
      <c r="AR234" s="1436"/>
      <c r="AS234" s="1394"/>
      <c r="AT234" s="1002"/>
      <c r="AU234" s="12"/>
      <c r="AV234" s="12"/>
      <c r="AW234" s="12"/>
      <c r="AX234" s="12"/>
      <c r="AY234" s="12"/>
      <c r="AZ234" s="12"/>
      <c r="BA234" s="12"/>
      <c r="BB234" s="12"/>
      <c r="BC234" s="12"/>
      <c r="BD234" s="12"/>
      <c r="BE234" s="12"/>
      <c r="BF234" s="12"/>
      <c r="BG234" s="12"/>
      <c r="BH234" s="12"/>
      <c r="BI234" s="13"/>
    </row>
    <row r="235" spans="1:61" s="211" customFormat="1" hidden="1">
      <c r="A235" s="212" t="s">
        <v>493</v>
      </c>
      <c r="B235" s="1092"/>
      <c r="C235" s="1092"/>
      <c r="D235" s="1092"/>
      <c r="E235" s="210"/>
      <c r="F235" s="1334" t="s">
        <v>1651</v>
      </c>
      <c r="G235" s="911"/>
      <c r="H235" s="911"/>
      <c r="I235" s="911"/>
      <c r="J235" s="911"/>
      <c r="K235" s="911"/>
      <c r="L235" s="911"/>
      <c r="M235" s="911"/>
      <c r="N235" s="911"/>
      <c r="O235" s="44"/>
      <c r="P235" s="899"/>
      <c r="Q235" s="899"/>
      <c r="R235" s="899"/>
      <c r="S235" s="899"/>
      <c r="T235" s="899"/>
      <c r="U235" s="899"/>
      <c r="V235" s="39"/>
      <c r="W235" s="39"/>
      <c r="X235" s="39"/>
      <c r="Y235" s="12"/>
      <c r="Z235" s="453"/>
      <c r="AA235" s="453"/>
      <c r="AB235" s="1394"/>
      <c r="AC235" s="1002"/>
      <c r="AD235" s="1436"/>
      <c r="AE235" s="1436"/>
      <c r="AF235" s="1436"/>
      <c r="AG235" s="1436"/>
      <c r="AH235" s="1436"/>
      <c r="AI235" s="1436"/>
      <c r="AJ235" s="1436"/>
      <c r="AK235" s="1436"/>
      <c r="AL235" s="1436"/>
      <c r="AM235" s="1436"/>
      <c r="AN235" s="1436"/>
      <c r="AO235" s="1436"/>
      <c r="AP235" s="1436"/>
      <c r="AQ235" s="1436"/>
      <c r="AR235" s="1436"/>
      <c r="AS235" s="1394"/>
      <c r="AT235" s="1002"/>
      <c r="AU235" s="12"/>
      <c r="AV235" s="12"/>
      <c r="AW235" s="12"/>
      <c r="AX235" s="12"/>
      <c r="AY235" s="12"/>
      <c r="AZ235" s="12"/>
      <c r="BA235" s="12"/>
      <c r="BB235" s="12"/>
      <c r="BC235" s="12"/>
      <c r="BD235" s="12"/>
      <c r="BE235" s="12"/>
      <c r="BF235" s="12"/>
      <c r="BG235" s="12"/>
      <c r="BH235" s="12"/>
      <c r="BI235" s="13"/>
    </row>
    <row r="236" spans="1:61" s="211" customFormat="1" hidden="1">
      <c r="A236" s="212" t="s">
        <v>493</v>
      </c>
      <c r="B236" s="1092"/>
      <c r="C236" s="1092"/>
      <c r="D236" s="1092"/>
      <c r="E236" s="210"/>
      <c r="F236" s="22" t="s">
        <v>297</v>
      </c>
      <c r="G236" s="24" t="str">
        <f t="shared" ref="G236:H247" si="107">IF(OR($Q391="",ISNUMBER(G$233)=FALSE),"",$Q391*G$233)</f>
        <v/>
      </c>
      <c r="H236" s="24" t="str">
        <f t="shared" si="107"/>
        <v/>
      </c>
      <c r="I236" s="24"/>
      <c r="J236" s="24" t="str">
        <f t="shared" ref="J236:K247" si="108">IF(OR($Q391="",ISNUMBER(J$233)=FALSE),"",$Q391*J$233)</f>
        <v/>
      </c>
      <c r="K236" s="142" t="str">
        <f t="shared" si="108"/>
        <v/>
      </c>
      <c r="L236" s="142"/>
      <c r="M236" s="24" t="str">
        <f t="shared" ref="M236:M247" si="109">IF(OR($Q391="",ISNUMBER(M$233)=FALSE),"",$Q391*M$233)</f>
        <v/>
      </c>
      <c r="N236" s="911"/>
      <c r="O236" s="44"/>
      <c r="P236" s="899"/>
      <c r="Q236" s="899"/>
      <c r="R236" s="899"/>
      <c r="S236" s="899"/>
      <c r="T236" s="899"/>
      <c r="U236" s="899"/>
      <c r="V236" s="39"/>
      <c r="W236" s="39"/>
      <c r="X236" s="39"/>
      <c r="Y236" s="12"/>
      <c r="Z236" s="453"/>
      <c r="AA236" s="453"/>
      <c r="AB236" s="1394"/>
      <c r="AC236" s="1002"/>
      <c r="AD236" s="1436"/>
      <c r="AE236" s="1436"/>
      <c r="AF236" s="1436"/>
      <c r="AG236" s="1436"/>
      <c r="AH236" s="1436"/>
      <c r="AI236" s="1436"/>
      <c r="AJ236" s="1436"/>
      <c r="AK236" s="1436"/>
      <c r="AL236" s="1436"/>
      <c r="AM236" s="1436"/>
      <c r="AN236" s="1436"/>
      <c r="AO236" s="1436"/>
      <c r="AP236" s="1436"/>
      <c r="AQ236" s="1436"/>
      <c r="AR236" s="1436"/>
      <c r="AS236" s="1394"/>
      <c r="AT236" s="1002"/>
      <c r="AU236" s="12"/>
      <c r="AV236" s="12"/>
      <c r="AW236" s="12"/>
      <c r="AX236" s="12"/>
      <c r="AY236" s="12"/>
      <c r="AZ236" s="12"/>
      <c r="BA236" s="12"/>
      <c r="BB236" s="12"/>
      <c r="BC236" s="12"/>
      <c r="BD236" s="12"/>
      <c r="BE236" s="12"/>
      <c r="BF236" s="12"/>
      <c r="BG236" s="12"/>
      <c r="BH236" s="12"/>
      <c r="BI236" s="13"/>
    </row>
    <row r="237" spans="1:61" s="211" customFormat="1" hidden="1">
      <c r="A237" s="212" t="s">
        <v>493</v>
      </c>
      <c r="B237" s="1092"/>
      <c r="C237" s="1092"/>
      <c r="D237" s="1092"/>
      <c r="E237" s="210"/>
      <c r="F237" s="22" t="s">
        <v>298</v>
      </c>
      <c r="G237" s="24" t="str">
        <f t="shared" si="107"/>
        <v/>
      </c>
      <c r="H237" s="24" t="str">
        <f t="shared" si="107"/>
        <v/>
      </c>
      <c r="I237" s="24"/>
      <c r="J237" s="24" t="str">
        <f t="shared" si="108"/>
        <v/>
      </c>
      <c r="K237" s="142" t="str">
        <f t="shared" si="108"/>
        <v/>
      </c>
      <c r="L237" s="142"/>
      <c r="M237" s="24" t="str">
        <f t="shared" si="109"/>
        <v/>
      </c>
      <c r="N237" s="911"/>
      <c r="O237" s="44"/>
      <c r="P237" s="899"/>
      <c r="Q237" s="899"/>
      <c r="R237" s="899"/>
      <c r="S237" s="899"/>
      <c r="T237" s="899"/>
      <c r="U237" s="899"/>
      <c r="V237" s="39"/>
      <c r="W237" s="39"/>
      <c r="X237" s="39"/>
      <c r="Y237" s="12"/>
      <c r="Z237" s="453"/>
      <c r="AA237" s="453"/>
      <c r="AB237" s="1394"/>
      <c r="AC237" s="1002"/>
      <c r="AD237" s="1436"/>
      <c r="AE237" s="1436"/>
      <c r="AF237" s="1436"/>
      <c r="AG237" s="1436"/>
      <c r="AH237" s="1436"/>
      <c r="AI237" s="1436"/>
      <c r="AJ237" s="1436"/>
      <c r="AK237" s="1436"/>
      <c r="AL237" s="1436"/>
      <c r="AM237" s="1436"/>
      <c r="AN237" s="1436"/>
      <c r="AO237" s="1436"/>
      <c r="AP237" s="1436"/>
      <c r="AQ237" s="1436"/>
      <c r="AR237" s="1436"/>
      <c r="AS237" s="1394"/>
      <c r="AT237" s="1002"/>
      <c r="AU237" s="12"/>
      <c r="AV237" s="12"/>
      <c r="AW237" s="12"/>
      <c r="AX237" s="12"/>
      <c r="AY237" s="12"/>
      <c r="AZ237" s="12"/>
      <c r="BA237" s="12"/>
      <c r="BB237" s="12"/>
      <c r="BC237" s="12"/>
      <c r="BD237" s="12"/>
      <c r="BE237" s="12"/>
      <c r="BF237" s="12"/>
      <c r="BG237" s="12"/>
      <c r="BH237" s="12"/>
      <c r="BI237" s="13"/>
    </row>
    <row r="238" spans="1:61" s="211" customFormat="1" hidden="1">
      <c r="A238" s="212" t="s">
        <v>493</v>
      </c>
      <c r="B238" s="1092"/>
      <c r="C238" s="1092"/>
      <c r="D238" s="1092"/>
      <c r="E238" s="210"/>
      <c r="F238" s="22" t="s">
        <v>303</v>
      </c>
      <c r="G238" s="24" t="str">
        <f t="shared" si="107"/>
        <v/>
      </c>
      <c r="H238" s="24" t="str">
        <f t="shared" si="107"/>
        <v/>
      </c>
      <c r="I238" s="24"/>
      <c r="J238" s="24" t="str">
        <f t="shared" si="108"/>
        <v/>
      </c>
      <c r="K238" s="142" t="str">
        <f t="shared" si="108"/>
        <v/>
      </c>
      <c r="L238" s="142"/>
      <c r="M238" s="24" t="str">
        <f t="shared" si="109"/>
        <v/>
      </c>
      <c r="N238" s="911"/>
      <c r="O238" s="44"/>
      <c r="P238" s="899"/>
      <c r="Q238" s="899"/>
      <c r="R238" s="899"/>
      <c r="S238" s="899"/>
      <c r="T238" s="899"/>
      <c r="U238" s="899"/>
      <c r="V238" s="39"/>
      <c r="W238" s="39"/>
      <c r="X238" s="39"/>
      <c r="Y238" s="12"/>
      <c r="Z238" s="453"/>
      <c r="AA238" s="453"/>
      <c r="AB238" s="1394"/>
      <c r="AC238" s="1002"/>
      <c r="AD238" s="1436"/>
      <c r="AE238" s="1436"/>
      <c r="AF238" s="1436"/>
      <c r="AG238" s="1436"/>
      <c r="AH238" s="1436"/>
      <c r="AI238" s="1436"/>
      <c r="AJ238" s="1436"/>
      <c r="AK238" s="1436"/>
      <c r="AL238" s="1436"/>
      <c r="AM238" s="1436"/>
      <c r="AN238" s="1436"/>
      <c r="AO238" s="1436"/>
      <c r="AP238" s="1436"/>
      <c r="AQ238" s="1436"/>
      <c r="AR238" s="1436"/>
      <c r="AS238" s="1394"/>
      <c r="AT238" s="1002"/>
      <c r="AU238" s="12"/>
      <c r="AV238" s="12"/>
      <c r="AW238" s="12"/>
      <c r="AX238" s="12"/>
      <c r="AY238" s="12"/>
      <c r="AZ238" s="12"/>
      <c r="BA238" s="12"/>
      <c r="BB238" s="12"/>
      <c r="BC238" s="12"/>
      <c r="BD238" s="12"/>
      <c r="BE238" s="12"/>
      <c r="BF238" s="12"/>
      <c r="BG238" s="12"/>
      <c r="BH238" s="12"/>
      <c r="BI238" s="13"/>
    </row>
    <row r="239" spans="1:61" s="211" customFormat="1" hidden="1">
      <c r="A239" s="212" t="s">
        <v>493</v>
      </c>
      <c r="B239" s="1092"/>
      <c r="C239" s="1092"/>
      <c r="D239" s="1092"/>
      <c r="E239" s="210"/>
      <c r="F239" s="22" t="s">
        <v>299</v>
      </c>
      <c r="G239" s="24" t="str">
        <f t="shared" si="107"/>
        <v/>
      </c>
      <c r="H239" s="24" t="str">
        <f t="shared" si="107"/>
        <v/>
      </c>
      <c r="I239" s="24"/>
      <c r="J239" s="24" t="str">
        <f t="shared" si="108"/>
        <v/>
      </c>
      <c r="K239" s="142" t="str">
        <f t="shared" si="108"/>
        <v/>
      </c>
      <c r="L239" s="142"/>
      <c r="M239" s="24" t="str">
        <f t="shared" si="109"/>
        <v/>
      </c>
      <c r="N239" s="911"/>
      <c r="O239" s="44"/>
      <c r="P239" s="899"/>
      <c r="Q239" s="899"/>
      <c r="R239" s="899"/>
      <c r="S239" s="899"/>
      <c r="T239" s="899"/>
      <c r="U239" s="899"/>
      <c r="V239" s="39"/>
      <c r="W239" s="39"/>
      <c r="X239" s="39"/>
      <c r="Y239" s="12"/>
      <c r="Z239" s="453"/>
      <c r="AA239" s="453"/>
      <c r="AB239" s="1394"/>
      <c r="AC239" s="1002"/>
      <c r="AD239" s="1436"/>
      <c r="AE239" s="1436"/>
      <c r="AF239" s="1436"/>
      <c r="AG239" s="1436"/>
      <c r="AH239" s="1436"/>
      <c r="AI239" s="1436"/>
      <c r="AJ239" s="1436"/>
      <c r="AK239" s="1436"/>
      <c r="AL239" s="1436"/>
      <c r="AM239" s="1436"/>
      <c r="AN239" s="1436"/>
      <c r="AO239" s="1436"/>
      <c r="AP239" s="1436"/>
      <c r="AQ239" s="1436"/>
      <c r="AR239" s="1436"/>
      <c r="AS239" s="1394"/>
      <c r="AT239" s="1002"/>
      <c r="AU239" s="12"/>
      <c r="AV239" s="12"/>
      <c r="AW239" s="12"/>
      <c r="AX239" s="12"/>
      <c r="AY239" s="12"/>
      <c r="AZ239" s="12"/>
      <c r="BA239" s="12"/>
      <c r="BB239" s="12"/>
      <c r="BC239" s="12"/>
      <c r="BD239" s="12"/>
      <c r="BE239" s="12"/>
      <c r="BF239" s="12"/>
      <c r="BG239" s="12"/>
      <c r="BH239" s="12"/>
      <c r="BI239" s="13"/>
    </row>
    <row r="240" spans="1:61" s="211" customFormat="1" hidden="1">
      <c r="A240" s="212" t="s">
        <v>493</v>
      </c>
      <c r="B240" s="1092"/>
      <c r="C240" s="1092"/>
      <c r="D240" s="1092"/>
      <c r="E240" s="210"/>
      <c r="F240" s="22" t="s">
        <v>422</v>
      </c>
      <c r="G240" s="24" t="str">
        <f t="shared" si="107"/>
        <v/>
      </c>
      <c r="H240" s="24" t="str">
        <f t="shared" si="107"/>
        <v/>
      </c>
      <c r="I240" s="24"/>
      <c r="J240" s="24" t="str">
        <f t="shared" si="108"/>
        <v/>
      </c>
      <c r="K240" s="142" t="str">
        <f t="shared" si="108"/>
        <v/>
      </c>
      <c r="L240" s="142"/>
      <c r="M240" s="24" t="str">
        <f t="shared" si="109"/>
        <v/>
      </c>
      <c r="N240" s="911"/>
      <c r="O240" s="44"/>
      <c r="P240" s="899"/>
      <c r="Q240" s="899"/>
      <c r="R240" s="899"/>
      <c r="S240" s="899"/>
      <c r="T240" s="899"/>
      <c r="U240" s="899"/>
      <c r="V240" s="39"/>
      <c r="W240" s="39"/>
      <c r="X240" s="39"/>
      <c r="Y240" s="12"/>
      <c r="Z240" s="453"/>
      <c r="AA240" s="453"/>
      <c r="AB240" s="1394"/>
      <c r="AC240" s="1002"/>
      <c r="AD240" s="1436"/>
      <c r="AE240" s="1436"/>
      <c r="AF240" s="1436"/>
      <c r="AG240" s="1436"/>
      <c r="AH240" s="1436"/>
      <c r="AI240" s="1436"/>
      <c r="AJ240" s="1436"/>
      <c r="AK240" s="1436"/>
      <c r="AL240" s="1436"/>
      <c r="AM240" s="1436"/>
      <c r="AN240" s="1436"/>
      <c r="AO240" s="1436"/>
      <c r="AP240" s="1436"/>
      <c r="AQ240" s="1436"/>
      <c r="AR240" s="1436"/>
      <c r="AS240" s="1394"/>
      <c r="AT240" s="1002"/>
      <c r="AU240" s="12"/>
      <c r="AV240" s="12"/>
      <c r="AW240" s="12"/>
      <c r="AX240" s="12"/>
      <c r="AY240" s="12"/>
      <c r="AZ240" s="12"/>
      <c r="BA240" s="12"/>
      <c r="BB240" s="12"/>
      <c r="BC240" s="12"/>
      <c r="BD240" s="12"/>
      <c r="BE240" s="12"/>
      <c r="BF240" s="12"/>
      <c r="BG240" s="12"/>
      <c r="BH240" s="12"/>
      <c r="BI240" s="13"/>
    </row>
    <row r="241" spans="1:61" s="211" customFormat="1" hidden="1">
      <c r="A241" s="212" t="s">
        <v>493</v>
      </c>
      <c r="B241" s="1092"/>
      <c r="C241" s="1092"/>
      <c r="D241" s="1092"/>
      <c r="E241" s="210"/>
      <c r="F241" s="22" t="s">
        <v>305</v>
      </c>
      <c r="G241" s="24" t="str">
        <f t="shared" si="107"/>
        <v/>
      </c>
      <c r="H241" s="24" t="str">
        <f t="shared" si="107"/>
        <v/>
      </c>
      <c r="I241" s="24"/>
      <c r="J241" s="24" t="str">
        <f t="shared" si="108"/>
        <v/>
      </c>
      <c r="K241" s="142" t="str">
        <f t="shared" si="108"/>
        <v/>
      </c>
      <c r="L241" s="142"/>
      <c r="M241" s="24" t="str">
        <f t="shared" si="109"/>
        <v/>
      </c>
      <c r="N241" s="911"/>
      <c r="O241" s="44"/>
      <c r="P241" s="899"/>
      <c r="Q241" s="899"/>
      <c r="R241" s="899"/>
      <c r="S241" s="899"/>
      <c r="T241" s="899"/>
      <c r="U241" s="899"/>
      <c r="V241" s="39"/>
      <c r="W241" s="39"/>
      <c r="X241" s="39"/>
      <c r="Y241" s="12"/>
      <c r="Z241" s="453"/>
      <c r="AA241" s="453"/>
      <c r="AB241" s="1394"/>
      <c r="AC241" s="1002"/>
      <c r="AD241" s="1436"/>
      <c r="AE241" s="1436"/>
      <c r="AF241" s="1436"/>
      <c r="AG241" s="1436"/>
      <c r="AH241" s="1436"/>
      <c r="AI241" s="1436"/>
      <c r="AJ241" s="1436"/>
      <c r="AK241" s="1436"/>
      <c r="AL241" s="1436"/>
      <c r="AM241" s="1436"/>
      <c r="AN241" s="1436"/>
      <c r="AO241" s="1436"/>
      <c r="AP241" s="1436"/>
      <c r="AQ241" s="1436"/>
      <c r="AR241" s="1436"/>
      <c r="AS241" s="1394"/>
      <c r="AT241" s="1002"/>
      <c r="AU241" s="12"/>
      <c r="AV241" s="12"/>
      <c r="AW241" s="12"/>
      <c r="AX241" s="12"/>
      <c r="AY241" s="12"/>
      <c r="AZ241" s="12"/>
      <c r="BA241" s="12"/>
      <c r="BB241" s="12"/>
      <c r="BC241" s="12"/>
      <c r="BD241" s="12"/>
      <c r="BE241" s="12"/>
      <c r="BF241" s="12"/>
      <c r="BG241" s="12"/>
      <c r="BH241" s="12"/>
      <c r="BI241" s="13"/>
    </row>
    <row r="242" spans="1:61" s="211" customFormat="1" hidden="1">
      <c r="A242" s="212" t="s">
        <v>493</v>
      </c>
      <c r="B242" s="1092"/>
      <c r="C242" s="1092"/>
      <c r="D242" s="1092"/>
      <c r="E242" s="210"/>
      <c r="F242" s="22" t="s">
        <v>302</v>
      </c>
      <c r="G242" s="24" t="str">
        <f t="shared" si="107"/>
        <v/>
      </c>
      <c r="H242" s="24" t="str">
        <f t="shared" si="107"/>
        <v/>
      </c>
      <c r="I242" s="24"/>
      <c r="J242" s="24" t="str">
        <f t="shared" si="108"/>
        <v/>
      </c>
      <c r="K242" s="142" t="str">
        <f t="shared" si="108"/>
        <v/>
      </c>
      <c r="L242" s="142"/>
      <c r="M242" s="24" t="str">
        <f t="shared" si="109"/>
        <v/>
      </c>
      <c r="N242" s="911"/>
      <c r="O242" s="44"/>
      <c r="P242" s="899"/>
      <c r="Q242" s="899"/>
      <c r="R242" s="899"/>
      <c r="S242" s="899"/>
      <c r="T242" s="899"/>
      <c r="U242" s="899"/>
      <c r="V242" s="39"/>
      <c r="W242" s="39"/>
      <c r="X242" s="39"/>
      <c r="Y242" s="12"/>
      <c r="Z242" s="453"/>
      <c r="AA242" s="453"/>
      <c r="AB242" s="1394"/>
      <c r="AC242" s="1002"/>
      <c r="AD242" s="1436"/>
      <c r="AE242" s="1436"/>
      <c r="AF242" s="1436"/>
      <c r="AG242" s="1436"/>
      <c r="AH242" s="1436"/>
      <c r="AI242" s="1436"/>
      <c r="AJ242" s="1436"/>
      <c r="AK242" s="1436"/>
      <c r="AL242" s="1436"/>
      <c r="AM242" s="1436"/>
      <c r="AN242" s="1436"/>
      <c r="AO242" s="1436"/>
      <c r="AP242" s="1436"/>
      <c r="AQ242" s="1436"/>
      <c r="AR242" s="1436"/>
      <c r="AS242" s="1394"/>
      <c r="AT242" s="1002"/>
      <c r="AU242" s="12"/>
      <c r="AV242" s="12"/>
      <c r="AW242" s="12"/>
      <c r="AX242" s="12"/>
      <c r="AY242" s="12"/>
      <c r="AZ242" s="12"/>
      <c r="BA242" s="12"/>
      <c r="BB242" s="12"/>
      <c r="BC242" s="12"/>
      <c r="BD242" s="12"/>
      <c r="BE242" s="12"/>
      <c r="BF242" s="12"/>
      <c r="BG242" s="12"/>
      <c r="BH242" s="12"/>
      <c r="BI242" s="13"/>
    </row>
    <row r="243" spans="1:61" s="211" customFormat="1" hidden="1">
      <c r="A243" s="212" t="s">
        <v>493</v>
      </c>
      <c r="B243" s="1092"/>
      <c r="C243" s="1092"/>
      <c r="D243" s="1092"/>
      <c r="E243" s="210"/>
      <c r="F243" s="22" t="s">
        <v>423</v>
      </c>
      <c r="G243" s="24" t="str">
        <f t="shared" si="107"/>
        <v/>
      </c>
      <c r="H243" s="24" t="str">
        <f t="shared" si="107"/>
        <v/>
      </c>
      <c r="I243" s="24"/>
      <c r="J243" s="24" t="str">
        <f t="shared" si="108"/>
        <v/>
      </c>
      <c r="K243" s="142" t="str">
        <f t="shared" si="108"/>
        <v/>
      </c>
      <c r="L243" s="142"/>
      <c r="M243" s="24" t="str">
        <f t="shared" si="109"/>
        <v/>
      </c>
      <c r="N243" s="911"/>
      <c r="O243" s="44"/>
      <c r="P243" s="899"/>
      <c r="Q243" s="899"/>
      <c r="R243" s="899"/>
      <c r="S243" s="899"/>
      <c r="T243" s="899"/>
      <c r="U243" s="899"/>
      <c r="V243" s="39"/>
      <c r="W243" s="39"/>
      <c r="X243" s="39"/>
      <c r="Y243" s="12"/>
      <c r="Z243" s="453"/>
      <c r="AA243" s="453"/>
      <c r="AB243" s="1394"/>
      <c r="AC243" s="1002"/>
      <c r="AD243" s="1436"/>
      <c r="AE243" s="1436"/>
      <c r="AF243" s="1436"/>
      <c r="AG243" s="1436"/>
      <c r="AH243" s="1436"/>
      <c r="AI243" s="1436"/>
      <c r="AJ243" s="1436"/>
      <c r="AK243" s="1436"/>
      <c r="AL243" s="1436"/>
      <c r="AM243" s="1436"/>
      <c r="AN243" s="1436"/>
      <c r="AO243" s="1436"/>
      <c r="AP243" s="1436"/>
      <c r="AQ243" s="1436"/>
      <c r="AR243" s="1436"/>
      <c r="AS243" s="1394"/>
      <c r="AT243" s="1002"/>
      <c r="AU243" s="12"/>
      <c r="AV243" s="12"/>
      <c r="AW243" s="12"/>
      <c r="AX243" s="12"/>
      <c r="AY243" s="12"/>
      <c r="AZ243" s="12"/>
      <c r="BA243" s="12"/>
      <c r="BB243" s="12"/>
      <c r="BC243" s="12"/>
      <c r="BD243" s="12"/>
      <c r="BE243" s="12"/>
      <c r="BF243" s="12"/>
      <c r="BG243" s="12"/>
      <c r="BH243" s="12"/>
      <c r="BI243" s="13"/>
    </row>
    <row r="244" spans="1:61" s="211" customFormat="1" hidden="1">
      <c r="A244" s="212" t="s">
        <v>493</v>
      </c>
      <c r="B244" s="1092"/>
      <c r="C244" s="1092"/>
      <c r="D244" s="1092"/>
      <c r="E244" s="210"/>
      <c r="F244" s="22" t="s">
        <v>307</v>
      </c>
      <c r="G244" s="24" t="str">
        <f t="shared" si="107"/>
        <v/>
      </c>
      <c r="H244" s="24" t="str">
        <f t="shared" si="107"/>
        <v/>
      </c>
      <c r="I244" s="24"/>
      <c r="J244" s="24" t="str">
        <f t="shared" si="108"/>
        <v/>
      </c>
      <c r="K244" s="142" t="str">
        <f t="shared" si="108"/>
        <v/>
      </c>
      <c r="L244" s="142"/>
      <c r="M244" s="24" t="str">
        <f t="shared" si="109"/>
        <v/>
      </c>
      <c r="N244" s="911"/>
      <c r="O244" s="44"/>
      <c r="P244" s="899"/>
      <c r="Q244" s="899"/>
      <c r="R244" s="899"/>
      <c r="S244" s="899"/>
      <c r="T244" s="899"/>
      <c r="U244" s="899"/>
      <c r="V244" s="39"/>
      <c r="W244" s="39"/>
      <c r="X244" s="39"/>
      <c r="Y244" s="12"/>
      <c r="Z244" s="453"/>
      <c r="AA244" s="453"/>
      <c r="AB244" s="1394"/>
      <c r="AC244" s="1002"/>
      <c r="AD244" s="1436"/>
      <c r="AE244" s="1436"/>
      <c r="AF244" s="1436"/>
      <c r="AG244" s="1436"/>
      <c r="AH244" s="1436"/>
      <c r="AI244" s="1436"/>
      <c r="AJ244" s="1436"/>
      <c r="AK244" s="1436"/>
      <c r="AL244" s="1436"/>
      <c r="AM244" s="1436"/>
      <c r="AN244" s="1436"/>
      <c r="AO244" s="1436"/>
      <c r="AP244" s="1436"/>
      <c r="AQ244" s="1436"/>
      <c r="AR244" s="1436"/>
      <c r="AS244" s="1394"/>
      <c r="AT244" s="1002"/>
      <c r="AU244" s="12"/>
      <c r="AV244" s="12"/>
      <c r="AW244" s="12"/>
      <c r="AX244" s="12"/>
      <c r="AY244" s="12"/>
      <c r="AZ244" s="12"/>
      <c r="BA244" s="12"/>
      <c r="BB244" s="12"/>
      <c r="BC244" s="12"/>
      <c r="BD244" s="12"/>
      <c r="BE244" s="12"/>
      <c r="BF244" s="12"/>
      <c r="BG244" s="12"/>
      <c r="BH244" s="12"/>
      <c r="BI244" s="13"/>
    </row>
    <row r="245" spans="1:61" s="211" customFormat="1" hidden="1">
      <c r="A245" s="212" t="s">
        <v>493</v>
      </c>
      <c r="B245" s="1092"/>
      <c r="C245" s="1092"/>
      <c r="D245" s="1092"/>
      <c r="E245" s="210"/>
      <c r="F245" s="22" t="s">
        <v>306</v>
      </c>
      <c r="G245" s="24" t="str">
        <f t="shared" si="107"/>
        <v/>
      </c>
      <c r="H245" s="24" t="str">
        <f t="shared" si="107"/>
        <v/>
      </c>
      <c r="I245" s="24"/>
      <c r="J245" s="24" t="str">
        <f t="shared" si="108"/>
        <v/>
      </c>
      <c r="K245" s="142" t="str">
        <f t="shared" si="108"/>
        <v/>
      </c>
      <c r="L245" s="142"/>
      <c r="M245" s="24" t="str">
        <f t="shared" si="109"/>
        <v/>
      </c>
      <c r="N245" s="911"/>
      <c r="O245" s="44"/>
      <c r="P245" s="899"/>
      <c r="Q245" s="899"/>
      <c r="R245" s="899"/>
      <c r="S245" s="899"/>
      <c r="T245" s="899"/>
      <c r="U245" s="899"/>
      <c r="V245" s="39"/>
      <c r="W245" s="39"/>
      <c r="X245" s="39"/>
      <c r="Y245" s="12"/>
      <c r="Z245" s="453"/>
      <c r="AA245" s="453"/>
      <c r="AB245" s="1394"/>
      <c r="AC245" s="1002"/>
      <c r="AD245" s="1436"/>
      <c r="AE245" s="1436"/>
      <c r="AF245" s="1436"/>
      <c r="AG245" s="1436"/>
      <c r="AH245" s="1436"/>
      <c r="AI245" s="1436"/>
      <c r="AJ245" s="1436"/>
      <c r="AK245" s="1436"/>
      <c r="AL245" s="1436"/>
      <c r="AM245" s="1436"/>
      <c r="AN245" s="1436"/>
      <c r="AO245" s="1436"/>
      <c r="AP245" s="1436"/>
      <c r="AQ245" s="1436"/>
      <c r="AR245" s="1436"/>
      <c r="AS245" s="1394"/>
      <c r="AT245" s="1002"/>
      <c r="AU245" s="12"/>
      <c r="AV245" s="12"/>
      <c r="AW245" s="12"/>
      <c r="AX245" s="12"/>
      <c r="AY245" s="12"/>
      <c r="AZ245" s="12"/>
      <c r="BA245" s="12"/>
      <c r="BB245" s="12"/>
      <c r="BC245" s="12"/>
      <c r="BD245" s="12"/>
      <c r="BE245" s="12"/>
      <c r="BF245" s="12"/>
      <c r="BG245" s="12"/>
      <c r="BH245" s="12"/>
      <c r="BI245" s="13"/>
    </row>
    <row r="246" spans="1:61" s="211" customFormat="1" hidden="1">
      <c r="A246" s="212" t="s">
        <v>493</v>
      </c>
      <c r="B246" s="1092"/>
      <c r="C246" s="1092"/>
      <c r="D246" s="1092"/>
      <c r="E246" s="210"/>
      <c r="F246" s="22" t="s">
        <v>424</v>
      </c>
      <c r="G246" s="24" t="str">
        <f t="shared" si="107"/>
        <v/>
      </c>
      <c r="H246" s="24" t="str">
        <f t="shared" si="107"/>
        <v/>
      </c>
      <c r="I246" s="24"/>
      <c r="J246" s="24" t="str">
        <f t="shared" si="108"/>
        <v/>
      </c>
      <c r="K246" s="142" t="str">
        <f t="shared" si="108"/>
        <v/>
      </c>
      <c r="L246" s="142"/>
      <c r="M246" s="24" t="str">
        <f t="shared" si="109"/>
        <v/>
      </c>
      <c r="N246" s="911"/>
      <c r="O246" s="44"/>
      <c r="P246" s="899"/>
      <c r="Q246" s="899"/>
      <c r="R246" s="899"/>
      <c r="S246" s="899"/>
      <c r="T246" s="899"/>
      <c r="U246" s="899"/>
      <c r="V246" s="39"/>
      <c r="W246" s="39"/>
      <c r="X246" s="39"/>
      <c r="Y246" s="12"/>
      <c r="Z246" s="453"/>
      <c r="AA246" s="453"/>
      <c r="AB246" s="1394"/>
      <c r="AC246" s="1002"/>
      <c r="AD246" s="1436"/>
      <c r="AE246" s="1436"/>
      <c r="AF246" s="1436"/>
      <c r="AG246" s="1436"/>
      <c r="AH246" s="1436"/>
      <c r="AI246" s="1436"/>
      <c r="AJ246" s="1436"/>
      <c r="AK246" s="1436"/>
      <c r="AL246" s="1436"/>
      <c r="AM246" s="1436"/>
      <c r="AN246" s="1436"/>
      <c r="AO246" s="1436"/>
      <c r="AP246" s="1436"/>
      <c r="AQ246" s="1436"/>
      <c r="AR246" s="1436"/>
      <c r="AS246" s="1394"/>
      <c r="AT246" s="1002"/>
      <c r="AU246" s="12"/>
      <c r="AV246" s="12"/>
      <c r="AW246" s="12"/>
      <c r="AX246" s="12"/>
      <c r="AY246" s="12"/>
      <c r="AZ246" s="12"/>
      <c r="BA246" s="12"/>
      <c r="BB246" s="12"/>
      <c r="BC246" s="12"/>
      <c r="BD246" s="12"/>
      <c r="BE246" s="12"/>
      <c r="BF246" s="12"/>
      <c r="BG246" s="12"/>
      <c r="BH246" s="12"/>
      <c r="BI246" s="13"/>
    </row>
    <row r="247" spans="1:61" s="211" customFormat="1" hidden="1">
      <c r="A247" s="212" t="s">
        <v>493</v>
      </c>
      <c r="B247" s="1092"/>
      <c r="C247" s="1092"/>
      <c r="D247" s="1092"/>
      <c r="E247" s="210"/>
      <c r="F247" s="22" t="s">
        <v>425</v>
      </c>
      <c r="G247" s="24" t="str">
        <f t="shared" si="107"/>
        <v/>
      </c>
      <c r="H247" s="24" t="str">
        <f t="shared" si="107"/>
        <v/>
      </c>
      <c r="I247" s="24"/>
      <c r="J247" s="24" t="str">
        <f t="shared" si="108"/>
        <v/>
      </c>
      <c r="K247" s="142" t="str">
        <f t="shared" si="108"/>
        <v/>
      </c>
      <c r="L247" s="142"/>
      <c r="M247" s="24" t="str">
        <f t="shared" si="109"/>
        <v/>
      </c>
      <c r="N247" s="911"/>
      <c r="O247" s="44"/>
      <c r="P247" s="899"/>
      <c r="Q247" s="899"/>
      <c r="R247" s="899"/>
      <c r="S247" s="899"/>
      <c r="T247" s="899"/>
      <c r="U247" s="899"/>
      <c r="V247" s="39"/>
      <c r="W247" s="39"/>
      <c r="X247" s="39"/>
      <c r="Y247" s="12"/>
      <c r="Z247" s="453"/>
      <c r="AA247" s="453"/>
      <c r="AB247" s="1394"/>
      <c r="AC247" s="1002"/>
      <c r="AD247" s="1436"/>
      <c r="AE247" s="1436"/>
      <c r="AF247" s="1436"/>
      <c r="AG247" s="1436"/>
      <c r="AH247" s="1436"/>
      <c r="AI247" s="1436"/>
      <c r="AJ247" s="1436"/>
      <c r="AK247" s="1436"/>
      <c r="AL247" s="1436"/>
      <c r="AM247" s="1436"/>
      <c r="AN247" s="1436"/>
      <c r="AO247" s="1436"/>
      <c r="AP247" s="1436"/>
      <c r="AQ247" s="1436"/>
      <c r="AR247" s="1436"/>
      <c r="AS247" s="1394"/>
      <c r="AT247" s="1002"/>
      <c r="AU247" s="12"/>
      <c r="AV247" s="12"/>
      <c r="AW247" s="12"/>
      <c r="AX247" s="12"/>
      <c r="AY247" s="12"/>
      <c r="AZ247" s="12"/>
      <c r="BA247" s="12"/>
      <c r="BB247" s="12"/>
      <c r="BC247" s="12"/>
      <c r="BD247" s="12"/>
      <c r="BE247" s="12"/>
      <c r="BF247" s="12"/>
      <c r="BG247" s="12"/>
      <c r="BH247" s="12"/>
      <c r="BI247" s="13"/>
    </row>
    <row r="248" spans="1:61" s="211" customFormat="1" hidden="1">
      <c r="A248" s="212" t="s">
        <v>493</v>
      </c>
      <c r="B248" s="1092"/>
      <c r="C248" s="1092"/>
      <c r="D248" s="1092"/>
      <c r="E248" s="210"/>
      <c r="F248" s="43"/>
      <c r="G248" s="911"/>
      <c r="H248" s="911"/>
      <c r="I248" s="911"/>
      <c r="J248" s="911"/>
      <c r="K248" s="911"/>
      <c r="L248" s="911"/>
      <c r="M248" s="911"/>
      <c r="N248" s="911"/>
      <c r="O248" s="44"/>
      <c r="P248" s="899"/>
      <c r="Q248" s="899"/>
      <c r="R248" s="899"/>
      <c r="S248" s="899"/>
      <c r="T248" s="899"/>
      <c r="U248" s="899"/>
      <c r="V248" s="39"/>
      <c r="W248" s="39"/>
      <c r="X248" s="39"/>
      <c r="Y248" s="12"/>
      <c r="Z248" s="453"/>
      <c r="AA248" s="453"/>
      <c r="AB248" s="1394"/>
      <c r="AC248" s="1002"/>
      <c r="AD248" s="1436"/>
      <c r="AE248" s="1436"/>
      <c r="AF248" s="1436"/>
      <c r="AG248" s="1436"/>
      <c r="AH248" s="1436"/>
      <c r="AI248" s="1436"/>
      <c r="AJ248" s="1436"/>
      <c r="AK248" s="1436"/>
      <c r="AL248" s="1436"/>
      <c r="AM248" s="1436"/>
      <c r="AN248" s="1436"/>
      <c r="AO248" s="1436"/>
      <c r="AP248" s="1436"/>
      <c r="AQ248" s="1436"/>
      <c r="AR248" s="1436"/>
      <c r="AS248" s="1394"/>
      <c r="AT248" s="1002"/>
      <c r="AU248" s="12"/>
      <c r="AV248" s="12"/>
      <c r="AW248" s="12"/>
      <c r="AX248" s="12"/>
      <c r="AY248" s="12"/>
      <c r="AZ248" s="12"/>
      <c r="BA248" s="12"/>
      <c r="BB248" s="12"/>
      <c r="BC248" s="12"/>
      <c r="BD248" s="12"/>
      <c r="BE248" s="12"/>
      <c r="BF248" s="12"/>
      <c r="BG248" s="12"/>
      <c r="BH248" s="12"/>
      <c r="BI248" s="13"/>
    </row>
    <row r="249" spans="1:61" s="211" customFormat="1" hidden="1">
      <c r="A249" s="212" t="s">
        <v>493</v>
      </c>
      <c r="B249" s="1092"/>
      <c r="C249" s="1092"/>
      <c r="D249" s="1092"/>
      <c r="E249" s="210"/>
      <c r="F249" s="22" t="s">
        <v>1597</v>
      </c>
      <c r="G249" s="24">
        <f>IF(OR($Q404="",ISNUMBER(G$233)=FALSE),"",$Q404*G$233)</f>
        <v>0</v>
      </c>
      <c r="H249" s="24">
        <f>IF(OR($Q404="",ISNUMBER(H$233)=FALSE),"",$Q404*H$233)</f>
        <v>0</v>
      </c>
      <c r="I249" s="24"/>
      <c r="J249" s="24">
        <f>IF(OR($Q404="",ISNUMBER(J$233)=FALSE),"",$Q404*J$233)</f>
        <v>0</v>
      </c>
      <c r="K249" s="142">
        <f>IF(OR($Q404="",ISNUMBER(K$233)=FALSE),"",$Q404*K$233)</f>
        <v>0</v>
      </c>
      <c r="L249" s="142"/>
      <c r="M249" s="24">
        <f>IF(OR($Q404="",ISNUMBER(M$233)=FALSE),"",$Q404*M$233)</f>
        <v>0</v>
      </c>
      <c r="N249" s="911"/>
      <c r="O249" s="44"/>
      <c r="P249" s="899"/>
      <c r="Q249" s="899"/>
      <c r="R249" s="899"/>
      <c r="S249" s="899"/>
      <c r="T249" s="899"/>
      <c r="U249" s="899"/>
      <c r="V249" s="39"/>
      <c r="W249" s="39"/>
      <c r="X249" s="39"/>
      <c r="Y249" s="12"/>
      <c r="Z249" s="453"/>
      <c r="AA249" s="453"/>
      <c r="AB249" s="1394"/>
      <c r="AC249" s="1002"/>
      <c r="AD249" s="1436"/>
      <c r="AE249" s="1436"/>
      <c r="AF249" s="1436"/>
      <c r="AG249" s="1436"/>
      <c r="AH249" s="1436"/>
      <c r="AI249" s="1436"/>
      <c r="AJ249" s="1436"/>
      <c r="AK249" s="1436"/>
      <c r="AL249" s="1436"/>
      <c r="AM249" s="1436"/>
      <c r="AN249" s="1436"/>
      <c r="AO249" s="1436"/>
      <c r="AP249" s="1436"/>
      <c r="AQ249" s="1436"/>
      <c r="AR249" s="1436"/>
      <c r="AS249" s="1394"/>
      <c r="AT249" s="1002"/>
      <c r="AU249" s="12"/>
      <c r="AV249" s="12"/>
      <c r="AW249" s="12"/>
      <c r="AX249" s="12"/>
      <c r="AY249" s="12"/>
      <c r="AZ249" s="12"/>
      <c r="BA249" s="12"/>
      <c r="BB249" s="12"/>
      <c r="BC249" s="12"/>
      <c r="BD249" s="12"/>
      <c r="BE249" s="12"/>
      <c r="BF249" s="12"/>
      <c r="BG249" s="12"/>
      <c r="BH249" s="12"/>
      <c r="BI249" s="13"/>
    </row>
    <row r="250" spans="1:61" s="211" customFormat="1" hidden="1">
      <c r="A250" s="212" t="s">
        <v>493</v>
      </c>
      <c r="B250" s="1092"/>
      <c r="C250" s="1092"/>
      <c r="D250" s="1092"/>
      <c r="E250" s="210"/>
      <c r="F250" s="22" t="s">
        <v>1600</v>
      </c>
      <c r="G250" s="24">
        <f>SUM(G236:G247)</f>
        <v>0</v>
      </c>
      <c r="H250" s="24">
        <f t="shared" ref="H250:M250" si="110">SUM(H236:H247)</f>
        <v>0</v>
      </c>
      <c r="I250" s="24"/>
      <c r="J250" s="24">
        <f t="shared" si="110"/>
        <v>0</v>
      </c>
      <c r="K250" s="142">
        <f t="shared" si="110"/>
        <v>0</v>
      </c>
      <c r="L250" s="142"/>
      <c r="M250" s="24">
        <f t="shared" si="110"/>
        <v>0</v>
      </c>
      <c r="N250" s="911"/>
      <c r="O250" s="44"/>
      <c r="P250" s="899"/>
      <c r="Q250" s="899"/>
      <c r="R250" s="899"/>
      <c r="S250" s="899"/>
      <c r="T250" s="899"/>
      <c r="U250" s="899"/>
      <c r="V250" s="39"/>
      <c r="W250" s="39"/>
      <c r="X250" s="39"/>
      <c r="Y250" s="12"/>
      <c r="Z250" s="453"/>
      <c r="AA250" s="453"/>
      <c r="AB250" s="1394"/>
      <c r="AC250" s="1002"/>
      <c r="AD250" s="1436"/>
      <c r="AE250" s="1436"/>
      <c r="AF250" s="1436"/>
      <c r="AG250" s="1436"/>
      <c r="AH250" s="1436"/>
      <c r="AI250" s="1436"/>
      <c r="AJ250" s="1436"/>
      <c r="AK250" s="1436"/>
      <c r="AL250" s="1436"/>
      <c r="AM250" s="1436"/>
      <c r="AN250" s="1436"/>
      <c r="AO250" s="1436"/>
      <c r="AP250" s="1436"/>
      <c r="AQ250" s="1436"/>
      <c r="AR250" s="1436"/>
      <c r="AS250" s="1394"/>
      <c r="AT250" s="1002"/>
      <c r="AU250" s="12"/>
      <c r="AV250" s="12"/>
      <c r="AW250" s="12"/>
      <c r="AX250" s="12"/>
      <c r="AY250" s="12"/>
      <c r="AZ250" s="12"/>
      <c r="BA250" s="12"/>
      <c r="BB250" s="12"/>
      <c r="BC250" s="12"/>
      <c r="BD250" s="12"/>
      <c r="BE250" s="12"/>
      <c r="BF250" s="12"/>
      <c r="BG250" s="12"/>
      <c r="BH250" s="12"/>
      <c r="BI250" s="13"/>
    </row>
    <row r="251" spans="1:61" s="211" customFormat="1" hidden="1">
      <c r="A251" s="212" t="s">
        <v>493</v>
      </c>
      <c r="B251" s="1092"/>
      <c r="C251" s="1092"/>
      <c r="D251" s="1092"/>
      <c r="E251" s="210"/>
      <c r="F251" s="43"/>
      <c r="G251" s="911"/>
      <c r="H251" s="911"/>
      <c r="I251" s="911"/>
      <c r="J251" s="911"/>
      <c r="K251" s="911"/>
      <c r="L251" s="911"/>
      <c r="M251" s="911"/>
      <c r="N251" s="911" t="s">
        <v>1391</v>
      </c>
      <c r="O251" s="44"/>
      <c r="P251" s="899"/>
      <c r="Q251" s="899"/>
      <c r="R251" s="899"/>
      <c r="S251" s="899"/>
      <c r="T251" s="899"/>
      <c r="U251" s="899"/>
      <c r="V251" s="39"/>
      <c r="W251" s="39"/>
      <c r="X251" s="39"/>
      <c r="Y251" s="12"/>
      <c r="Z251" s="453"/>
      <c r="AA251" s="453"/>
      <c r="AB251" s="1394"/>
      <c r="AC251" s="1002"/>
      <c r="AD251" s="1436"/>
      <c r="AE251" s="1436"/>
      <c r="AF251" s="1436"/>
      <c r="AG251" s="1436"/>
      <c r="AH251" s="1436"/>
      <c r="AI251" s="1436"/>
      <c r="AJ251" s="1436"/>
      <c r="AK251" s="1436"/>
      <c r="AL251" s="1436"/>
      <c r="AM251" s="1436"/>
      <c r="AN251" s="1436"/>
      <c r="AO251" s="1436"/>
      <c r="AP251" s="1436"/>
      <c r="AQ251" s="1436"/>
      <c r="AR251" s="1436"/>
      <c r="AS251" s="1394"/>
      <c r="AT251" s="1002"/>
      <c r="AU251" s="12"/>
      <c r="AV251" s="12"/>
      <c r="AW251" s="12"/>
      <c r="AX251" s="12"/>
      <c r="AY251" s="12"/>
      <c r="AZ251" s="12"/>
      <c r="BA251" s="12"/>
      <c r="BB251" s="12"/>
      <c r="BC251" s="12"/>
      <c r="BD251" s="12"/>
      <c r="BE251" s="12"/>
      <c r="BF251" s="12"/>
      <c r="BG251" s="12"/>
      <c r="BH251" s="12"/>
      <c r="BI251" s="13"/>
    </row>
    <row r="252" spans="1:61" s="211" customFormat="1" hidden="1">
      <c r="A252" s="212" t="s">
        <v>493</v>
      </c>
      <c r="B252" s="1092"/>
      <c r="C252" s="1092"/>
      <c r="D252" s="1092"/>
      <c r="E252" s="210"/>
      <c r="F252" s="22" t="s">
        <v>1520</v>
      </c>
      <c r="G252" s="59">
        <f>G249/$J$275</f>
        <v>0</v>
      </c>
      <c r="H252" s="59">
        <f>H249/$J$275</f>
        <v>0</v>
      </c>
      <c r="I252" s="59"/>
      <c r="J252" s="115">
        <f>J249/$J$275</f>
        <v>0</v>
      </c>
      <c r="K252" s="115">
        <f>K249/$J$275</f>
        <v>0</v>
      </c>
      <c r="L252" s="115"/>
      <c r="M252" s="115">
        <f>M249/$J$275</f>
        <v>0</v>
      </c>
      <c r="N252" s="911"/>
      <c r="O252" s="44"/>
      <c r="P252" s="899"/>
      <c r="Q252" s="899"/>
      <c r="R252" s="899"/>
      <c r="S252" s="899"/>
      <c r="T252" s="899"/>
      <c r="U252" s="899"/>
      <c r="V252" s="39"/>
      <c r="W252" s="39"/>
      <c r="X252" s="39"/>
      <c r="Y252" s="12"/>
      <c r="Z252" s="453"/>
      <c r="AA252" s="453"/>
      <c r="AB252" s="1394"/>
      <c r="AC252" s="1002"/>
      <c r="AD252" s="1436"/>
      <c r="AE252" s="1436"/>
      <c r="AF252" s="1436"/>
      <c r="AG252" s="1436"/>
      <c r="AH252" s="1436"/>
      <c r="AI252" s="1436"/>
      <c r="AJ252" s="1436"/>
      <c r="AK252" s="1436"/>
      <c r="AL252" s="1436"/>
      <c r="AM252" s="1436"/>
      <c r="AN252" s="1436"/>
      <c r="AO252" s="1436"/>
      <c r="AP252" s="1436"/>
      <c r="AQ252" s="1436"/>
      <c r="AR252" s="1436"/>
      <c r="AS252" s="1394"/>
      <c r="AT252" s="1002"/>
      <c r="AU252" s="12"/>
      <c r="AV252" s="12"/>
      <c r="AW252" s="12"/>
      <c r="AX252" s="12"/>
      <c r="AY252" s="12"/>
      <c r="AZ252" s="12"/>
      <c r="BA252" s="12"/>
      <c r="BB252" s="12"/>
      <c r="BC252" s="12"/>
      <c r="BD252" s="12"/>
      <c r="BE252" s="12"/>
      <c r="BF252" s="12"/>
      <c r="BG252" s="12"/>
      <c r="BH252" s="12"/>
      <c r="BI252" s="13"/>
    </row>
    <row r="253" spans="1:61" s="211" customFormat="1" hidden="1">
      <c r="A253" s="212" t="s">
        <v>493</v>
      </c>
      <c r="B253" s="1092"/>
      <c r="C253" s="1092"/>
      <c r="D253" s="1092"/>
      <c r="E253" s="210"/>
      <c r="F253" s="22" t="s">
        <v>1652</v>
      </c>
      <c r="G253" s="115">
        <f>G$252*G227</f>
        <v>0</v>
      </c>
      <c r="H253" s="115">
        <f>H$252*H227</f>
        <v>0</v>
      </c>
      <c r="I253" s="115"/>
      <c r="J253" s="115">
        <f>J$252*J227</f>
        <v>0</v>
      </c>
      <c r="K253" s="115">
        <f>K$252*K227</f>
        <v>0</v>
      </c>
      <c r="L253" s="115"/>
      <c r="M253" s="115">
        <f>M$252*M227</f>
        <v>0</v>
      </c>
      <c r="N253" s="918">
        <f>SUM(G253:M253)</f>
        <v>0</v>
      </c>
      <c r="O253" s="44"/>
      <c r="P253" s="899"/>
      <c r="Q253" s="899"/>
      <c r="R253" s="899"/>
      <c r="S253" s="899"/>
      <c r="T253" s="899"/>
      <c r="U253" s="899"/>
      <c r="V253" s="39"/>
      <c r="W253" s="39"/>
      <c r="X253" s="39"/>
      <c r="Y253" s="12"/>
      <c r="Z253" s="453"/>
      <c r="AA253" s="453"/>
      <c r="AB253" s="1394"/>
      <c r="AC253" s="1002"/>
      <c r="AD253" s="1436"/>
      <c r="AE253" s="1436"/>
      <c r="AF253" s="1436"/>
      <c r="AG253" s="1436"/>
      <c r="AH253" s="1436"/>
      <c r="AI253" s="1436"/>
      <c r="AJ253" s="1436"/>
      <c r="AK253" s="1436"/>
      <c r="AL253" s="1436"/>
      <c r="AM253" s="1436"/>
      <c r="AN253" s="1436"/>
      <c r="AO253" s="1436"/>
      <c r="AP253" s="1436"/>
      <c r="AQ253" s="1436"/>
      <c r="AR253" s="1436"/>
      <c r="AS253" s="1394"/>
      <c r="AT253" s="1002"/>
      <c r="AU253" s="1421" t="s">
        <v>1621</v>
      </c>
      <c r="AV253" s="12"/>
      <c r="AW253" s="12"/>
      <c r="AX253" s="12"/>
      <c r="AY253" s="12"/>
      <c r="AZ253" s="12"/>
      <c r="BA253" s="12"/>
      <c r="BB253" s="12"/>
      <c r="BC253" s="12"/>
      <c r="BD253" s="12"/>
      <c r="BE253" s="12"/>
      <c r="BF253" s="12"/>
      <c r="BG253" s="12"/>
      <c r="BH253" s="12"/>
      <c r="BI253" s="13"/>
    </row>
    <row r="254" spans="1:61" s="211" customFormat="1" hidden="1">
      <c r="A254" s="212" t="s">
        <v>493</v>
      </c>
      <c r="B254" s="1092"/>
      <c r="C254" s="1092"/>
      <c r="D254" s="1092"/>
      <c r="E254" s="210"/>
      <c r="F254" s="22" t="s">
        <v>1653</v>
      </c>
      <c r="G254" s="115">
        <f>G$252*G229</f>
        <v>0</v>
      </c>
      <c r="H254" s="115">
        <f>H$252*H229</f>
        <v>0</v>
      </c>
      <c r="I254" s="115"/>
      <c r="J254" s="115">
        <f>J$252*J229</f>
        <v>0</v>
      </c>
      <c r="K254" s="115">
        <f>K$252*K229</f>
        <v>0</v>
      </c>
      <c r="L254" s="115"/>
      <c r="M254" s="115">
        <f>M$252*M229</f>
        <v>0</v>
      </c>
      <c r="N254" s="918">
        <f>SUM(G254:M254)</f>
        <v>0</v>
      </c>
      <c r="O254" s="44"/>
      <c r="P254" s="899"/>
      <c r="Q254" s="899"/>
      <c r="R254" s="899"/>
      <c r="S254" s="899"/>
      <c r="T254" s="899"/>
      <c r="U254" s="899"/>
      <c r="V254" s="39"/>
      <c r="W254" s="39"/>
      <c r="X254" s="39"/>
      <c r="Y254" s="12"/>
      <c r="Z254" s="453"/>
      <c r="AA254" s="453"/>
      <c r="AB254" s="1394"/>
      <c r="AC254" s="1002"/>
      <c r="AD254" s="1436"/>
      <c r="AE254" s="1436"/>
      <c r="AF254" s="1436"/>
      <c r="AG254" s="1436"/>
      <c r="AH254" s="1436"/>
      <c r="AI254" s="1436"/>
      <c r="AJ254" s="1436"/>
      <c r="AK254" s="1436"/>
      <c r="AL254" s="1436"/>
      <c r="AM254" s="1436"/>
      <c r="AN254" s="1436"/>
      <c r="AO254" s="1436"/>
      <c r="AP254" s="1436"/>
      <c r="AQ254" s="1436"/>
      <c r="AR254" s="1436"/>
      <c r="AS254" s="1394"/>
      <c r="AT254" s="1002"/>
      <c r="AU254" s="1422" t="s">
        <v>1654</v>
      </c>
      <c r="AV254" s="12"/>
      <c r="AW254" s="12"/>
      <c r="AX254" s="12"/>
      <c r="AY254" s="12"/>
      <c r="AZ254" s="12"/>
      <c r="BA254" s="12"/>
      <c r="BB254" s="12"/>
      <c r="BC254" s="12"/>
      <c r="BD254" s="12"/>
      <c r="BE254" s="12"/>
      <c r="BF254" s="12"/>
      <c r="BG254" s="12"/>
      <c r="BH254" s="12"/>
      <c r="BI254" s="13"/>
    </row>
    <row r="255" spans="1:61" s="211" customFormat="1" hidden="1">
      <c r="A255" s="212" t="s">
        <v>493</v>
      </c>
      <c r="B255" s="1092"/>
      <c r="C255" s="1092"/>
      <c r="D255" s="1092"/>
      <c r="E255" s="210"/>
      <c r="F255" s="911"/>
      <c r="G255" s="911"/>
      <c r="H255" s="911"/>
      <c r="I255" s="911"/>
      <c r="J255" s="911"/>
      <c r="K255" s="911"/>
      <c r="L255" s="911"/>
      <c r="M255" s="911"/>
      <c r="N255" s="911"/>
      <c r="O255" s="44"/>
      <c r="P255" s="899"/>
      <c r="Q255" s="899"/>
      <c r="R255" s="899"/>
      <c r="S255" s="899"/>
      <c r="T255" s="899"/>
      <c r="U255" s="899"/>
      <c r="V255" s="39"/>
      <c r="W255" s="39"/>
      <c r="X255" s="39"/>
      <c r="Y255" s="12"/>
      <c r="Z255" s="453"/>
      <c r="AA255" s="453"/>
      <c r="AB255" s="1394"/>
      <c r="AC255" s="1002"/>
      <c r="AD255" s="1436"/>
      <c r="AE255" s="1436"/>
      <c r="AF255" s="1436"/>
      <c r="AG255" s="1436"/>
      <c r="AH255" s="1436"/>
      <c r="AI255" s="1436"/>
      <c r="AJ255" s="1436"/>
      <c r="AK255" s="1436"/>
      <c r="AL255" s="1436"/>
      <c r="AM255" s="1436"/>
      <c r="AN255" s="1436"/>
      <c r="AO255" s="1436"/>
      <c r="AP255" s="1436"/>
      <c r="AQ255" s="1436"/>
      <c r="AR255" s="1436"/>
      <c r="AS255" s="1394"/>
      <c r="AT255" s="1002"/>
      <c r="AU255" s="12"/>
      <c r="AV255" s="12"/>
      <c r="AW255" s="12"/>
      <c r="AX255" s="12"/>
      <c r="AY255" s="12"/>
      <c r="AZ255" s="12"/>
      <c r="BA255" s="12"/>
      <c r="BB255" s="12"/>
      <c r="BC255" s="12"/>
      <c r="BD255" s="12"/>
      <c r="BE255" s="12"/>
      <c r="BF255" s="12"/>
      <c r="BG255" s="12"/>
      <c r="BH255" s="12"/>
      <c r="BI255" s="13"/>
    </row>
    <row r="256" spans="1:61">
      <c r="A256" s="86"/>
      <c r="B256" s="943"/>
      <c r="C256" s="943"/>
      <c r="D256" s="943"/>
      <c r="E256" s="14"/>
      <c r="F256" s="22" t="s">
        <v>297</v>
      </c>
      <c r="G256" s="214" t="str">
        <f>IFERROR(FIXED(ROUND(G236/G$231,G$232),G$232),"")</f>
        <v/>
      </c>
      <c r="H256" s="214" t="str">
        <f t="shared" ref="H256:M256" si="111">IFERROR(FIXED(ROUND(H236/H$231,H$232),H$232),"")</f>
        <v/>
      </c>
      <c r="I256" s="214" t="str">
        <f t="shared" si="111"/>
        <v/>
      </c>
      <c r="J256" s="214" t="str">
        <f t="shared" si="111"/>
        <v/>
      </c>
      <c r="K256" s="214" t="str">
        <f t="shared" si="111"/>
        <v/>
      </c>
      <c r="L256" s="214" t="str">
        <f t="shared" si="111"/>
        <v/>
      </c>
      <c r="M256" s="214" t="str">
        <f t="shared" si="111"/>
        <v/>
      </c>
      <c r="N256" s="142" t="str">
        <f t="shared" ref="N256:N267" si="112">IF(M44&gt;0,M44/$M$58*$J$275,"")</f>
        <v/>
      </c>
      <c r="O256" s="44"/>
      <c r="P256" s="899"/>
      <c r="Q256" s="899"/>
      <c r="R256" s="899"/>
      <c r="S256" s="899"/>
      <c r="T256" s="899"/>
      <c r="U256" s="899"/>
      <c r="V256" s="39"/>
      <c r="W256" s="39"/>
      <c r="X256" s="39"/>
      <c r="Y256" s="12"/>
      <c r="Z256" s="453"/>
      <c r="AA256" s="453"/>
      <c r="AB256" s="67"/>
      <c r="AC256" s="995"/>
      <c r="AD256" s="891"/>
      <c r="AE256" s="22" t="str">
        <f>F256</f>
        <v>woning</v>
      </c>
      <c r="AF256" s="22"/>
      <c r="AG256" s="1445" t="str">
        <f t="shared" ref="AG256:AH267" si="113">IF($N256&lt;&gt;"",F372,"")</f>
        <v/>
      </c>
      <c r="AH256" s="1449" t="str">
        <f t="shared" si="113"/>
        <v/>
      </c>
      <c r="AI256" s="1415"/>
      <c r="AJ256" s="1445" t="str">
        <f t="shared" ref="AJ256:AJ267" si="114">IFERROR(SUMPRODUCT($G$229:$M$229,$G236:$M236)/N256,"")</f>
        <v/>
      </c>
      <c r="AK256" s="1442" t="str">
        <f t="shared" ref="AK256:AK267" si="115">IFERROR(IF(N256&lt;&gt;"",$M$273,""),"")</f>
        <v/>
      </c>
      <c r="AL256" s="1449" t="str">
        <f t="shared" ref="AL256:AL267" si="116">IF(N256&lt;&gt;"",SUM(AJ256,AK256),"")</f>
        <v/>
      </c>
      <c r="AM256" s="1420"/>
      <c r="AN256" s="1445" t="str">
        <f t="shared" ref="AN256:AN267" si="117">IF($N256&lt;&gt;"",N391,"")</f>
        <v/>
      </c>
      <c r="AO256" s="1442" t="str">
        <f t="shared" ref="AO256:AO267" si="118">IF(N256&lt;&gt;"",$J$272,"")</f>
        <v/>
      </c>
      <c r="AP256" s="1442" t="str">
        <f t="shared" ref="AP256:AP267" si="119">IF($N256&lt;&gt;"",SUM(AN256,AO256),"")</f>
        <v/>
      </c>
      <c r="AQ256" s="1420"/>
      <c r="AR256" s="1450" t="str">
        <f t="shared" ref="AR256:AR267" si="120">IF($N256&lt;&gt;"",W391,"")</f>
        <v/>
      </c>
      <c r="AS256" s="67"/>
      <c r="AT256" s="995"/>
      <c r="AU256" s="12"/>
      <c r="AV256" s="12"/>
      <c r="AW256" s="12"/>
      <c r="AX256" s="12"/>
      <c r="AY256" s="12"/>
      <c r="AZ256" s="12"/>
      <c r="BA256" s="12"/>
      <c r="BB256" s="12"/>
      <c r="BC256" s="12"/>
      <c r="BD256" s="12"/>
      <c r="BE256" s="12"/>
      <c r="BF256" s="12"/>
      <c r="BG256" s="12"/>
      <c r="BH256" s="12"/>
      <c r="BI256" s="13"/>
    </row>
    <row r="257" spans="1:61">
      <c r="A257" s="86"/>
      <c r="B257" s="943"/>
      <c r="C257" s="943"/>
      <c r="D257" s="943"/>
      <c r="E257" s="14"/>
      <c r="F257" s="22" t="s">
        <v>298</v>
      </c>
      <c r="G257" s="214" t="str">
        <f t="shared" ref="G257:M267" si="121">IFERROR(FIXED(ROUND(G237/G$231,G$232),G$232),"")</f>
        <v/>
      </c>
      <c r="H257" s="214" t="str">
        <f t="shared" si="121"/>
        <v/>
      </c>
      <c r="I257" s="214" t="str">
        <f t="shared" si="121"/>
        <v/>
      </c>
      <c r="J257" s="214" t="str">
        <f t="shared" si="121"/>
        <v/>
      </c>
      <c r="K257" s="214" t="str">
        <f t="shared" si="121"/>
        <v/>
      </c>
      <c r="L257" s="214" t="str">
        <f t="shared" si="121"/>
        <v/>
      </c>
      <c r="M257" s="214" t="str">
        <f t="shared" si="121"/>
        <v/>
      </c>
      <c r="N257" s="142" t="str">
        <f t="shared" si="112"/>
        <v/>
      </c>
      <c r="O257" s="44"/>
      <c r="P257" s="899"/>
      <c r="Q257" s="899"/>
      <c r="R257" s="899"/>
      <c r="S257" s="899"/>
      <c r="T257" s="899"/>
      <c r="U257" s="899"/>
      <c r="V257" s="39"/>
      <c r="W257" s="39"/>
      <c r="X257" s="39"/>
      <c r="Y257" s="12"/>
      <c r="Z257" s="453"/>
      <c r="AA257" s="453"/>
      <c r="AB257" s="67"/>
      <c r="AC257" s="995"/>
      <c r="AD257" s="1434"/>
      <c r="AE257" s="22" t="str">
        <f t="shared" ref="AE257:AE267" si="122">F257</f>
        <v>woongebouw</v>
      </c>
      <c r="AF257" s="22"/>
      <c r="AG257" s="1445" t="str">
        <f t="shared" si="113"/>
        <v/>
      </c>
      <c r="AH257" s="1449" t="str">
        <f t="shared" si="113"/>
        <v/>
      </c>
      <c r="AI257" s="1415"/>
      <c r="AJ257" s="1445" t="str">
        <f t="shared" si="114"/>
        <v/>
      </c>
      <c r="AK257" s="1442" t="str">
        <f t="shared" si="115"/>
        <v/>
      </c>
      <c r="AL257" s="1449" t="str">
        <f t="shared" si="116"/>
        <v/>
      </c>
      <c r="AM257" s="1420"/>
      <c r="AN257" s="1445" t="str">
        <f t="shared" si="117"/>
        <v/>
      </c>
      <c r="AO257" s="1442" t="str">
        <f t="shared" si="118"/>
        <v/>
      </c>
      <c r="AP257" s="1442" t="str">
        <f t="shared" si="119"/>
        <v/>
      </c>
      <c r="AQ257" s="1420"/>
      <c r="AR257" s="1450" t="str">
        <f t="shared" si="120"/>
        <v/>
      </c>
      <c r="AS257" s="67"/>
      <c r="AT257" s="995"/>
      <c r="AU257" s="12"/>
      <c r="AV257" s="12"/>
      <c r="AW257" s="12"/>
      <c r="AX257" s="12"/>
      <c r="AY257" s="12"/>
      <c r="AZ257" s="12"/>
      <c r="BA257" s="12"/>
      <c r="BB257" s="12"/>
      <c r="BC257" s="12"/>
      <c r="BD257" s="12"/>
      <c r="BE257" s="12"/>
      <c r="BF257" s="12"/>
      <c r="BG257" s="12"/>
      <c r="BH257" s="12"/>
      <c r="BI257" s="13"/>
    </row>
    <row r="258" spans="1:61">
      <c r="A258" s="86"/>
      <c r="B258" s="943"/>
      <c r="C258" s="943"/>
      <c r="D258" s="943"/>
      <c r="E258" s="14"/>
      <c r="F258" s="22" t="s">
        <v>303</v>
      </c>
      <c r="G258" s="214" t="str">
        <f t="shared" si="121"/>
        <v/>
      </c>
      <c r="H258" s="214" t="str">
        <f t="shared" si="121"/>
        <v/>
      </c>
      <c r="I258" s="214" t="str">
        <f t="shared" si="121"/>
        <v/>
      </c>
      <c r="J258" s="214" t="str">
        <f t="shared" si="121"/>
        <v/>
      </c>
      <c r="K258" s="214" t="str">
        <f t="shared" si="121"/>
        <v/>
      </c>
      <c r="L258" s="214" t="str">
        <f t="shared" si="121"/>
        <v/>
      </c>
      <c r="M258" s="214" t="str">
        <f t="shared" si="121"/>
        <v/>
      </c>
      <c r="N258" s="142">
        <f t="shared" si="112"/>
        <v>0.33333333333333331</v>
      </c>
      <c r="O258" s="44"/>
      <c r="P258" s="899"/>
      <c r="Q258" s="899"/>
      <c r="R258" s="899"/>
      <c r="S258" s="899"/>
      <c r="T258" s="899"/>
      <c r="U258" s="899"/>
      <c r="V258" s="39"/>
      <c r="W258" s="39"/>
      <c r="X258" s="39"/>
      <c r="Y258" s="12"/>
      <c r="Z258" s="453"/>
      <c r="AA258" s="453"/>
      <c r="AB258" s="67"/>
      <c r="AC258" s="995"/>
      <c r="AD258" s="1429"/>
      <c r="AE258" s="22" t="str">
        <f t="shared" si="122"/>
        <v>kantoor</v>
      </c>
      <c r="AF258" s="22"/>
      <c r="AG258" s="1445">
        <f t="shared" si="113"/>
        <v>3.4503052378364627</v>
      </c>
      <c r="AH258" s="1449">
        <f t="shared" si="113"/>
        <v>-0.5305607399933423</v>
      </c>
      <c r="AI258" s="1415"/>
      <c r="AJ258" s="1445">
        <f t="shared" si="114"/>
        <v>0</v>
      </c>
      <c r="AK258" s="1442">
        <f t="shared" si="115"/>
        <v>0</v>
      </c>
      <c r="AL258" s="1449">
        <f t="shared" si="116"/>
        <v>0</v>
      </c>
      <c r="AM258" s="1420"/>
      <c r="AN258" s="1445">
        <f t="shared" si="117"/>
        <v>-0.49466092757539759</v>
      </c>
      <c r="AO258" s="1442">
        <f t="shared" si="118"/>
        <v>0</v>
      </c>
      <c r="AP258" s="1442">
        <f t="shared" si="119"/>
        <v>-0.49466092757539759</v>
      </c>
      <c r="AQ258" s="1420"/>
      <c r="AR258" s="1450">
        <f t="shared" si="120"/>
        <v>9.3366580783613315</v>
      </c>
      <c r="AS258" s="67"/>
      <c r="AT258" s="995"/>
      <c r="AU258" s="12"/>
      <c r="AV258" s="12"/>
      <c r="AW258" s="12"/>
      <c r="AX258" s="12"/>
      <c r="AY258" s="12"/>
      <c r="AZ258" s="12"/>
      <c r="BA258" s="12"/>
      <c r="BB258" s="12"/>
      <c r="BC258" s="12"/>
      <c r="BD258" s="12"/>
      <c r="BE258" s="12"/>
      <c r="BF258" s="12"/>
      <c r="BG258" s="12"/>
      <c r="BH258" s="12"/>
      <c r="BI258" s="13"/>
    </row>
    <row r="259" spans="1:61">
      <c r="A259" s="86"/>
      <c r="B259" s="943"/>
      <c r="C259" s="943"/>
      <c r="D259" s="943"/>
      <c r="E259" s="14"/>
      <c r="F259" s="22" t="s">
        <v>299</v>
      </c>
      <c r="G259" s="214" t="str">
        <f t="shared" si="121"/>
        <v/>
      </c>
      <c r="H259" s="214" t="str">
        <f t="shared" si="121"/>
        <v/>
      </c>
      <c r="I259" s="214" t="str">
        <f t="shared" si="121"/>
        <v/>
      </c>
      <c r="J259" s="214" t="str">
        <f t="shared" si="121"/>
        <v/>
      </c>
      <c r="K259" s="214" t="str">
        <f t="shared" si="121"/>
        <v/>
      </c>
      <c r="L259" s="214" t="str">
        <f t="shared" si="121"/>
        <v/>
      </c>
      <c r="M259" s="214" t="str">
        <f t="shared" si="121"/>
        <v/>
      </c>
      <c r="N259" s="142">
        <f t="shared" si="112"/>
        <v>0.33333333333333331</v>
      </c>
      <c r="O259" s="44"/>
      <c r="P259" s="899"/>
      <c r="Q259" s="899"/>
      <c r="R259" s="899"/>
      <c r="S259" s="899"/>
      <c r="T259" s="899"/>
      <c r="U259" s="899"/>
      <c r="V259" s="39"/>
      <c r="W259" s="39"/>
      <c r="X259" s="39"/>
      <c r="Y259" s="12"/>
      <c r="Z259" s="453"/>
      <c r="AA259" s="453"/>
      <c r="AB259" s="67"/>
      <c r="AC259" s="995"/>
      <c r="AD259" s="891"/>
      <c r="AE259" s="22" t="str">
        <f t="shared" si="122"/>
        <v>bijeenkomst overig</v>
      </c>
      <c r="AF259" s="22"/>
      <c r="AG259" s="1445">
        <f t="shared" si="113"/>
        <v>4.5440564577826432</v>
      </c>
      <c r="AH259" s="1449">
        <f t="shared" si="113"/>
        <v>0.18902985498063157</v>
      </c>
      <c r="AI259" s="1415"/>
      <c r="AJ259" s="1445">
        <f t="shared" si="114"/>
        <v>0</v>
      </c>
      <c r="AK259" s="1442">
        <f t="shared" si="115"/>
        <v>0</v>
      </c>
      <c r="AL259" s="1449">
        <f t="shared" si="116"/>
        <v>0</v>
      </c>
      <c r="AM259" s="1420"/>
      <c r="AN259" s="1445">
        <f t="shared" si="117"/>
        <v>0.228192994855516</v>
      </c>
      <c r="AO259" s="1442">
        <f t="shared" si="118"/>
        <v>0</v>
      </c>
      <c r="AP259" s="1442">
        <f t="shared" si="119"/>
        <v>0.228192994855516</v>
      </c>
      <c r="AQ259" s="1420"/>
      <c r="AR259" s="1450">
        <f t="shared" si="120"/>
        <v>10.226695655633833</v>
      </c>
      <c r="AS259" s="67"/>
      <c r="AT259" s="995"/>
      <c r="AU259" s="12"/>
      <c r="AV259" s="12"/>
      <c r="AW259" s="12"/>
      <c r="AX259" s="12"/>
      <c r="AY259" s="12"/>
      <c r="AZ259" s="12"/>
      <c r="BA259" s="12"/>
      <c r="BB259" s="12"/>
      <c r="BC259" s="12"/>
      <c r="BD259" s="12"/>
      <c r="BE259" s="12"/>
      <c r="BF259" s="12"/>
      <c r="BG259" s="12"/>
      <c r="BH259" s="12"/>
      <c r="BI259" s="13"/>
    </row>
    <row r="260" spans="1:61">
      <c r="A260" s="86"/>
      <c r="B260" s="943"/>
      <c r="C260" s="943"/>
      <c r="D260" s="943"/>
      <c r="E260" s="14"/>
      <c r="F260" s="22" t="s">
        <v>422</v>
      </c>
      <c r="G260" s="214" t="str">
        <f t="shared" si="121"/>
        <v/>
      </c>
      <c r="H260" s="214" t="str">
        <f t="shared" si="121"/>
        <v/>
      </c>
      <c r="I260" s="214" t="str">
        <f t="shared" si="121"/>
        <v/>
      </c>
      <c r="J260" s="214" t="str">
        <f t="shared" si="121"/>
        <v/>
      </c>
      <c r="K260" s="214" t="str">
        <f t="shared" si="121"/>
        <v/>
      </c>
      <c r="L260" s="214" t="str">
        <f t="shared" si="121"/>
        <v/>
      </c>
      <c r="M260" s="214" t="str">
        <f t="shared" si="121"/>
        <v/>
      </c>
      <c r="N260" s="142">
        <f t="shared" si="112"/>
        <v>0.33333333333333331</v>
      </c>
      <c r="O260" s="44"/>
      <c r="P260" s="899"/>
      <c r="Q260" s="899"/>
      <c r="R260" s="899"/>
      <c r="S260" s="899"/>
      <c r="T260" s="899"/>
      <c r="U260" s="899"/>
      <c r="V260" s="39"/>
      <c r="W260" s="39"/>
      <c r="X260" s="39"/>
      <c r="Y260" s="12"/>
      <c r="Z260" s="453"/>
      <c r="AA260" s="453"/>
      <c r="AB260" s="67"/>
      <c r="AC260" s="995"/>
      <c r="AD260" s="891"/>
      <c r="AE260" s="22" t="str">
        <f t="shared" si="122"/>
        <v>bijeenkomst kinderdagverblijf</v>
      </c>
      <c r="AF260" s="22"/>
      <c r="AG260" s="1445">
        <f t="shared" si="113"/>
        <v>5.0104998522369613</v>
      </c>
      <c r="AH260" s="1449">
        <f t="shared" si="113"/>
        <v>0.22221092604712483</v>
      </c>
      <c r="AI260" s="1415"/>
      <c r="AJ260" s="1445">
        <f t="shared" si="114"/>
        <v>0</v>
      </c>
      <c r="AK260" s="1442">
        <f t="shared" si="115"/>
        <v>0</v>
      </c>
      <c r="AL260" s="1449">
        <f t="shared" si="116"/>
        <v>0</v>
      </c>
      <c r="AM260" s="1420"/>
      <c r="AN260" s="1445">
        <f t="shared" si="117"/>
        <v>0.26530227934418127</v>
      </c>
      <c r="AO260" s="1442">
        <f t="shared" si="118"/>
        <v>0</v>
      </c>
      <c r="AP260" s="1442">
        <f t="shared" si="119"/>
        <v>0.26530227934418127</v>
      </c>
      <c r="AQ260" s="1420"/>
      <c r="AR260" s="1450">
        <f t="shared" si="120"/>
        <v>10.242381613607767</v>
      </c>
      <c r="AS260" s="67"/>
      <c r="AT260" s="995"/>
      <c r="AU260" s="12"/>
      <c r="AV260" s="12"/>
      <c r="AW260" s="12"/>
      <c r="AX260" s="12"/>
      <c r="AY260" s="12"/>
      <c r="AZ260" s="12"/>
      <c r="BA260" s="12"/>
      <c r="BB260" s="12"/>
      <c r="BC260" s="12"/>
      <c r="BD260" s="12"/>
      <c r="BE260" s="12"/>
      <c r="BF260" s="12"/>
      <c r="BG260" s="12"/>
      <c r="BH260" s="12"/>
      <c r="BI260" s="13"/>
    </row>
    <row r="261" spans="1:61">
      <c r="A261" s="86"/>
      <c r="B261" s="943"/>
      <c r="C261" s="943"/>
      <c r="D261" s="943"/>
      <c r="E261" s="14"/>
      <c r="F261" s="22" t="s">
        <v>305</v>
      </c>
      <c r="G261" s="214" t="str">
        <f t="shared" si="121"/>
        <v/>
      </c>
      <c r="H261" s="214" t="str">
        <f t="shared" si="121"/>
        <v/>
      </c>
      <c r="I261" s="214" t="str">
        <f t="shared" si="121"/>
        <v/>
      </c>
      <c r="J261" s="214" t="str">
        <f t="shared" si="121"/>
        <v/>
      </c>
      <c r="K261" s="214" t="str">
        <f t="shared" si="121"/>
        <v/>
      </c>
      <c r="L261" s="214" t="str">
        <f t="shared" si="121"/>
        <v/>
      </c>
      <c r="M261" s="214" t="str">
        <f t="shared" si="121"/>
        <v/>
      </c>
      <c r="N261" s="142" t="str">
        <f t="shared" si="112"/>
        <v/>
      </c>
      <c r="O261" s="44"/>
      <c r="P261" s="899"/>
      <c r="Q261" s="899"/>
      <c r="R261" s="899"/>
      <c r="S261" s="899"/>
      <c r="T261" s="899"/>
      <c r="U261" s="899"/>
      <c r="V261" s="39"/>
      <c r="W261" s="39"/>
      <c r="X261" s="39"/>
      <c r="Y261" s="12"/>
      <c r="Z261" s="453"/>
      <c r="AA261" s="453"/>
      <c r="AB261" s="67"/>
      <c r="AC261" s="995"/>
      <c r="AD261" s="891"/>
      <c r="AE261" s="22" t="str">
        <f t="shared" si="122"/>
        <v>onderwijs</v>
      </c>
      <c r="AF261" s="22"/>
      <c r="AG261" s="1445" t="str">
        <f t="shared" si="113"/>
        <v/>
      </c>
      <c r="AH261" s="1449" t="str">
        <f t="shared" si="113"/>
        <v/>
      </c>
      <c r="AI261" s="1415"/>
      <c r="AJ261" s="1445" t="str">
        <f t="shared" si="114"/>
        <v/>
      </c>
      <c r="AK261" s="1442" t="str">
        <f t="shared" si="115"/>
        <v/>
      </c>
      <c r="AL261" s="1449" t="str">
        <f t="shared" si="116"/>
        <v/>
      </c>
      <c r="AM261" s="1420"/>
      <c r="AN261" s="1445" t="str">
        <f t="shared" si="117"/>
        <v/>
      </c>
      <c r="AO261" s="1442" t="str">
        <f t="shared" si="118"/>
        <v/>
      </c>
      <c r="AP261" s="1442" t="str">
        <f t="shared" si="119"/>
        <v/>
      </c>
      <c r="AQ261" s="1420"/>
      <c r="AR261" s="1450" t="str">
        <f t="shared" si="120"/>
        <v/>
      </c>
      <c r="AS261" s="67"/>
      <c r="AT261" s="995"/>
      <c r="AU261" s="12"/>
      <c r="AV261" s="12"/>
      <c r="AW261" s="12"/>
      <c r="AX261" s="12"/>
      <c r="AY261" s="12"/>
      <c r="AZ261" s="12"/>
      <c r="BA261" s="12"/>
      <c r="BB261" s="12"/>
      <c r="BC261" s="12"/>
      <c r="BD261" s="12"/>
      <c r="BE261" s="12"/>
      <c r="BF261" s="12"/>
      <c r="BG261" s="12"/>
      <c r="BH261" s="12"/>
      <c r="BI261" s="13"/>
    </row>
    <row r="262" spans="1:61">
      <c r="A262" s="86"/>
      <c r="B262" s="943"/>
      <c r="C262" s="943"/>
      <c r="D262" s="943"/>
      <c r="E262" s="14"/>
      <c r="F262" s="22" t="s">
        <v>302</v>
      </c>
      <c r="G262" s="214" t="str">
        <f t="shared" si="121"/>
        <v/>
      </c>
      <c r="H262" s="214" t="str">
        <f t="shared" si="121"/>
        <v/>
      </c>
      <c r="I262" s="214" t="str">
        <f t="shared" si="121"/>
        <v/>
      </c>
      <c r="J262" s="214" t="str">
        <f t="shared" si="121"/>
        <v/>
      </c>
      <c r="K262" s="214" t="str">
        <f t="shared" si="121"/>
        <v/>
      </c>
      <c r="L262" s="214" t="str">
        <f t="shared" si="121"/>
        <v/>
      </c>
      <c r="M262" s="214" t="str">
        <f t="shared" si="121"/>
        <v/>
      </c>
      <c r="N262" s="142" t="str">
        <f t="shared" si="112"/>
        <v/>
      </c>
      <c r="O262" s="44"/>
      <c r="P262" s="899"/>
      <c r="Q262" s="899"/>
      <c r="R262" s="899"/>
      <c r="S262" s="899"/>
      <c r="T262" s="899"/>
      <c r="U262" s="899"/>
      <c r="V262" s="39"/>
      <c r="W262" s="39"/>
      <c r="X262" s="39"/>
      <c r="Y262" s="12"/>
      <c r="Z262" s="453"/>
      <c r="AA262" s="453"/>
      <c r="AB262" s="67"/>
      <c r="AC262" s="995"/>
      <c r="AD262" s="1429"/>
      <c r="AE262" s="22" t="str">
        <f t="shared" si="122"/>
        <v>gezondheid overig</v>
      </c>
      <c r="AF262" s="22"/>
      <c r="AG262" s="1445" t="str">
        <f t="shared" si="113"/>
        <v/>
      </c>
      <c r="AH262" s="1449" t="str">
        <f t="shared" si="113"/>
        <v/>
      </c>
      <c r="AI262" s="1415"/>
      <c r="AJ262" s="1445" t="str">
        <f t="shared" si="114"/>
        <v/>
      </c>
      <c r="AK262" s="1442" t="str">
        <f t="shared" si="115"/>
        <v/>
      </c>
      <c r="AL262" s="1449" t="str">
        <f t="shared" si="116"/>
        <v/>
      </c>
      <c r="AM262" s="1420"/>
      <c r="AN262" s="1445" t="str">
        <f t="shared" si="117"/>
        <v/>
      </c>
      <c r="AO262" s="1442" t="str">
        <f t="shared" si="118"/>
        <v/>
      </c>
      <c r="AP262" s="1442" t="str">
        <f t="shared" si="119"/>
        <v/>
      </c>
      <c r="AQ262" s="1420"/>
      <c r="AR262" s="1450" t="str">
        <f t="shared" si="120"/>
        <v/>
      </c>
      <c r="AS262" s="67"/>
      <c r="AT262" s="995"/>
      <c r="AU262" s="12"/>
      <c r="AV262" s="12"/>
      <c r="AW262" s="12"/>
      <c r="AX262" s="12"/>
      <c r="AY262" s="12"/>
      <c r="AZ262" s="12"/>
      <c r="BA262" s="12"/>
      <c r="BB262" s="12"/>
      <c r="BC262" s="12"/>
      <c r="BD262" s="12"/>
      <c r="BE262" s="12"/>
      <c r="BF262" s="12"/>
      <c r="BG262" s="12"/>
      <c r="BH262" s="12"/>
      <c r="BI262" s="13"/>
    </row>
    <row r="263" spans="1:61">
      <c r="A263" s="86"/>
      <c r="B263" s="943"/>
      <c r="C263" s="943"/>
      <c r="D263" s="943"/>
      <c r="E263" s="14"/>
      <c r="F263" s="22" t="s">
        <v>423</v>
      </c>
      <c r="G263" s="214" t="str">
        <f t="shared" si="121"/>
        <v/>
      </c>
      <c r="H263" s="214" t="str">
        <f t="shared" si="121"/>
        <v/>
      </c>
      <c r="I263" s="214" t="str">
        <f t="shared" si="121"/>
        <v/>
      </c>
      <c r="J263" s="214" t="str">
        <f t="shared" si="121"/>
        <v/>
      </c>
      <c r="K263" s="214" t="str">
        <f t="shared" si="121"/>
        <v/>
      </c>
      <c r="L263" s="214" t="str">
        <f t="shared" si="121"/>
        <v/>
      </c>
      <c r="M263" s="214" t="str">
        <f t="shared" si="121"/>
        <v/>
      </c>
      <c r="N263" s="142" t="str">
        <f t="shared" si="112"/>
        <v/>
      </c>
      <c r="O263" s="44"/>
      <c r="P263" s="899"/>
      <c r="Q263" s="899"/>
      <c r="R263" s="899"/>
      <c r="S263" s="899"/>
      <c r="T263" s="899"/>
      <c r="U263" s="899"/>
      <c r="V263" s="39"/>
      <c r="W263" s="39"/>
      <c r="X263" s="39"/>
      <c r="Y263" s="12"/>
      <c r="Z263" s="453"/>
      <c r="AA263" s="453"/>
      <c r="AB263" s="67"/>
      <c r="AC263" s="995"/>
      <c r="AD263" s="891"/>
      <c r="AE263" s="22" t="str">
        <f t="shared" si="122"/>
        <v>gezondheid bedgebied</v>
      </c>
      <c r="AF263" s="22"/>
      <c r="AG263" s="1445" t="str">
        <f t="shared" si="113"/>
        <v/>
      </c>
      <c r="AH263" s="1449" t="str">
        <f t="shared" si="113"/>
        <v/>
      </c>
      <c r="AI263" s="1415"/>
      <c r="AJ263" s="1445" t="str">
        <f t="shared" si="114"/>
        <v/>
      </c>
      <c r="AK263" s="1442" t="str">
        <f t="shared" si="115"/>
        <v/>
      </c>
      <c r="AL263" s="1449" t="str">
        <f t="shared" si="116"/>
        <v/>
      </c>
      <c r="AM263" s="1420"/>
      <c r="AN263" s="1445" t="str">
        <f t="shared" si="117"/>
        <v/>
      </c>
      <c r="AO263" s="1442" t="str">
        <f t="shared" si="118"/>
        <v/>
      </c>
      <c r="AP263" s="1442" t="str">
        <f t="shared" si="119"/>
        <v/>
      </c>
      <c r="AQ263" s="1420"/>
      <c r="AR263" s="1450" t="str">
        <f t="shared" si="120"/>
        <v/>
      </c>
      <c r="AS263" s="67"/>
      <c r="AT263" s="995"/>
      <c r="AU263" s="12"/>
      <c r="AV263" s="12"/>
      <c r="AW263" s="12"/>
      <c r="AX263" s="12"/>
      <c r="AY263" s="12"/>
      <c r="AZ263" s="12"/>
      <c r="BA263" s="12"/>
      <c r="BB263" s="12"/>
      <c r="BC263" s="12"/>
      <c r="BD263" s="12"/>
      <c r="BE263" s="12"/>
      <c r="BF263" s="12"/>
      <c r="BG263" s="12"/>
      <c r="BH263" s="12"/>
      <c r="BI263" s="13"/>
    </row>
    <row r="264" spans="1:61">
      <c r="A264" s="86"/>
      <c r="B264" s="943"/>
      <c r="C264" s="943"/>
      <c r="D264" s="943"/>
      <c r="E264" s="14"/>
      <c r="F264" s="22" t="s">
        <v>307</v>
      </c>
      <c r="G264" s="214" t="str">
        <f t="shared" si="121"/>
        <v/>
      </c>
      <c r="H264" s="214" t="str">
        <f t="shared" si="121"/>
        <v/>
      </c>
      <c r="I264" s="214" t="str">
        <f t="shared" si="121"/>
        <v/>
      </c>
      <c r="J264" s="214" t="str">
        <f t="shared" si="121"/>
        <v/>
      </c>
      <c r="K264" s="214" t="str">
        <f t="shared" si="121"/>
        <v/>
      </c>
      <c r="L264" s="214" t="str">
        <f t="shared" si="121"/>
        <v/>
      </c>
      <c r="M264" s="214" t="str">
        <f t="shared" si="121"/>
        <v/>
      </c>
      <c r="N264" s="142" t="str">
        <f t="shared" si="112"/>
        <v/>
      </c>
      <c r="O264" s="44"/>
      <c r="P264" s="899"/>
      <c r="Q264" s="899"/>
      <c r="R264" s="899"/>
      <c r="S264" s="899"/>
      <c r="T264" s="899"/>
      <c r="U264" s="899"/>
      <c r="V264" s="39"/>
      <c r="W264" s="39"/>
      <c r="X264" s="39"/>
      <c r="Y264" s="12"/>
      <c r="Z264" s="453"/>
      <c r="AA264" s="453"/>
      <c r="AB264" s="67"/>
      <c r="AC264" s="995"/>
      <c r="AD264" s="891"/>
      <c r="AE264" s="22" t="str">
        <f t="shared" si="122"/>
        <v>winkel</v>
      </c>
      <c r="AF264" s="22"/>
      <c r="AG264" s="1445" t="str">
        <f t="shared" si="113"/>
        <v/>
      </c>
      <c r="AH264" s="1449" t="str">
        <f t="shared" si="113"/>
        <v/>
      </c>
      <c r="AI264" s="1415"/>
      <c r="AJ264" s="1445" t="str">
        <f t="shared" si="114"/>
        <v/>
      </c>
      <c r="AK264" s="1442" t="str">
        <f t="shared" si="115"/>
        <v/>
      </c>
      <c r="AL264" s="1449" t="str">
        <f t="shared" si="116"/>
        <v/>
      </c>
      <c r="AM264" s="1420"/>
      <c r="AN264" s="1445" t="str">
        <f t="shared" si="117"/>
        <v/>
      </c>
      <c r="AO264" s="1442" t="str">
        <f t="shared" si="118"/>
        <v/>
      </c>
      <c r="AP264" s="1442" t="str">
        <f t="shared" si="119"/>
        <v/>
      </c>
      <c r="AQ264" s="1420"/>
      <c r="AR264" s="1450" t="str">
        <f t="shared" si="120"/>
        <v/>
      </c>
      <c r="AS264" s="67"/>
      <c r="AT264" s="995"/>
      <c r="AU264" s="12"/>
      <c r="AV264" s="12"/>
      <c r="AW264" s="12"/>
      <c r="AX264" s="12"/>
      <c r="AY264" s="12"/>
      <c r="AZ264" s="12"/>
      <c r="BA264" s="12"/>
      <c r="BB264" s="12"/>
      <c r="BC264" s="12"/>
      <c r="BD264" s="12"/>
      <c r="BE264" s="12"/>
      <c r="BF264" s="12"/>
      <c r="BG264" s="12"/>
      <c r="BH264" s="12"/>
      <c r="BI264" s="13"/>
    </row>
    <row r="265" spans="1:61">
      <c r="A265" s="86"/>
      <c r="B265" s="943"/>
      <c r="C265" s="943"/>
      <c r="D265" s="943"/>
      <c r="E265" s="14"/>
      <c r="F265" s="22" t="s">
        <v>306</v>
      </c>
      <c r="G265" s="214" t="str">
        <f t="shared" si="121"/>
        <v/>
      </c>
      <c r="H265" s="214" t="str">
        <f t="shared" si="121"/>
        <v/>
      </c>
      <c r="I265" s="214" t="str">
        <f t="shared" si="121"/>
        <v/>
      </c>
      <c r="J265" s="214" t="str">
        <f t="shared" si="121"/>
        <v/>
      </c>
      <c r="K265" s="214" t="str">
        <f t="shared" si="121"/>
        <v/>
      </c>
      <c r="L265" s="214" t="str">
        <f t="shared" si="121"/>
        <v/>
      </c>
      <c r="M265" s="214" t="str">
        <f t="shared" si="121"/>
        <v/>
      </c>
      <c r="N265" s="142" t="str">
        <f t="shared" si="112"/>
        <v/>
      </c>
      <c r="O265" s="44"/>
      <c r="P265" s="899"/>
      <c r="Q265" s="899"/>
      <c r="R265" s="899"/>
      <c r="S265" s="899"/>
      <c r="T265" s="899"/>
      <c r="U265" s="899"/>
      <c r="V265" s="39"/>
      <c r="W265" s="39"/>
      <c r="X265" s="39"/>
      <c r="Y265" s="12"/>
      <c r="Z265" s="453"/>
      <c r="AA265" s="453"/>
      <c r="AB265" s="67"/>
      <c r="AC265" s="995"/>
      <c r="AD265" s="891"/>
      <c r="AE265" s="22" t="str">
        <f t="shared" si="122"/>
        <v>sport</v>
      </c>
      <c r="AF265" s="22"/>
      <c r="AG265" s="1445" t="str">
        <f t="shared" si="113"/>
        <v/>
      </c>
      <c r="AH265" s="1449" t="str">
        <f t="shared" si="113"/>
        <v/>
      </c>
      <c r="AI265" s="1415"/>
      <c r="AJ265" s="1445" t="str">
        <f t="shared" si="114"/>
        <v/>
      </c>
      <c r="AK265" s="1442" t="str">
        <f t="shared" si="115"/>
        <v/>
      </c>
      <c r="AL265" s="1449" t="str">
        <f t="shared" si="116"/>
        <v/>
      </c>
      <c r="AM265" s="1420"/>
      <c r="AN265" s="1445" t="str">
        <f t="shared" si="117"/>
        <v/>
      </c>
      <c r="AO265" s="1442" t="str">
        <f t="shared" si="118"/>
        <v/>
      </c>
      <c r="AP265" s="1442" t="str">
        <f t="shared" si="119"/>
        <v/>
      </c>
      <c r="AQ265" s="1420"/>
      <c r="AR265" s="1450" t="str">
        <f t="shared" si="120"/>
        <v/>
      </c>
      <c r="AS265" s="67"/>
      <c r="AT265" s="995"/>
      <c r="AU265" s="12"/>
      <c r="AV265" s="12"/>
      <c r="AW265" s="12"/>
      <c r="AX265" s="12"/>
      <c r="AY265" s="12"/>
      <c r="AZ265" s="12"/>
      <c r="BA265" s="12"/>
      <c r="BB265" s="12"/>
      <c r="BC265" s="12"/>
      <c r="BD265" s="12"/>
      <c r="BE265" s="12"/>
      <c r="BF265" s="12"/>
      <c r="BG265" s="12"/>
      <c r="BH265" s="12"/>
      <c r="BI265" s="13"/>
    </row>
    <row r="266" spans="1:61">
      <c r="A266" s="86"/>
      <c r="B266" s="943"/>
      <c r="C266" s="943"/>
      <c r="D266" s="943"/>
      <c r="E266" s="14"/>
      <c r="F266" s="22" t="s">
        <v>424</v>
      </c>
      <c r="G266" s="214" t="str">
        <f t="shared" si="121"/>
        <v/>
      </c>
      <c r="H266" s="214" t="str">
        <f t="shared" si="121"/>
        <v/>
      </c>
      <c r="I266" s="214" t="str">
        <f t="shared" si="121"/>
        <v/>
      </c>
      <c r="J266" s="214" t="str">
        <f t="shared" si="121"/>
        <v/>
      </c>
      <c r="K266" s="214" t="str">
        <f t="shared" si="121"/>
        <v/>
      </c>
      <c r="L266" s="214" t="str">
        <f t="shared" si="121"/>
        <v/>
      </c>
      <c r="M266" s="214" t="str">
        <f t="shared" si="121"/>
        <v/>
      </c>
      <c r="N266" s="142" t="str">
        <f t="shared" si="112"/>
        <v/>
      </c>
      <c r="O266" s="44"/>
      <c r="P266" s="899"/>
      <c r="Q266" s="899"/>
      <c r="R266" s="899"/>
      <c r="S266" s="899"/>
      <c r="T266" s="899"/>
      <c r="U266" s="899"/>
      <c r="V266" s="39"/>
      <c r="W266" s="39"/>
      <c r="X266" s="39"/>
      <c r="Y266" s="12"/>
      <c r="Z266" s="453"/>
      <c r="AA266" s="453"/>
      <c r="AB266" s="67"/>
      <c r="AC266" s="995"/>
      <c r="AD266" s="1429"/>
      <c r="AE266" s="22" t="str">
        <f t="shared" si="122"/>
        <v>logies in logiesgebouw</v>
      </c>
      <c r="AF266" s="22"/>
      <c r="AG266" s="1445" t="str">
        <f t="shared" si="113"/>
        <v/>
      </c>
      <c r="AH266" s="1449" t="str">
        <f t="shared" si="113"/>
        <v/>
      </c>
      <c r="AI266" s="1415"/>
      <c r="AJ266" s="1445" t="str">
        <f t="shared" si="114"/>
        <v/>
      </c>
      <c r="AK266" s="1442" t="str">
        <f t="shared" si="115"/>
        <v/>
      </c>
      <c r="AL266" s="1449" t="str">
        <f t="shared" si="116"/>
        <v/>
      </c>
      <c r="AM266" s="1420"/>
      <c r="AN266" s="1445" t="str">
        <f t="shared" si="117"/>
        <v/>
      </c>
      <c r="AO266" s="1442" t="str">
        <f t="shared" si="118"/>
        <v/>
      </c>
      <c r="AP266" s="1442" t="str">
        <f t="shared" si="119"/>
        <v/>
      </c>
      <c r="AQ266" s="1420"/>
      <c r="AR266" s="1450" t="str">
        <f t="shared" si="120"/>
        <v/>
      </c>
      <c r="AS266" s="67"/>
      <c r="AT266" s="995"/>
      <c r="AU266" s="12"/>
      <c r="AV266" s="12"/>
      <c r="AW266" s="12"/>
      <c r="AX266" s="12"/>
      <c r="AY266" s="12"/>
      <c r="AZ266" s="12"/>
      <c r="BA266" s="12"/>
      <c r="BB266" s="12"/>
      <c r="BC266" s="12"/>
      <c r="BD266" s="12"/>
      <c r="BE266" s="12"/>
      <c r="BF266" s="12"/>
      <c r="BG266" s="12"/>
      <c r="BH266" s="12"/>
      <c r="BI266" s="13"/>
    </row>
    <row r="267" spans="1:61">
      <c r="A267" s="86"/>
      <c r="B267" s="943"/>
      <c r="C267" s="943"/>
      <c r="D267" s="943"/>
      <c r="E267" s="14"/>
      <c r="F267" s="22" t="s">
        <v>425</v>
      </c>
      <c r="G267" s="214" t="str">
        <f t="shared" si="121"/>
        <v/>
      </c>
      <c r="H267" s="214" t="str">
        <f t="shared" si="121"/>
        <v/>
      </c>
      <c r="I267" s="214" t="str">
        <f t="shared" si="121"/>
        <v/>
      </c>
      <c r="J267" s="214" t="str">
        <f t="shared" si="121"/>
        <v/>
      </c>
      <c r="K267" s="214" t="str">
        <f t="shared" si="121"/>
        <v/>
      </c>
      <c r="L267" s="214" t="str">
        <f t="shared" si="121"/>
        <v/>
      </c>
      <c r="M267" s="214" t="str">
        <f t="shared" si="121"/>
        <v/>
      </c>
      <c r="N267" s="142" t="str">
        <f t="shared" si="112"/>
        <v/>
      </c>
      <c r="O267" s="44"/>
      <c r="P267" s="899"/>
      <c r="Q267" s="899"/>
      <c r="R267" s="899"/>
      <c r="S267" s="899"/>
      <c r="T267" s="899"/>
      <c r="U267" s="899"/>
      <c r="V267" s="39"/>
      <c r="W267" s="39"/>
      <c r="X267" s="39"/>
      <c r="Y267" s="12"/>
      <c r="Z267" s="453"/>
      <c r="AA267" s="453"/>
      <c r="AB267" s="67"/>
      <c r="AC267" s="995"/>
      <c r="AD267" s="891" t="s">
        <v>396</v>
      </c>
      <c r="AE267" s="22" t="str">
        <f t="shared" si="122"/>
        <v>cel</v>
      </c>
      <c r="AF267" s="22"/>
      <c r="AG267" s="1445" t="str">
        <f t="shared" si="113"/>
        <v/>
      </c>
      <c r="AH267" s="1449" t="str">
        <f t="shared" si="113"/>
        <v/>
      </c>
      <c r="AI267" s="1415"/>
      <c r="AJ267" s="1445" t="str">
        <f t="shared" si="114"/>
        <v/>
      </c>
      <c r="AK267" s="1442" t="str">
        <f t="shared" si="115"/>
        <v/>
      </c>
      <c r="AL267" s="1449" t="str">
        <f t="shared" si="116"/>
        <v/>
      </c>
      <c r="AM267" s="1420"/>
      <c r="AN267" s="1445" t="str">
        <f t="shared" si="117"/>
        <v/>
      </c>
      <c r="AO267" s="1442" t="str">
        <f t="shared" si="118"/>
        <v/>
      </c>
      <c r="AP267" s="1442" t="str">
        <f t="shared" si="119"/>
        <v/>
      </c>
      <c r="AQ267" s="1420"/>
      <c r="AR267" s="1450" t="str">
        <f t="shared" si="120"/>
        <v/>
      </c>
      <c r="AS267" s="67"/>
      <c r="AT267" s="995"/>
      <c r="AU267" s="12"/>
      <c r="AV267" s="12"/>
      <c r="AW267" s="12"/>
      <c r="AX267" s="12"/>
      <c r="AY267" s="12"/>
      <c r="AZ267" s="12"/>
      <c r="BA267" s="12"/>
      <c r="BB267" s="12"/>
      <c r="BC267" s="12"/>
      <c r="BD267" s="12"/>
      <c r="BE267" s="12"/>
      <c r="BF267" s="12"/>
      <c r="BG267" s="12"/>
      <c r="BH267" s="12"/>
      <c r="BI267" s="13"/>
    </row>
    <row r="268" spans="1:61" ht="6.75" customHeight="1">
      <c r="A268" s="86"/>
      <c r="B268" s="943"/>
      <c r="C268" s="943"/>
      <c r="D268" s="943"/>
      <c r="E268" s="14"/>
      <c r="F268" s="43"/>
      <c r="G268" s="55"/>
      <c r="H268" s="55"/>
      <c r="I268" s="53"/>
      <c r="J268" s="55"/>
      <c r="K268" s="56"/>
      <c r="L268" s="148"/>
      <c r="M268" s="54"/>
      <c r="N268" s="16"/>
      <c r="O268" s="44"/>
      <c r="P268" s="899"/>
      <c r="Q268" s="899"/>
      <c r="R268" s="899"/>
      <c r="S268" s="899"/>
      <c r="T268" s="899"/>
      <c r="U268" s="899"/>
      <c r="V268" s="39"/>
      <c r="W268" s="39"/>
      <c r="X268" s="39"/>
      <c r="Y268" s="12"/>
      <c r="Z268" s="453"/>
      <c r="AA268" s="453"/>
      <c r="AB268" s="67"/>
      <c r="AC268" s="995"/>
      <c r="AD268" s="1435"/>
      <c r="AE268" s="43"/>
      <c r="AF268" s="43"/>
      <c r="AG268" s="1418"/>
      <c r="AH268" s="1418"/>
      <c r="AI268" s="1415"/>
      <c r="AJ268" s="1416"/>
      <c r="AK268" s="1419"/>
      <c r="AL268" s="1419"/>
      <c r="AM268" s="1420"/>
      <c r="AN268" s="1416"/>
      <c r="AO268" s="1416"/>
      <c r="AP268" s="1416"/>
      <c r="AQ268" s="1420"/>
      <c r="AR268" s="1416"/>
      <c r="AS268" s="67"/>
      <c r="AT268" s="995"/>
      <c r="AU268" s="12"/>
      <c r="AV268" s="12"/>
      <c r="AW268" s="12"/>
      <c r="AX268" s="12"/>
      <c r="AY268" s="12"/>
      <c r="AZ268" s="12"/>
      <c r="BA268" s="12"/>
      <c r="BB268" s="12"/>
      <c r="BC268" s="12"/>
      <c r="BD268" s="12"/>
      <c r="BE268" s="12"/>
      <c r="BF268" s="12"/>
      <c r="BG268" s="12"/>
      <c r="BH268" s="12"/>
      <c r="BI268" s="13"/>
    </row>
    <row r="269" spans="1:61">
      <c r="A269" s="86"/>
      <c r="B269" s="943" t="s">
        <v>1596</v>
      </c>
      <c r="C269" s="943"/>
      <c r="D269" s="943"/>
      <c r="E269" s="14"/>
      <c r="F269" s="22" t="s">
        <v>1597</v>
      </c>
      <c r="G269" s="214" t="str">
        <f>IFERROR(FIXED(ROUND($Q404*G$233/G$231,G$232),G$232),"")</f>
        <v>0</v>
      </c>
      <c r="H269" s="214" t="str">
        <f>IFERROR(FIXED(ROUND($Q404*H$233/H$231,H$232),H$232),"")</f>
        <v>0</v>
      </c>
      <c r="I269" s="214"/>
      <c r="J269" s="214" t="str">
        <f>IFERROR(FIXED(ROUND($Q404*J$233/J$231,J$232),J$232),"")</f>
        <v>0</v>
      </c>
      <c r="K269" s="214" t="str">
        <f>IFERROR(FIXED(ROUND($Q404*K$233/K$231,K$232),K$232),"")</f>
        <v>0.0</v>
      </c>
      <c r="L269" s="214"/>
      <c r="M269" s="214" t="str">
        <f>IFERROR(FIXED(ROUND($Q404*M$233/M$231,M$232),M$232),"")</f>
        <v>0</v>
      </c>
      <c r="N269" s="142">
        <f>IF($M$58&gt;0,$M$58/$M$58*$J$275,"")</f>
        <v>1</v>
      </c>
      <c r="O269" s="44"/>
      <c r="P269" s="899"/>
      <c r="Q269" s="899"/>
      <c r="R269" s="899"/>
      <c r="S269" s="899"/>
      <c r="T269" s="899"/>
      <c r="U269" s="899"/>
      <c r="V269" s="39"/>
      <c r="W269" s="39"/>
      <c r="X269" s="39"/>
      <c r="Y269" s="12"/>
      <c r="Z269" s="453"/>
      <c r="AA269" s="453"/>
      <c r="AB269" s="67"/>
      <c r="AC269" s="995"/>
      <c r="AD269" s="891" t="s">
        <v>396</v>
      </c>
      <c r="AE269" s="22" t="str">
        <f>F269</f>
        <v>combinatiegebouw</v>
      </c>
      <c r="AF269" s="22"/>
      <c r="AG269" s="1445">
        <f>IF($N269&lt;&gt;"",F385,"")</f>
        <v>4.3349538492853554</v>
      </c>
      <c r="AH269" s="1449">
        <f>IF($N269&lt;&gt;"",G385,"")</f>
        <v>-3.9773319655195288E-2</v>
      </c>
      <c r="AI269" s="1415"/>
      <c r="AJ269" s="1445">
        <f>IFERROR(SUMPRODUCT($G$229:$M$229,$G249:$M249)/N269,"")</f>
        <v>0</v>
      </c>
      <c r="AK269" s="1442">
        <f>IFERROR(IF(N269&lt;&gt;"",$M$273,""),"")</f>
        <v>0</v>
      </c>
      <c r="AL269" s="1449">
        <f>IF(N269&lt;&gt;"",SUM(AJ269,AK269),"")</f>
        <v>0</v>
      </c>
      <c r="AM269" s="1420"/>
      <c r="AN269" s="1445">
        <f>IF($N269&lt;&gt;"",N404,"")</f>
        <v>-3.8855112523342866E-4</v>
      </c>
      <c r="AO269" s="1442">
        <f>IF(N269&lt;&gt;"",$J$272,"")</f>
        <v>0</v>
      </c>
      <c r="AP269" s="1449">
        <f>IF($N269&lt;&gt;"",SUM(AN269,AO269),"")</f>
        <v>-3.8855112523342866E-4</v>
      </c>
      <c r="AQ269" s="1420"/>
      <c r="AR269" s="1451">
        <f>IF($N269&lt;&gt;"",W404,"")</f>
        <v>9.9532093528295782</v>
      </c>
      <c r="AS269" s="67"/>
      <c r="AT269" s="995"/>
      <c r="AU269" s="12"/>
      <c r="AV269" s="12"/>
      <c r="AW269" s="12"/>
      <c r="AX269" s="12"/>
      <c r="AY269" s="12"/>
      <c r="AZ269" s="12"/>
      <c r="BA269" s="12"/>
      <c r="BB269" s="12"/>
      <c r="BC269" s="12"/>
      <c r="BD269" s="12"/>
      <c r="BE269" s="12"/>
      <c r="BF269" s="12"/>
      <c r="BG269" s="12"/>
      <c r="BH269" s="12"/>
      <c r="BI269" s="13"/>
    </row>
    <row r="270" spans="1:61">
      <c r="A270" s="86"/>
      <c r="B270" s="943"/>
      <c r="C270" s="943"/>
      <c r="D270" s="943"/>
      <c r="E270" s="14"/>
      <c r="F270" s="43"/>
      <c r="G270" s="55"/>
      <c r="H270" s="55"/>
      <c r="I270" s="53"/>
      <c r="J270" s="55"/>
      <c r="K270" s="56"/>
      <c r="L270" s="148"/>
      <c r="M270" s="54"/>
      <c r="N270" s="16"/>
      <c r="O270" s="44"/>
      <c r="P270" s="899"/>
      <c r="Q270" s="899"/>
      <c r="R270" s="899"/>
      <c r="S270" s="899"/>
      <c r="T270" s="899"/>
      <c r="U270" s="899"/>
      <c r="V270" s="39"/>
      <c r="W270" s="39"/>
      <c r="X270" s="39"/>
      <c r="Y270" s="12"/>
      <c r="Z270" s="453"/>
      <c r="AA270" s="453"/>
      <c r="AB270" s="67"/>
      <c r="AC270" s="995"/>
      <c r="AD270" s="1405"/>
      <c r="AE270" s="1405"/>
      <c r="AF270" s="1405"/>
      <c r="AG270" s="1405"/>
      <c r="AH270" s="1405"/>
      <c r="AI270" s="1405"/>
      <c r="AJ270" s="1405"/>
      <c r="AK270" s="1405"/>
      <c r="AL270" s="1405"/>
      <c r="AM270" s="1405"/>
      <c r="AN270" s="1405"/>
      <c r="AO270" s="1405"/>
      <c r="AP270" s="1405"/>
      <c r="AQ270" s="1405"/>
      <c r="AR270" s="1405"/>
      <c r="AS270" s="67"/>
      <c r="AT270" s="995"/>
      <c r="AU270" s="12"/>
      <c r="AV270" s="12"/>
      <c r="AW270" s="12"/>
      <c r="AX270" s="12"/>
      <c r="AY270" s="12"/>
      <c r="AZ270" s="12"/>
      <c r="BA270" s="12"/>
      <c r="BB270" s="12"/>
      <c r="BC270" s="12"/>
      <c r="BD270" s="12"/>
      <c r="BE270" s="12"/>
      <c r="BF270" s="12"/>
      <c r="BG270" s="12"/>
      <c r="BH270" s="12"/>
      <c r="BI270" s="13"/>
    </row>
    <row r="271" spans="1:61">
      <c r="A271" s="139" t="s">
        <v>396</v>
      </c>
      <c r="B271" s="944"/>
      <c r="C271" s="944"/>
      <c r="D271" s="944"/>
      <c r="E271" s="14"/>
      <c r="F271" s="15" t="s">
        <v>1712</v>
      </c>
      <c r="G271" s="44"/>
      <c r="H271" s="44"/>
      <c r="I271" s="44"/>
      <c r="J271" s="44"/>
      <c r="K271" s="44"/>
      <c r="L271" s="44"/>
      <c r="M271" s="39"/>
      <c r="N271" s="39"/>
      <c r="O271" s="901"/>
      <c r="P271" s="901"/>
      <c r="Q271" s="901"/>
      <c r="R271" s="901"/>
      <c r="S271" s="901"/>
      <c r="T271" s="901"/>
      <c r="U271" s="901"/>
      <c r="V271" s="901"/>
      <c r="W271" s="39"/>
      <c r="X271" s="39"/>
      <c r="Y271" s="39"/>
      <c r="Z271" s="39"/>
      <c r="AA271" s="39"/>
      <c r="AB271" s="67"/>
      <c r="AC271" s="995"/>
      <c r="AD271" s="1405"/>
      <c r="AE271" s="1405"/>
      <c r="AF271" s="1405"/>
      <c r="AG271" s="1405"/>
      <c r="AH271" s="1405"/>
      <c r="AI271" s="1405"/>
      <c r="AJ271" s="1405"/>
      <c r="AK271" s="1405"/>
      <c r="AL271" s="1405"/>
      <c r="AM271" s="1405"/>
      <c r="AN271" s="1405"/>
      <c r="AO271" s="1405"/>
      <c r="AP271" s="1405"/>
      <c r="AQ271" s="1405"/>
      <c r="AR271" s="1405"/>
      <c r="AS271" s="67"/>
      <c r="AT271" s="995"/>
      <c r="AU271" s="12"/>
      <c r="AV271" s="12" t="s">
        <v>1662</v>
      </c>
      <c r="AW271" s="12"/>
      <c r="AX271" s="12"/>
      <c r="AY271" s="12"/>
      <c r="AZ271" s="928" t="s">
        <v>513</v>
      </c>
      <c r="BA271" s="929"/>
      <c r="BB271" s="929"/>
      <c r="BC271" s="930"/>
      <c r="BD271" s="1"/>
      <c r="BE271" s="40"/>
      <c r="BF271" s="13"/>
      <c r="BG271" s="13"/>
      <c r="BH271" s="13"/>
      <c r="BI271" s="14"/>
    </row>
    <row r="272" spans="1:61">
      <c r="A272" s="139"/>
      <c r="B272" s="944"/>
      <c r="C272" s="944"/>
      <c r="D272" s="944"/>
      <c r="E272" s="14"/>
      <c r="F272" s="22" t="s">
        <v>1482</v>
      </c>
      <c r="G272" s="22"/>
      <c r="H272" s="22"/>
      <c r="I272" s="44"/>
      <c r="J272" s="420"/>
      <c r="K272" s="47" t="s">
        <v>440</v>
      </c>
      <c r="L272" s="47"/>
      <c r="M272" s="47"/>
      <c r="N272" s="47"/>
      <c r="O272" s="901"/>
      <c r="P272" s="901"/>
      <c r="Q272" s="901"/>
      <c r="R272" s="901"/>
      <c r="S272" s="901"/>
      <c r="T272" s="901"/>
      <c r="U272" s="901"/>
      <c r="V272" s="901"/>
      <c r="W272" s="39"/>
      <c r="X272" s="39"/>
      <c r="Y272" s="39"/>
      <c r="Z272" s="39"/>
      <c r="AA272" s="39"/>
      <c r="AB272" s="67"/>
      <c r="AC272" s="995"/>
      <c r="AD272" s="891" t="s">
        <v>396</v>
      </c>
      <c r="AE272" s="1383" t="str">
        <f>IF(P24=GPR4.3,"score op subthema 'Materiaalprestatie'","score op maatregelgroep 'Milieuprestatie Gebouw (MPG)'")</f>
        <v>score op maatregelgroep 'Milieuprestatie Gebouw (MPG)'</v>
      </c>
      <c r="AF272" s="1383"/>
      <c r="AG272" s="1383"/>
      <c r="AH272" s="1384">
        <f>IFERROR($N$363,"")</f>
        <v>0</v>
      </c>
      <c r="AI272" s="1388"/>
      <c r="AJ272" s="1405"/>
      <c r="AK272" s="1405"/>
      <c r="AL272" s="1405"/>
      <c r="AM272" s="1405"/>
      <c r="AN272" s="1405"/>
      <c r="AO272" s="1405"/>
      <c r="AP272" s="1405"/>
      <c r="AQ272" s="1405"/>
      <c r="AR272" s="1405"/>
      <c r="AS272" s="67"/>
      <c r="AT272" s="995"/>
      <c r="AU272" s="12"/>
      <c r="AV272" s="1060">
        <v>6</v>
      </c>
      <c r="AW272" s="1060">
        <v>10</v>
      </c>
      <c r="AX272" s="12"/>
      <c r="AY272" s="12"/>
      <c r="AZ272" s="935" t="s">
        <v>515</v>
      </c>
      <c r="BA272" s="936">
        <f>1-BA273</f>
        <v>1</v>
      </c>
      <c r="BB272" s="937"/>
      <c r="BC272" s="938"/>
      <c r="BD272" s="1"/>
      <c r="BE272" s="40"/>
      <c r="BF272" s="13"/>
      <c r="BG272" s="13"/>
      <c r="BH272" s="13"/>
      <c r="BI272" s="14"/>
    </row>
    <row r="273" spans="1:61">
      <c r="A273" s="212"/>
      <c r="B273" s="898"/>
      <c r="C273" s="898"/>
      <c r="D273" s="898"/>
      <c r="E273" s="14"/>
      <c r="F273" s="22" t="s">
        <v>1483</v>
      </c>
      <c r="G273" s="22"/>
      <c r="H273" s="22"/>
      <c r="I273" s="44"/>
      <c r="J273" s="25"/>
      <c r="K273" s="47" t="str">
        <f>IF(P24=GPR4.3,"kg CO2 eq/jaar.m2 BVO","kg CO2eq/jaar")</f>
        <v>kg CO2eq/jaar</v>
      </c>
      <c r="L273" s="47"/>
      <c r="M273" s="115">
        <f>IFERROR(IF(P24=GPR4.3,J273,J273/J275),0)</f>
        <v>0</v>
      </c>
      <c r="N273" s="47" t="s">
        <v>1407</v>
      </c>
      <c r="O273" s="901"/>
      <c r="P273" s="901"/>
      <c r="Q273" s="901"/>
      <c r="R273" s="901"/>
      <c r="S273" s="901"/>
      <c r="T273" s="901"/>
      <c r="U273" s="901"/>
      <c r="V273" s="901"/>
      <c r="W273" s="39"/>
      <c r="X273" s="39"/>
      <c r="Y273" s="39"/>
      <c r="Z273" s="39"/>
      <c r="AA273" s="39"/>
      <c r="AB273" s="67"/>
      <c r="AC273" s="995"/>
      <c r="AD273" s="891"/>
      <c r="AE273" s="1389" t="s">
        <v>1710</v>
      </c>
      <c r="AF273" s="1389"/>
      <c r="AG273" s="1696" t="s">
        <v>297</v>
      </c>
      <c r="AH273" s="1697"/>
      <c r="AI273" s="1388"/>
      <c r="AJ273" s="1405"/>
      <c r="AK273" s="1405"/>
      <c r="AL273" s="1405"/>
      <c r="AM273" s="1405"/>
      <c r="AN273" s="1405"/>
      <c r="AO273" s="1405"/>
      <c r="AP273" s="1405"/>
      <c r="AQ273" s="1405"/>
      <c r="AR273" s="1405"/>
      <c r="AS273" s="67"/>
      <c r="AT273" s="995"/>
      <c r="AU273" s="12"/>
      <c r="AV273" s="1060">
        <f>INDEX(MPG_punten_6,MATCH($AG$273,MPG_punten_lijst,0),MATCH($P$24&amp;" | "&amp;$P$25,MPG_punten_6_titels,0))</f>
        <v>0</v>
      </c>
      <c r="AW273" s="1060">
        <f>INDEX(MPG_punten_10,MATCH($AG$273,MPG_punten_lijst,0),MATCH($P$24&amp;" | "&amp;$P$25,MPG_punten_10_titels,0))</f>
        <v>140</v>
      </c>
      <c r="AX273" s="13"/>
      <c r="AY273" s="13"/>
      <c r="AZ273" s="931" t="s">
        <v>514</v>
      </c>
      <c r="BA273" s="932">
        <v>0</v>
      </c>
      <c r="BB273" s="933"/>
      <c r="BC273" s="934"/>
      <c r="BD273" s="13"/>
      <c r="BE273" s="40"/>
      <c r="BF273" s="13"/>
      <c r="BG273" s="13"/>
      <c r="BH273" s="13"/>
      <c r="BI273" s="14"/>
    </row>
    <row r="274" spans="1:61">
      <c r="A274" s="139" t="s">
        <v>396</v>
      </c>
      <c r="B274" s="944"/>
      <c r="C274" s="944"/>
      <c r="D274" s="944"/>
      <c r="E274" s="14"/>
      <c r="F274" s="920" t="s">
        <v>1515</v>
      </c>
      <c r="G274" s="905"/>
      <c r="H274" s="905"/>
      <c r="I274" s="905"/>
      <c r="J274" s="905"/>
      <c r="K274" s="905"/>
      <c r="L274" s="905"/>
      <c r="M274" s="39"/>
      <c r="N274" s="39"/>
      <c r="O274" s="39"/>
      <c r="P274" s="39"/>
      <c r="Q274" s="39"/>
      <c r="R274" s="39"/>
      <c r="S274" s="39"/>
      <c r="T274" s="39"/>
      <c r="U274" s="39"/>
      <c r="V274" s="39"/>
      <c r="W274" s="39"/>
      <c r="X274" s="39"/>
      <c r="Y274" s="39"/>
      <c r="Z274" s="39"/>
      <c r="AA274" s="39"/>
      <c r="AB274" s="67"/>
      <c r="AC274" s="995"/>
      <c r="AD274" s="891" t="s">
        <v>396</v>
      </c>
      <c r="AE274" s="1389" t="s">
        <v>1588</v>
      </c>
      <c r="AF274" s="1389"/>
      <c r="AG274" s="1411"/>
      <c r="AH274" s="1385">
        <f>_xlfn.FORECAST.LINEAR(MIN(10,AH272),AV273:AW273,AV272:AW272)</f>
        <v>-210</v>
      </c>
      <c r="AI274" s="1388"/>
      <c r="AJ274" s="1405"/>
      <c r="AK274" s="1405"/>
      <c r="AL274" s="1405"/>
      <c r="AM274" s="1405"/>
      <c r="AN274" s="1405"/>
      <c r="AO274" s="1405"/>
      <c r="AP274" s="1405"/>
      <c r="AQ274" s="1405"/>
      <c r="AR274" s="1405"/>
      <c r="AS274" s="67"/>
      <c r="AT274" s="995"/>
      <c r="AU274" s="12"/>
      <c r="AV274" s="12"/>
      <c r="AW274" s="12"/>
      <c r="AX274" s="13"/>
      <c r="AY274" s="13"/>
      <c r="AZ274" s="13"/>
      <c r="BA274" s="13"/>
      <c r="BB274" s="12"/>
      <c r="BC274" s="12"/>
      <c r="BD274" s="12"/>
      <c r="BE274" s="40"/>
      <c r="BF274" s="13"/>
      <c r="BG274" s="13"/>
      <c r="BH274" s="13"/>
      <c r="BI274" s="14"/>
    </row>
    <row r="275" spans="1:61">
      <c r="A275" s="139"/>
      <c r="B275" s="944"/>
      <c r="C275" s="944"/>
      <c r="D275" s="944"/>
      <c r="E275" s="14"/>
      <c r="F275" s="22" t="s">
        <v>1481</v>
      </c>
      <c r="G275" s="22"/>
      <c r="H275" s="22"/>
      <c r="I275" s="44"/>
      <c r="J275" s="25">
        <v>1</v>
      </c>
      <c r="K275" s="47" t="s">
        <v>512</v>
      </c>
      <c r="L275" s="47"/>
      <c r="M275" s="47"/>
      <c r="N275" s="47"/>
      <c r="O275" s="39"/>
      <c r="P275" s="39"/>
      <c r="Q275" s="39"/>
      <c r="R275" s="39"/>
      <c r="S275" s="39"/>
      <c r="T275" s="39"/>
      <c r="U275" s="39"/>
      <c r="V275" s="39"/>
      <c r="W275" s="39"/>
      <c r="X275" s="39"/>
      <c r="Y275" s="39"/>
      <c r="Z275" s="39"/>
      <c r="AA275" s="39"/>
      <c r="AB275" s="67"/>
      <c r="AC275" s="995"/>
      <c r="AD275" s="1405"/>
      <c r="AE275" s="1405"/>
      <c r="AF275" s="1405"/>
      <c r="AG275" s="1405"/>
      <c r="AH275" s="1405"/>
      <c r="AI275" s="1405"/>
      <c r="AJ275" s="1405"/>
      <c r="AK275" s="1405"/>
      <c r="AL275" s="1405"/>
      <c r="AM275" s="1405"/>
      <c r="AN275" s="1405"/>
      <c r="AO275" s="1405"/>
      <c r="AP275" s="1405"/>
      <c r="AQ275" s="1405"/>
      <c r="AR275" s="1405"/>
      <c r="AS275" s="67"/>
      <c r="AT275" s="995"/>
      <c r="AU275" s="12"/>
      <c r="AV275" s="12"/>
      <c r="AW275" s="12"/>
      <c r="AX275" s="12"/>
      <c r="AY275" s="12"/>
      <c r="AZ275" s="12"/>
      <c r="BA275" s="13"/>
      <c r="BB275" s="13"/>
      <c r="BC275" s="13"/>
      <c r="BD275" s="13"/>
      <c r="BE275" s="12"/>
      <c r="BF275" s="12"/>
      <c r="BG275" s="12"/>
      <c r="BH275" s="40"/>
      <c r="BI275" s="13"/>
    </row>
    <row r="276" spans="1:61">
      <c r="A276" s="139"/>
      <c r="B276" s="944"/>
      <c r="C276" s="944"/>
      <c r="D276" s="945"/>
      <c r="E276" s="920"/>
      <c r="F276" s="905"/>
      <c r="G276" s="905"/>
      <c r="H276" s="905"/>
      <c r="I276" s="905"/>
      <c r="J276" s="981"/>
      <c r="K276" s="905"/>
      <c r="L276" s="905"/>
      <c r="M276" s="39"/>
      <c r="N276" s="39"/>
      <c r="O276" s="39"/>
      <c r="P276" s="39"/>
      <c r="Q276" s="39"/>
      <c r="R276" s="39"/>
      <c r="S276" s="39"/>
      <c r="T276" s="39"/>
      <c r="U276" s="39"/>
      <c r="V276" s="39"/>
      <c r="W276" s="39"/>
      <c r="X276" s="39"/>
      <c r="Y276" s="12"/>
      <c r="Z276" s="12"/>
      <c r="AA276" s="12"/>
      <c r="AB276" s="920"/>
      <c r="AC276" s="999"/>
      <c r="AD276" s="1405"/>
      <c r="AE276" s="1405"/>
      <c r="AF276" s="1405"/>
      <c r="AG276" s="1405"/>
      <c r="AH276" s="1405"/>
      <c r="AI276" s="1405"/>
      <c r="AJ276" s="1405"/>
      <c r="AK276" s="1405"/>
      <c r="AL276" s="1405"/>
      <c r="AM276" s="1405"/>
      <c r="AN276" s="1405"/>
      <c r="AO276" s="1405"/>
      <c r="AP276" s="1405"/>
      <c r="AQ276" s="1405"/>
      <c r="AR276" s="1405"/>
      <c r="AS276" s="920"/>
      <c r="AT276" s="999"/>
      <c r="AU276" s="12"/>
      <c r="AV276" s="12"/>
      <c r="AW276" s="12"/>
      <c r="AX276" s="12"/>
      <c r="AY276" s="12"/>
      <c r="AZ276" s="12"/>
      <c r="BA276" s="12"/>
      <c r="BB276" s="12"/>
      <c r="BC276" s="12"/>
      <c r="BD276" s="12"/>
      <c r="BE276" s="12"/>
      <c r="BF276" s="12"/>
      <c r="BG276" s="12"/>
      <c r="BH276" s="12"/>
      <c r="BI276" s="12"/>
    </row>
    <row r="277" spans="1:61">
      <c r="E277" s="141" t="str">
        <f>"© W/E adviseurs, Utrecht/Eindhoven, versie rekenhulpmiddelen "&amp;TEXT(Wijzigingsblad!$B$3,"d mmmm jjjj")</f>
        <v>© W/E adviseurs, Utrecht/Eindhoven, versie rekenhulpmiddelen 17 april 2024</v>
      </c>
      <c r="K277" s="30"/>
      <c r="AB277" s="1395"/>
      <c r="AS277" s="1395"/>
    </row>
    <row r="301" spans="1:61" s="1299" customFormat="1" ht="25.5" hidden="1" customHeight="1">
      <c r="A301" s="1289" t="s">
        <v>493</v>
      </c>
      <c r="B301" s="1290"/>
      <c r="C301" s="1290"/>
      <c r="D301" s="1290"/>
      <c r="E301" s="1291"/>
      <c r="F301" s="1292" t="s">
        <v>1640</v>
      </c>
      <c r="G301" s="1293"/>
      <c r="H301" s="1294"/>
      <c r="I301" s="1295"/>
      <c r="J301" s="1293"/>
      <c r="K301" s="1296"/>
      <c r="L301" s="1297"/>
      <c r="M301" s="1291"/>
      <c r="N301" s="1291"/>
      <c r="O301" s="1297"/>
      <c r="P301" s="1297"/>
      <c r="Q301" s="1291"/>
      <c r="R301" s="1291"/>
      <c r="S301" s="1291"/>
      <c r="T301" s="1291"/>
      <c r="U301" s="1291"/>
      <c r="V301" s="1291"/>
      <c r="W301" s="1291"/>
      <c r="X301" s="1291"/>
      <c r="Y301" s="1291"/>
      <c r="Z301" s="1291"/>
      <c r="AA301" s="1291"/>
      <c r="AB301" s="1298"/>
      <c r="AC301" s="1298"/>
      <c r="AD301" s="1437"/>
      <c r="AE301" s="1298"/>
      <c r="AF301" s="1298"/>
      <c r="AG301" s="1298"/>
      <c r="AH301" s="1298"/>
      <c r="AI301" s="1298"/>
      <c r="AJ301" s="1298"/>
      <c r="AK301" s="1298"/>
      <c r="AL301" s="1298"/>
      <c r="AM301" s="1298"/>
      <c r="AN301" s="1298"/>
      <c r="AO301" s="1298"/>
      <c r="AP301" s="1298"/>
      <c r="AQ301" s="1298"/>
      <c r="AR301" s="1298"/>
      <c r="AS301" s="1298"/>
      <c r="AT301" s="1298"/>
      <c r="AU301" s="1298"/>
      <c r="AV301" s="1298"/>
      <c r="AW301" s="1298"/>
      <c r="AX301" s="1298"/>
      <c r="AY301" s="1298"/>
      <c r="AZ301" s="1298"/>
      <c r="BA301" s="1298"/>
      <c r="BB301" s="1298"/>
      <c r="BC301" s="1298"/>
      <c r="BD301" s="1298"/>
      <c r="BE301" s="1298"/>
      <c r="BF301" s="1298"/>
      <c r="BG301" s="1298"/>
      <c r="BH301" s="1298"/>
      <c r="BI301" s="1298"/>
    </row>
    <row r="302" spans="1:61" hidden="1">
      <c r="A302" s="212" t="s">
        <v>493</v>
      </c>
      <c r="B302" s="943"/>
      <c r="C302" s="943"/>
      <c r="D302" s="943"/>
      <c r="E302" s="1244"/>
      <c r="F302" s="1245"/>
      <c r="G302" s="1244"/>
      <c r="H302" s="1244"/>
      <c r="I302" s="1244"/>
      <c r="J302" s="1244"/>
      <c r="K302" s="1244"/>
      <c r="L302" s="1244"/>
      <c r="M302" s="1244"/>
      <c r="N302" s="1244"/>
      <c r="O302" s="1244"/>
      <c r="P302" s="1244"/>
      <c r="Q302" s="1244"/>
      <c r="R302" s="1244"/>
      <c r="S302" s="1244"/>
      <c r="T302" s="1244"/>
      <c r="U302" s="1244"/>
      <c r="V302" s="1244"/>
      <c r="W302" s="1244"/>
      <c r="X302" s="1244"/>
      <c r="Y302" s="1244"/>
      <c r="Z302" s="1244"/>
      <c r="AA302" s="1244"/>
      <c r="AB302" s="16"/>
      <c r="AC302" s="995"/>
      <c r="AD302" s="1428"/>
      <c r="AE302" s="1406"/>
      <c r="AF302" s="1406"/>
      <c r="AG302" s="1406"/>
      <c r="AH302" s="1406"/>
      <c r="AI302" s="1406"/>
      <c r="AJ302" s="1406"/>
      <c r="AK302" s="1406"/>
      <c r="AL302" s="1407"/>
      <c r="AM302" s="1407"/>
      <c r="AN302" s="995"/>
      <c r="AO302" s="995"/>
      <c r="AP302" s="995"/>
      <c r="AQ302" s="995"/>
      <c r="AR302" s="995"/>
      <c r="AS302" s="16"/>
      <c r="AT302" s="995"/>
      <c r="AU302" s="995"/>
      <c r="AV302" s="995"/>
      <c r="AW302" s="995"/>
      <c r="AX302" s="995"/>
      <c r="AY302" s="995"/>
      <c r="AZ302" s="995"/>
      <c r="BA302" s="995"/>
      <c r="BB302" s="995"/>
      <c r="BC302" s="995"/>
      <c r="BD302" s="995"/>
      <c r="BE302" s="995"/>
      <c r="BF302" s="995"/>
      <c r="BG302" s="995"/>
      <c r="BH302" s="995"/>
      <c r="BI302" s="995"/>
    </row>
    <row r="303" spans="1:61" ht="21" hidden="1">
      <c r="A303" s="212" t="s">
        <v>493</v>
      </c>
      <c r="C303" s="1163"/>
      <c r="E303" s="1246" t="s">
        <v>396</v>
      </c>
      <c r="F303" s="1171" t="str">
        <f>"Primaire energie bij bronmethode "&amp;EP_bronmethode</f>
        <v>Primaire energie bij bronmethode GPR 4.4 | NEN 7120</v>
      </c>
      <c r="G303" s="906"/>
      <c r="H303" s="1247"/>
      <c r="I303" s="1247"/>
      <c r="J303" s="1247"/>
      <c r="K303" s="1248"/>
      <c r="L303" s="1248"/>
      <c r="M303" s="1248"/>
      <c r="N303" s="1248"/>
      <c r="O303" s="1247"/>
      <c r="P303" s="1247"/>
      <c r="Q303" s="1247"/>
      <c r="R303" s="1247"/>
      <c r="S303" s="1171" t="str">
        <f>"Primaire energie bij doelmethode "&amp;EP_doelmethode</f>
        <v>Primaire energie bij doelmethode GPR 4.4 | NTA 8800</v>
      </c>
      <c r="T303" s="1247"/>
      <c r="U303" s="1247"/>
      <c r="V303" s="1248"/>
      <c r="W303" s="1248"/>
      <c r="X303" s="1248"/>
      <c r="Y303" s="1248"/>
      <c r="Z303" s="1175"/>
      <c r="AA303" s="1175"/>
      <c r="AB303" s="1396"/>
      <c r="AS303" s="1396"/>
    </row>
    <row r="304" spans="1:61" s="211" customFormat="1" ht="64" hidden="1">
      <c r="A304" s="212" t="s">
        <v>493</v>
      </c>
      <c r="B304" s="1163"/>
      <c r="C304" s="1164" t="s">
        <v>1638</v>
      </c>
      <c r="D304" s="1163"/>
      <c r="E304" s="1249"/>
      <c r="F304" s="1250" t="s">
        <v>523</v>
      </c>
      <c r="G304" s="1250" t="s">
        <v>524</v>
      </c>
      <c r="H304" s="1250" t="s">
        <v>525</v>
      </c>
      <c r="I304" s="1250"/>
      <c r="J304" s="1250" t="s">
        <v>526</v>
      </c>
      <c r="K304" s="1250" t="s">
        <v>527</v>
      </c>
      <c r="L304" s="1250"/>
      <c r="M304" s="1250" t="s">
        <v>528</v>
      </c>
      <c r="N304" s="1250" t="s">
        <v>529</v>
      </c>
      <c r="O304" s="1250"/>
      <c r="P304" s="1250" t="s">
        <v>530</v>
      </c>
      <c r="Q304" s="1249"/>
      <c r="R304" s="1249"/>
      <c r="S304" s="1250" t="s">
        <v>526</v>
      </c>
      <c r="T304" s="1250" t="s">
        <v>523</v>
      </c>
      <c r="U304" s="1250"/>
      <c r="V304" s="1250" t="s">
        <v>524</v>
      </c>
      <c r="W304" s="1250" t="s">
        <v>525</v>
      </c>
      <c r="X304" s="1250" t="s">
        <v>527</v>
      </c>
      <c r="Y304" s="1250"/>
      <c r="Z304" s="1250" t="s">
        <v>528</v>
      </c>
      <c r="AA304" s="1250" t="s">
        <v>530</v>
      </c>
      <c r="AB304" s="1397"/>
      <c r="AD304" s="1438"/>
      <c r="AE304" s="1423"/>
      <c r="AF304" s="1423"/>
      <c r="AG304" s="1423"/>
      <c r="AH304" s="1423"/>
      <c r="AI304" s="1423"/>
      <c r="AJ304" s="1423"/>
      <c r="AK304" s="1423"/>
      <c r="AL304" s="1424"/>
      <c r="AM304" s="1424"/>
      <c r="AS304" s="1397"/>
    </row>
    <row r="305" spans="1:45" hidden="1">
      <c r="A305" s="212" t="s">
        <v>493</v>
      </c>
      <c r="C305" s="1164" t="s">
        <v>204</v>
      </c>
      <c r="E305" s="1247"/>
      <c r="F305" s="1328" t="str">
        <f>INDEX(EP_Methode_BRON_per_GPR_Versie_Eenheid,MATCH(EP_bronmethode,GPR_Versie_En_EP_Methode,0))&amp;"/m2 Ag"</f>
        <v>MJ/m2 Ag</v>
      </c>
      <c r="G305" s="1328" t="str">
        <f>INDEX(EP_Methode_BRON_per_GPR_Versie_Eenheid,MATCH(EP_bronmethode,GPR_Versie_En_EP_Methode,0))&amp;"/m2 Ag"</f>
        <v>MJ/m2 Ag</v>
      </c>
      <c r="H305" s="1328" t="s">
        <v>132</v>
      </c>
      <c r="I305" s="1328"/>
      <c r="J305" s="1328" t="s">
        <v>132</v>
      </c>
      <c r="K305" s="1328" t="str">
        <f>INDEX(EP_Methode_BRON_per_GPR_Versie_Eenheid,MATCH(EP_bronmethode,GPR_Versie_En_EP_Methode,0))&amp;"/m2 Ag"</f>
        <v>MJ/m2 Ag</v>
      </c>
      <c r="L305" s="1328"/>
      <c r="M305" s="1328" t="str">
        <f>INDEX(EP_Methode_BRON_per_GPR_Versie_Eenheid,MATCH(EP_bronmethode,GPR_Versie_En_EP_Methode,0))</f>
        <v>MJ</v>
      </c>
      <c r="N305" s="1329" t="s">
        <v>132</v>
      </c>
      <c r="O305" s="1329"/>
      <c r="P305" s="1328" t="s">
        <v>132</v>
      </c>
      <c r="Q305" s="1330"/>
      <c r="R305" s="1330"/>
      <c r="S305" s="1328" t="s">
        <v>132</v>
      </c>
      <c r="T305" s="1328" t="str">
        <f>INDEX(EP_Methode_BRON_per_GPR_Versie_Eenheid,MATCH(EP_doelmethode,GPR_Versie_En_EP_Methode,0))&amp;"/m2 Ag"</f>
        <v>kWh/m2 Ag</v>
      </c>
      <c r="U305" s="1328"/>
      <c r="V305" s="1328" t="str">
        <f>INDEX(EP_Methode_BRON_per_GPR_Versie_Eenheid,MATCH(EP_doelmethode,GPR_Versie_En_EP_Methode,0))&amp;"/m2 Ag"</f>
        <v>kWh/m2 Ag</v>
      </c>
      <c r="W305" s="1328" t="s">
        <v>132</v>
      </c>
      <c r="X305" s="1328" t="str">
        <f>INDEX(EP_Methode_BRON_per_GPR_Versie_Eenheid,MATCH(EP_doelmethode,GPR_Versie_En_EP_Methode,0))&amp;"/m2 Ag"</f>
        <v>kWh/m2 Ag</v>
      </c>
      <c r="Y305" s="1328"/>
      <c r="Z305" s="1328" t="str">
        <f>INDEX(EP_Methode_BRON_per_GPR_Versie_Eenheid,MATCH(EP_doelmethode,GPR_Versie_En_EP_Methode,0))</f>
        <v>kWh</v>
      </c>
      <c r="AA305" s="1328" t="s">
        <v>132</v>
      </c>
      <c r="AB305" s="148"/>
      <c r="AS305" s="148"/>
    </row>
    <row r="306" spans="1:45" s="211" customFormat="1" hidden="1">
      <c r="A306" s="212" t="s">
        <v>493</v>
      </c>
      <c r="B306" s="1163"/>
      <c r="C306" s="1164" t="s">
        <v>1639</v>
      </c>
      <c r="D306" s="1163"/>
      <c r="E306" s="1252"/>
      <c r="F306" s="1165" t="s">
        <v>1410</v>
      </c>
      <c r="G306" s="1253"/>
      <c r="H306" s="1252"/>
      <c r="I306" s="1252"/>
      <c r="J306" s="1252"/>
      <c r="K306" s="1166" t="s">
        <v>1415</v>
      </c>
      <c r="L306" s="1689" t="s">
        <v>1413</v>
      </c>
      <c r="M306" s="1690"/>
      <c r="N306" s="1252"/>
      <c r="O306" s="1252"/>
      <c r="P306" s="1254" t="s">
        <v>1412</v>
      </c>
      <c r="Q306" s="1252"/>
      <c r="R306" s="1252"/>
      <c r="S306" s="1165" t="s">
        <v>1414</v>
      </c>
      <c r="T306" s="1252"/>
      <c r="U306" s="1252"/>
      <c r="V306" s="1252"/>
      <c r="W306" s="1252"/>
      <c r="X306" s="1166" t="s">
        <v>1416</v>
      </c>
      <c r="Y306" s="1689" t="s">
        <v>1417</v>
      </c>
      <c r="Z306" s="1690"/>
      <c r="AA306" s="1254" t="s">
        <v>1412</v>
      </c>
      <c r="AB306" s="1398"/>
      <c r="AD306" s="1438"/>
      <c r="AE306" s="1423"/>
      <c r="AF306" s="1423"/>
      <c r="AG306" s="1423"/>
      <c r="AH306" s="1423"/>
      <c r="AI306" s="1423"/>
      <c r="AJ306" s="1423"/>
      <c r="AK306" s="1423"/>
      <c r="AL306" s="1424"/>
      <c r="AM306" s="1424"/>
      <c r="AS306" s="1398"/>
    </row>
    <row r="307" spans="1:45" hidden="1">
      <c r="A307" s="212" t="s">
        <v>493</v>
      </c>
      <c r="C307" s="1164" t="str">
        <f t="shared" ref="C307:C318" si="123">F44</f>
        <v>woning</v>
      </c>
      <c r="E307" s="1248"/>
      <c r="F307" s="1255">
        <f t="shared" ref="F307:F318" si="124">INDEX(Prim_Energie_GPR_Score_6,MATCH($F44,Gebruiksfuncties,0),MATCH(EP_bronmethode,GPR_Versie_En_EP_Methode,0))</f>
        <v>438</v>
      </c>
      <c r="G307" s="1256">
        <f t="shared" ref="G307:G318" si="125">INDEX(Prim_Energie_GPR_Score_10,MATCH($F44,Gebruiksfuncties,0),MATCH(EP_bronmethode,GPR_Versie_En_EP_Methode,0))</f>
        <v>-211.96800000000002</v>
      </c>
      <c r="H307" s="1257">
        <f>(LN(6/10)/(F307-G307))</f>
        <v>-7.859242666808068E-4</v>
      </c>
      <c r="I307" s="1257"/>
      <c r="J307" s="1258">
        <f t="shared" ref="J307:J318" si="126">J$320</f>
        <v>9.0734999277903778</v>
      </c>
      <c r="K307" s="1255">
        <f t="shared" ref="K307:K318" si="127">IFERROR(LN(J307/10)/H307+G307,"")</f>
        <v>-88.257576691630277</v>
      </c>
      <c r="L307" s="1255"/>
      <c r="M307" s="1259">
        <f t="shared" ref="M307:M318" si="128">K307*$M44</f>
        <v>0</v>
      </c>
      <c r="N307" s="1260">
        <f t="shared" ref="N307:N318" si="129">IF(M$320=0,0,M307/M$320)</f>
        <v>0</v>
      </c>
      <c r="O307" s="1260"/>
      <c r="P307" s="1261">
        <f t="shared" ref="P307:P318" si="130">10*EXP(H307*(K307-G307))</f>
        <v>9.0734999277903778</v>
      </c>
      <c r="Q307" s="1248"/>
      <c r="R307" s="1248"/>
      <c r="S307" s="1262">
        <f t="shared" ref="S307:S318" si="131">J$320</f>
        <v>9.0734999277903778</v>
      </c>
      <c r="T307" s="1251">
        <f t="shared" ref="T307:T318" si="132">INDEX(Prim_Energie_GPR_Score_6,MATCH($F44,Gebruiksfuncties,0),MATCH(EP_doelmethode,GPR_Versie_En_EP_Methode,0))</f>
        <v>117</v>
      </c>
      <c r="U307" s="1251"/>
      <c r="V307" s="1263">
        <f t="shared" ref="V307:V318" si="133">INDEX(Prim_Energie_GPR_Score_10,MATCH($F44,Gebruiksfuncties,0),MATCH(EP_doelmethode,GPR_Versie_En_EP_Methode,0))</f>
        <v>-33.35</v>
      </c>
      <c r="W307" s="1257">
        <f t="shared" ref="W307:W318" si="134">(LN(6/10)/(T307-V307))</f>
        <v>-3.3975764799866362E-3</v>
      </c>
      <c r="X307" s="1264">
        <f t="shared" ref="X307:X318" si="135">IFERROR(LN(S307/10)/W307+V307,"")</f>
        <v>-4.7334186538208272</v>
      </c>
      <c r="Y307" s="1265"/>
      <c r="Z307" s="1266">
        <f t="shared" ref="Z307:Z318" si="136">X307*$M44</f>
        <v>0</v>
      </c>
      <c r="AA307" s="1258">
        <f t="shared" ref="AA307:AA318" si="137">10*EXP(W307*(X307-V307))</f>
        <v>9.0734999277903778</v>
      </c>
      <c r="AB307" s="1399"/>
      <c r="AS307" s="1399"/>
    </row>
    <row r="308" spans="1:45" hidden="1">
      <c r="A308" s="212" t="s">
        <v>493</v>
      </c>
      <c r="C308" s="1164" t="str">
        <f t="shared" si="123"/>
        <v>woongebouw</v>
      </c>
      <c r="E308" s="1248"/>
      <c r="F308" s="1267">
        <f t="shared" si="124"/>
        <v>438</v>
      </c>
      <c r="G308" s="1268">
        <f t="shared" si="125"/>
        <v>-211.96800000000002</v>
      </c>
      <c r="H308" s="1257">
        <f t="shared" ref="H308:H318" si="138">(LN(6/10)/(F308-G308))</f>
        <v>-7.859242666808068E-4</v>
      </c>
      <c r="I308" s="1257"/>
      <c r="J308" s="1258">
        <f t="shared" si="126"/>
        <v>9.0734999277903778</v>
      </c>
      <c r="K308" s="1267">
        <f t="shared" si="127"/>
        <v>-88.257576691630277</v>
      </c>
      <c r="L308" s="1267"/>
      <c r="M308" s="1269">
        <f t="shared" si="128"/>
        <v>0</v>
      </c>
      <c r="N308" s="1260">
        <f t="shared" si="129"/>
        <v>0</v>
      </c>
      <c r="O308" s="1260"/>
      <c r="P308" s="1261">
        <f t="shared" si="130"/>
        <v>9.0734999277903778</v>
      </c>
      <c r="Q308" s="1248"/>
      <c r="R308" s="1248"/>
      <c r="S308" s="1270">
        <f t="shared" si="131"/>
        <v>9.0734999277903778</v>
      </c>
      <c r="T308" s="1251">
        <f t="shared" si="132"/>
        <v>117</v>
      </c>
      <c r="U308" s="1251"/>
      <c r="V308" s="1263">
        <f t="shared" si="133"/>
        <v>-33.35</v>
      </c>
      <c r="W308" s="1257">
        <f t="shared" si="134"/>
        <v>-3.3975764799866362E-3</v>
      </c>
      <c r="X308" s="1271">
        <f t="shared" si="135"/>
        <v>-4.7334186538208272</v>
      </c>
      <c r="Y308" s="1272"/>
      <c r="Z308" s="1273">
        <f t="shared" si="136"/>
        <v>0</v>
      </c>
      <c r="AA308" s="1258">
        <f t="shared" si="137"/>
        <v>9.0734999277903778</v>
      </c>
      <c r="AB308" s="1399"/>
      <c r="AS308" s="1399"/>
    </row>
    <row r="309" spans="1:45" hidden="1">
      <c r="A309" s="212" t="s">
        <v>493</v>
      </c>
      <c r="C309" s="1164" t="str">
        <f t="shared" si="123"/>
        <v>kantoor</v>
      </c>
      <c r="E309" s="1248"/>
      <c r="F309" s="1267">
        <f t="shared" si="124"/>
        <v>656</v>
      </c>
      <c r="G309" s="1268">
        <f t="shared" si="125"/>
        <v>-317.79310344827587</v>
      </c>
      <c r="H309" s="1257">
        <f t="shared" si="138"/>
        <v>-5.2457305556705852E-4</v>
      </c>
      <c r="I309" s="1257"/>
      <c r="J309" s="1258">
        <f t="shared" si="126"/>
        <v>9.0734999277903778</v>
      </c>
      <c r="K309" s="1267">
        <f t="shared" si="127"/>
        <v>-132.44804485714945</v>
      </c>
      <c r="L309" s="1267"/>
      <c r="M309" s="1269">
        <f t="shared" si="128"/>
        <v>-13244.804485714945</v>
      </c>
      <c r="N309" s="1260">
        <f t="shared" si="129"/>
        <v>-970854435977553.75</v>
      </c>
      <c r="O309" s="1260"/>
      <c r="P309" s="1261">
        <f t="shared" si="130"/>
        <v>9.0734999277903778</v>
      </c>
      <c r="Q309" s="1248"/>
      <c r="R309" s="1248"/>
      <c r="S309" s="1270">
        <f t="shared" si="131"/>
        <v>9.0734999277903778</v>
      </c>
      <c r="T309" s="1251">
        <f t="shared" si="132"/>
        <v>180</v>
      </c>
      <c r="U309" s="1251"/>
      <c r="V309" s="1263">
        <f t="shared" si="133"/>
        <v>-50</v>
      </c>
      <c r="W309" s="1257">
        <f t="shared" si="134"/>
        <v>-2.2209809728956117E-3</v>
      </c>
      <c r="X309" s="1271">
        <f t="shared" si="135"/>
        <v>-6.2233873653394696</v>
      </c>
      <c r="Y309" s="1272"/>
      <c r="Z309" s="1273">
        <f t="shared" si="136"/>
        <v>-622.33873653394699</v>
      </c>
      <c r="AA309" s="1258">
        <f t="shared" si="137"/>
        <v>9.0734999277903778</v>
      </c>
      <c r="AB309" s="1399"/>
      <c r="AS309" s="1399"/>
    </row>
    <row r="310" spans="1:45" hidden="1">
      <c r="A310" s="212" t="s">
        <v>493</v>
      </c>
      <c r="C310" s="1164" t="str">
        <f t="shared" si="123"/>
        <v>bijeenkomst overig</v>
      </c>
      <c r="E310" s="1248"/>
      <c r="F310" s="1267">
        <f t="shared" si="124"/>
        <v>839</v>
      </c>
      <c r="G310" s="1268">
        <f t="shared" si="125"/>
        <v>-95.337931034482764</v>
      </c>
      <c r="H310" s="1257">
        <f t="shared" si="138"/>
        <v>-5.4672469863276715E-4</v>
      </c>
      <c r="I310" s="1257"/>
      <c r="J310" s="1258">
        <f t="shared" si="126"/>
        <v>9.0734999277903778</v>
      </c>
      <c r="K310" s="1267">
        <f t="shared" si="127"/>
        <v>82.497502342763809</v>
      </c>
      <c r="L310" s="1267"/>
      <c r="M310" s="1269">
        <f t="shared" si="128"/>
        <v>8249.7502342763801</v>
      </c>
      <c r="N310" s="1260">
        <f t="shared" si="129"/>
        <v>604713087255644</v>
      </c>
      <c r="O310" s="1260"/>
      <c r="P310" s="1261">
        <f t="shared" si="130"/>
        <v>9.0734999277903778</v>
      </c>
      <c r="Q310" s="1248"/>
      <c r="R310" s="1248"/>
      <c r="S310" s="1270">
        <f t="shared" si="131"/>
        <v>9.0734999277903778</v>
      </c>
      <c r="T310" s="1251">
        <f t="shared" si="132"/>
        <v>229.99999999999997</v>
      </c>
      <c r="U310" s="1251"/>
      <c r="V310" s="1263">
        <f t="shared" si="133"/>
        <v>-15</v>
      </c>
      <c r="W310" s="1257">
        <f t="shared" si="134"/>
        <v>-2.0850025459836358E-3</v>
      </c>
      <c r="X310" s="1271">
        <f t="shared" si="135"/>
        <v>31.631609110834034</v>
      </c>
      <c r="Y310" s="1272"/>
      <c r="Z310" s="1273">
        <f t="shared" si="136"/>
        <v>3163.1609110834033</v>
      </c>
      <c r="AA310" s="1258">
        <f t="shared" si="137"/>
        <v>9.0734999277903778</v>
      </c>
      <c r="AB310" s="1399"/>
      <c r="AS310" s="1399"/>
    </row>
    <row r="311" spans="1:45" hidden="1">
      <c r="A311" s="212" t="s">
        <v>493</v>
      </c>
      <c r="C311" s="1164" t="str">
        <f t="shared" si="123"/>
        <v>bijeenkomst kinderdagverblijf</v>
      </c>
      <c r="E311" s="1248"/>
      <c r="F311" s="1267">
        <f t="shared" si="124"/>
        <v>668</v>
      </c>
      <c r="G311" s="1268">
        <f t="shared" si="125"/>
        <v>-95.337931034482764</v>
      </c>
      <c r="H311" s="1257">
        <f t="shared" si="138"/>
        <v>-6.6919984321192453E-4</v>
      </c>
      <c r="I311" s="1257"/>
      <c r="J311" s="1258">
        <f t="shared" si="126"/>
        <v>9.0734999277903778</v>
      </c>
      <c r="K311" s="1267">
        <f t="shared" si="127"/>
        <v>49.950542514385788</v>
      </c>
      <c r="L311" s="1267"/>
      <c r="M311" s="1269">
        <f t="shared" si="128"/>
        <v>4995.0542514385788</v>
      </c>
      <c r="N311" s="1260">
        <f t="shared" si="129"/>
        <v>366141348721910.75</v>
      </c>
      <c r="O311" s="1260"/>
      <c r="P311" s="1261">
        <f t="shared" si="130"/>
        <v>9.0734999277903778</v>
      </c>
      <c r="Q311" s="1248"/>
      <c r="R311" s="1248"/>
      <c r="S311" s="1270">
        <f t="shared" si="131"/>
        <v>9.0734999277903778</v>
      </c>
      <c r="T311" s="1251">
        <f t="shared" si="132"/>
        <v>265</v>
      </c>
      <c r="U311" s="1251"/>
      <c r="V311" s="1263">
        <f t="shared" si="133"/>
        <v>-15</v>
      </c>
      <c r="W311" s="1257">
        <f t="shared" si="134"/>
        <v>-1.8243772277356811E-3</v>
      </c>
      <c r="X311" s="1271">
        <f t="shared" si="135"/>
        <v>38.293267555238906</v>
      </c>
      <c r="Y311" s="1272"/>
      <c r="Z311" s="1273">
        <f t="shared" si="136"/>
        <v>3829.3267555238904</v>
      </c>
      <c r="AA311" s="1258">
        <f t="shared" si="137"/>
        <v>9.0734999277903778</v>
      </c>
      <c r="AB311" s="1399"/>
      <c r="AS311" s="1399"/>
    </row>
    <row r="312" spans="1:45" hidden="1">
      <c r="A312" s="212" t="s">
        <v>493</v>
      </c>
      <c r="C312" s="1164" t="str">
        <f t="shared" si="123"/>
        <v>onderwijs</v>
      </c>
      <c r="E312" s="1248"/>
      <c r="F312" s="1267">
        <f t="shared" si="124"/>
        <v>856</v>
      </c>
      <c r="G312" s="1268">
        <f t="shared" si="125"/>
        <v>-158.89655172413794</v>
      </c>
      <c r="H312" s="1257">
        <f t="shared" si="138"/>
        <v>-5.0332777552370659E-4</v>
      </c>
      <c r="I312" s="1257"/>
      <c r="J312" s="1258">
        <f t="shared" si="126"/>
        <v>9.0734999277903778</v>
      </c>
      <c r="K312" s="1267">
        <f t="shared" si="127"/>
        <v>34.271853532732905</v>
      </c>
      <c r="L312" s="1267"/>
      <c r="M312" s="1269">
        <f t="shared" si="128"/>
        <v>0</v>
      </c>
      <c r="N312" s="1260">
        <f t="shared" si="129"/>
        <v>0</v>
      </c>
      <c r="O312" s="1260"/>
      <c r="P312" s="1261">
        <f t="shared" si="130"/>
        <v>9.0734999277903778</v>
      </c>
      <c r="Q312" s="1248"/>
      <c r="R312" s="1248"/>
      <c r="S312" s="1270">
        <f t="shared" si="131"/>
        <v>9.0734999277903778</v>
      </c>
      <c r="T312" s="1251">
        <f t="shared" si="132"/>
        <v>235</v>
      </c>
      <c r="U312" s="1251"/>
      <c r="V312" s="1263">
        <f t="shared" si="133"/>
        <v>-25</v>
      </c>
      <c r="W312" s="1257">
        <f t="shared" si="134"/>
        <v>-1.9647139375615027E-3</v>
      </c>
      <c r="X312" s="1271">
        <f t="shared" si="135"/>
        <v>24.486605587007553</v>
      </c>
      <c r="Y312" s="1272"/>
      <c r="Z312" s="1273">
        <f t="shared" si="136"/>
        <v>0</v>
      </c>
      <c r="AA312" s="1258">
        <f t="shared" si="137"/>
        <v>9.0734999277903778</v>
      </c>
      <c r="AB312" s="1399"/>
      <c r="AS312" s="1399"/>
    </row>
    <row r="313" spans="1:45" hidden="1">
      <c r="A313" s="212" t="s">
        <v>493</v>
      </c>
      <c r="C313" s="1164" t="str">
        <f t="shared" si="123"/>
        <v>gezondheid overig</v>
      </c>
      <c r="E313" s="1248"/>
      <c r="F313" s="1267">
        <f t="shared" si="124"/>
        <v>612</v>
      </c>
      <c r="G313" s="1268">
        <f t="shared" si="125"/>
        <v>-254.23448275862074</v>
      </c>
      <c r="H313" s="1257">
        <f t="shared" si="138"/>
        <v>-5.8970825328865837E-4</v>
      </c>
      <c r="I313" s="1257"/>
      <c r="J313" s="1258">
        <f t="shared" si="126"/>
        <v>9.0734999277903778</v>
      </c>
      <c r="K313" s="1267">
        <f t="shared" si="127"/>
        <v>-89.361389704230902</v>
      </c>
      <c r="L313" s="1267"/>
      <c r="M313" s="1269">
        <f t="shared" si="128"/>
        <v>0</v>
      </c>
      <c r="N313" s="1260">
        <f t="shared" si="129"/>
        <v>0</v>
      </c>
      <c r="O313" s="1260"/>
      <c r="P313" s="1261">
        <f t="shared" si="130"/>
        <v>9.0734999277903778</v>
      </c>
      <c r="Q313" s="1248"/>
      <c r="R313" s="1248"/>
      <c r="S313" s="1270">
        <f t="shared" si="131"/>
        <v>9.0734999277903778</v>
      </c>
      <c r="T313" s="1251">
        <f t="shared" si="132"/>
        <v>210</v>
      </c>
      <c r="U313" s="1251"/>
      <c r="V313" s="1263">
        <f t="shared" si="133"/>
        <v>-40</v>
      </c>
      <c r="W313" s="1257">
        <f t="shared" si="134"/>
        <v>-2.0433024950639628E-3</v>
      </c>
      <c r="X313" s="1271">
        <f t="shared" si="135"/>
        <v>7.5832746028918834</v>
      </c>
      <c r="Y313" s="1272"/>
      <c r="Z313" s="1273">
        <f t="shared" si="136"/>
        <v>0</v>
      </c>
      <c r="AA313" s="1258">
        <f t="shared" si="137"/>
        <v>9.0734999277903778</v>
      </c>
      <c r="AB313" s="1399"/>
      <c r="AS313" s="1399"/>
    </row>
    <row r="314" spans="1:45" hidden="1">
      <c r="A314" s="212" t="s">
        <v>493</v>
      </c>
      <c r="C314" s="1164" t="str">
        <f t="shared" si="123"/>
        <v>gezondheid bedgebied</v>
      </c>
      <c r="E314" s="1248"/>
      <c r="F314" s="1267">
        <f t="shared" si="124"/>
        <v>1753</v>
      </c>
      <c r="G314" s="1268">
        <f t="shared" si="125"/>
        <v>-317.79310344827587</v>
      </c>
      <c r="H314" s="1257">
        <f t="shared" si="138"/>
        <v>-2.4668114980456817E-4</v>
      </c>
      <c r="I314" s="1257"/>
      <c r="J314" s="1258">
        <f t="shared" si="126"/>
        <v>9.0734999277903778</v>
      </c>
      <c r="K314" s="1267">
        <f t="shared" si="127"/>
        <v>76.347364100340087</v>
      </c>
      <c r="L314" s="1267"/>
      <c r="M314" s="1269">
        <f t="shared" si="128"/>
        <v>0</v>
      </c>
      <c r="N314" s="1260">
        <f t="shared" si="129"/>
        <v>0</v>
      </c>
      <c r="O314" s="1260"/>
      <c r="P314" s="1261">
        <f t="shared" si="130"/>
        <v>9.0734999277903778</v>
      </c>
      <c r="Q314" s="1248"/>
      <c r="R314" s="1248"/>
      <c r="S314" s="1270">
        <f t="shared" si="131"/>
        <v>9.0734999277903778</v>
      </c>
      <c r="T314" s="1251">
        <f t="shared" si="132"/>
        <v>429.99999999999994</v>
      </c>
      <c r="U314" s="1251"/>
      <c r="V314" s="1263">
        <f t="shared" si="133"/>
        <v>-50</v>
      </c>
      <c r="W314" s="1257">
        <f t="shared" si="134"/>
        <v>-1.0642200495124808E-3</v>
      </c>
      <c r="X314" s="1271">
        <f t="shared" si="135"/>
        <v>41.3598872375524</v>
      </c>
      <c r="Y314" s="1272"/>
      <c r="Z314" s="1273">
        <f t="shared" si="136"/>
        <v>0</v>
      </c>
      <c r="AA314" s="1258">
        <f t="shared" si="137"/>
        <v>9.0734999277903778</v>
      </c>
      <c r="AB314" s="1399"/>
      <c r="AS314" s="1399"/>
    </row>
    <row r="315" spans="1:45" hidden="1">
      <c r="A315" s="212" t="s">
        <v>493</v>
      </c>
      <c r="C315" s="1164" t="str">
        <f t="shared" si="123"/>
        <v>winkel</v>
      </c>
      <c r="E315" s="1248"/>
      <c r="F315" s="1267">
        <f t="shared" si="124"/>
        <v>1338</v>
      </c>
      <c r="G315" s="1268">
        <f t="shared" si="125"/>
        <v>-254.23448275862074</v>
      </c>
      <c r="H315" s="1257">
        <f t="shared" si="138"/>
        <v>-3.208231132395534E-4</v>
      </c>
      <c r="I315" s="1257"/>
      <c r="J315" s="1258">
        <f t="shared" si="126"/>
        <v>9.0734999277903778</v>
      </c>
      <c r="K315" s="1267">
        <f t="shared" si="127"/>
        <v>48.820439742567146</v>
      </c>
      <c r="L315" s="1267"/>
      <c r="M315" s="1269">
        <f t="shared" si="128"/>
        <v>0</v>
      </c>
      <c r="N315" s="1260">
        <f t="shared" si="129"/>
        <v>0</v>
      </c>
      <c r="O315" s="1260"/>
      <c r="P315" s="1261">
        <f t="shared" si="130"/>
        <v>9.0734999277903778</v>
      </c>
      <c r="Q315" s="1248"/>
      <c r="R315" s="1248"/>
      <c r="S315" s="1270">
        <f t="shared" si="131"/>
        <v>9.0734999277903778</v>
      </c>
      <c r="T315" s="1251">
        <f t="shared" si="132"/>
        <v>285</v>
      </c>
      <c r="U315" s="1251"/>
      <c r="V315" s="1263">
        <f t="shared" si="133"/>
        <v>-40</v>
      </c>
      <c r="W315" s="1257">
        <f t="shared" si="134"/>
        <v>-1.5717711500492022E-3</v>
      </c>
      <c r="X315" s="1271">
        <f t="shared" si="135"/>
        <v>21.858256983759439</v>
      </c>
      <c r="Y315" s="1272"/>
      <c r="Z315" s="1273">
        <f t="shared" si="136"/>
        <v>0</v>
      </c>
      <c r="AA315" s="1258">
        <f t="shared" si="137"/>
        <v>9.0734999277903778</v>
      </c>
      <c r="AB315" s="1399"/>
      <c r="AS315" s="1399"/>
    </row>
    <row r="316" spans="1:45" hidden="1">
      <c r="A316" s="212" t="s">
        <v>493</v>
      </c>
      <c r="C316" s="1164" t="str">
        <f t="shared" si="123"/>
        <v>sport</v>
      </c>
      <c r="E316" s="1248"/>
      <c r="F316" s="1267">
        <f t="shared" si="124"/>
        <v>644</v>
      </c>
      <c r="G316" s="1268">
        <f t="shared" si="125"/>
        <v>-95.337931034482764</v>
      </c>
      <c r="H316" s="1257">
        <f t="shared" si="138"/>
        <v>-6.9092305740521488E-4</v>
      </c>
      <c r="I316" s="1257"/>
      <c r="J316" s="1258">
        <f t="shared" si="126"/>
        <v>9.0734999277903778</v>
      </c>
      <c r="K316" s="1267">
        <f t="shared" si="127"/>
        <v>45.382548152508164</v>
      </c>
      <c r="L316" s="1267"/>
      <c r="M316" s="1269">
        <f t="shared" si="128"/>
        <v>0</v>
      </c>
      <c r="N316" s="1260">
        <f t="shared" si="129"/>
        <v>0</v>
      </c>
      <c r="O316" s="1260"/>
      <c r="P316" s="1261">
        <f t="shared" si="130"/>
        <v>9.0734999277903778</v>
      </c>
      <c r="Q316" s="1248"/>
      <c r="R316" s="1248"/>
      <c r="S316" s="1270">
        <f t="shared" si="131"/>
        <v>9.0734999277903778</v>
      </c>
      <c r="T316" s="1251">
        <f t="shared" si="132"/>
        <v>155</v>
      </c>
      <c r="U316" s="1251"/>
      <c r="V316" s="1263">
        <f t="shared" si="133"/>
        <v>-15</v>
      </c>
      <c r="W316" s="1257">
        <f t="shared" si="134"/>
        <v>-3.0048566103881807E-3</v>
      </c>
      <c r="X316" s="1271">
        <f t="shared" si="135"/>
        <v>17.356626729966479</v>
      </c>
      <c r="Y316" s="1272"/>
      <c r="Z316" s="1273">
        <f t="shared" si="136"/>
        <v>0</v>
      </c>
      <c r="AA316" s="1258">
        <f t="shared" si="137"/>
        <v>9.0734999277903778</v>
      </c>
      <c r="AB316" s="1399"/>
      <c r="AS316" s="1399"/>
    </row>
    <row r="317" spans="1:45" hidden="1">
      <c r="A317" s="212" t="s">
        <v>493</v>
      </c>
      <c r="C317" s="1164" t="str">
        <f t="shared" si="123"/>
        <v>logies in logiesgebouw</v>
      </c>
      <c r="E317" s="1248"/>
      <c r="F317" s="1267">
        <f t="shared" si="124"/>
        <v>712</v>
      </c>
      <c r="G317" s="1268">
        <f t="shared" si="125"/>
        <v>-158.89655172413794</v>
      </c>
      <c r="H317" s="1257">
        <f t="shared" si="138"/>
        <v>-5.8655143685515246E-4</v>
      </c>
      <c r="I317" s="1257"/>
      <c r="J317" s="1258">
        <f t="shared" si="126"/>
        <v>9.0734999277903778</v>
      </c>
      <c r="K317" s="1267">
        <f t="shared" si="127"/>
        <v>6.8638873614672207</v>
      </c>
      <c r="L317" s="1267"/>
      <c r="M317" s="1269">
        <f t="shared" si="128"/>
        <v>0</v>
      </c>
      <c r="N317" s="1260">
        <f t="shared" si="129"/>
        <v>0</v>
      </c>
      <c r="O317" s="1260"/>
      <c r="P317" s="1261">
        <f t="shared" si="130"/>
        <v>9.0734999277903778</v>
      </c>
      <c r="Q317" s="1248"/>
      <c r="R317" s="1248"/>
      <c r="S317" s="1270">
        <f t="shared" si="131"/>
        <v>9.0734999277903778</v>
      </c>
      <c r="T317" s="1251">
        <f t="shared" si="132"/>
        <v>230</v>
      </c>
      <c r="U317" s="1251"/>
      <c r="V317" s="1263">
        <f t="shared" si="133"/>
        <v>-25</v>
      </c>
      <c r="W317" s="1257">
        <f t="shared" si="134"/>
        <v>-2.0032377402587872E-3</v>
      </c>
      <c r="X317" s="1271">
        <f t="shared" si="135"/>
        <v>23.534940094949718</v>
      </c>
      <c r="Y317" s="1272"/>
      <c r="Z317" s="1273">
        <f t="shared" si="136"/>
        <v>0</v>
      </c>
      <c r="AA317" s="1258">
        <f t="shared" si="137"/>
        <v>9.0734999277903778</v>
      </c>
      <c r="AB317" s="1399"/>
      <c r="AS317" s="1399"/>
    </row>
    <row r="318" spans="1:45" hidden="1">
      <c r="A318" s="212" t="s">
        <v>493</v>
      </c>
      <c r="C318" s="1164" t="str">
        <f t="shared" si="123"/>
        <v>cel</v>
      </c>
      <c r="E318" s="1248"/>
      <c r="F318" s="1274">
        <f t="shared" si="124"/>
        <v>775</v>
      </c>
      <c r="G318" s="1275">
        <f t="shared" si="125"/>
        <v>-158.89655172413794</v>
      </c>
      <c r="H318" s="1257">
        <f t="shared" si="138"/>
        <v>-5.4698309231672015E-4</v>
      </c>
      <c r="I318" s="1257"/>
      <c r="J318" s="1258">
        <f t="shared" si="126"/>
        <v>9.0734999277903778</v>
      </c>
      <c r="K318" s="1274">
        <f t="shared" si="127"/>
        <v>18.85487256139595</v>
      </c>
      <c r="L318" s="1274"/>
      <c r="M318" s="1276">
        <f t="shared" si="128"/>
        <v>0</v>
      </c>
      <c r="N318" s="1260">
        <f t="shared" si="129"/>
        <v>0</v>
      </c>
      <c r="O318" s="1260"/>
      <c r="P318" s="1261">
        <f t="shared" si="130"/>
        <v>9.0734999277903778</v>
      </c>
      <c r="Q318" s="1248"/>
      <c r="R318" s="1248"/>
      <c r="S318" s="1277">
        <f t="shared" si="131"/>
        <v>9.0734999277903778</v>
      </c>
      <c r="T318" s="1251">
        <f t="shared" si="132"/>
        <v>300</v>
      </c>
      <c r="U318" s="1251"/>
      <c r="V318" s="1263">
        <f t="shared" si="133"/>
        <v>-25</v>
      </c>
      <c r="W318" s="1257">
        <f t="shared" si="134"/>
        <v>-1.5717711500492022E-3</v>
      </c>
      <c r="X318" s="1278">
        <f t="shared" si="135"/>
        <v>36.858256983759439</v>
      </c>
      <c r="Y318" s="1279"/>
      <c r="Z318" s="1280">
        <f t="shared" si="136"/>
        <v>0</v>
      </c>
      <c r="AA318" s="1258">
        <f t="shared" si="137"/>
        <v>9.0734999277903778</v>
      </c>
      <c r="AB318" s="1399"/>
      <c r="AS318" s="1399"/>
    </row>
    <row r="319" spans="1:45" hidden="1">
      <c r="A319" s="212" t="s">
        <v>493</v>
      </c>
      <c r="C319" s="1164"/>
      <c r="E319" s="1248"/>
      <c r="F319" s="906" t="s">
        <v>1411</v>
      </c>
      <c r="G319" s="1247"/>
      <c r="H319" s="1247"/>
      <c r="I319" s="1247"/>
      <c r="J319" s="1248"/>
      <c r="K319" s="1248" t="s">
        <v>1412</v>
      </c>
      <c r="L319" s="1248"/>
      <c r="M319" s="1248"/>
      <c r="N319" s="1248"/>
      <c r="O319" s="1248"/>
      <c r="P319" s="1281"/>
      <c r="Q319" s="1248"/>
      <c r="R319" s="1248"/>
      <c r="S319" s="1248"/>
      <c r="T319" s="1247"/>
      <c r="U319" s="1247"/>
      <c r="V319" s="1247"/>
      <c r="W319" s="1247"/>
      <c r="X319" s="1247"/>
      <c r="Y319" s="1247"/>
      <c r="Z319" s="1248"/>
      <c r="AA319" s="1248"/>
      <c r="AB319" s="16"/>
      <c r="AS319" s="16"/>
    </row>
    <row r="320" spans="1:45" hidden="1">
      <c r="A320" s="212" t="s">
        <v>493</v>
      </c>
      <c r="C320" s="1164" t="s">
        <v>1597</v>
      </c>
      <c r="E320" s="1248"/>
      <c r="F320" s="1282">
        <f>IF(SUM($M$44:$M$55)=0,0,SUMPRODUCT($M$44:$M$55,F$307:F$318)/SUM($M$44:$M$55))</f>
        <v>721</v>
      </c>
      <c r="G320" s="1283">
        <f>IF(SUM($M$44:$M$55)=0,0,SUMPRODUCT($M$44:$M$55,G$307:G$318)/SUM($M$44:$M$55))</f>
        <v>-169.48965517241379</v>
      </c>
      <c r="H320" s="1284">
        <f>(LN(6/10)/(F320-G320))</f>
        <v>-5.7364576982883231E-4</v>
      </c>
      <c r="I320" s="1284"/>
      <c r="J320" s="1285">
        <f>IF(F$320-G$320=0,0,10*EXP( (H320) *(J$35-G$320)))</f>
        <v>9.0734999277903778</v>
      </c>
      <c r="K320" s="1258">
        <f>IFERROR(LN(J320/10)/H320+G320,0)</f>
        <v>5.6843418860808015E-14</v>
      </c>
      <c r="L320" s="1258"/>
      <c r="M320" s="1286">
        <f>SUM(M307:M318)</f>
        <v>1.3642420526593924E-11</v>
      </c>
      <c r="N320" s="1260">
        <f>SUM(N307:N318)</f>
        <v>1</v>
      </c>
      <c r="O320" s="1260"/>
      <c r="P320" s="1261">
        <f>10*EXP(H320*(K320-G320))</f>
        <v>9.0734999277903778</v>
      </c>
      <c r="Q320" s="1248"/>
      <c r="R320" s="1248"/>
      <c r="S320" s="1258">
        <f>J$320</f>
        <v>9.0734999277903778</v>
      </c>
      <c r="T320" s="1287">
        <f>IF(SUM($M$44:$M$55)=0,0,SUMPRODUCT($M$44:$M$55,T$307:T$318)/SUM($M$44:$M$55))</f>
        <v>225</v>
      </c>
      <c r="U320" s="1287"/>
      <c r="V320" s="1251">
        <f>IF(SUM($M$44:$M$55)=0,0,SUMPRODUCT($M$44:$M$55,V$307:V$318)/SUM($M$44:$M$55))</f>
        <v>-26.666666666666668</v>
      </c>
      <c r="W320" s="1257">
        <f>(LN(6/10)/(T320-V320))</f>
        <v>-2.0297706904608905E-3</v>
      </c>
      <c r="X320" s="1288">
        <f>IFERROR(LN(S320/10)/W320+V320,"")</f>
        <v>21.233829766911153</v>
      </c>
      <c r="Y320" s="1288"/>
      <c r="Z320" s="1286">
        <f>SUM(Z307:Z318)</f>
        <v>6370.1489300733465</v>
      </c>
      <c r="AA320" s="1261">
        <f>10*EXP(W320*(X320-V320))</f>
        <v>9.0734999277903778</v>
      </c>
      <c r="AB320" s="16"/>
      <c r="AS320" s="16"/>
    </row>
    <row r="321" spans="1:61" hidden="1">
      <c r="A321" s="212" t="s">
        <v>493</v>
      </c>
      <c r="B321" s="943"/>
      <c r="C321" s="1092"/>
      <c r="D321" s="943"/>
      <c r="E321" s="1244"/>
      <c r="F321" s="1245"/>
      <c r="G321" s="1244"/>
      <c r="H321" s="1244"/>
      <c r="I321" s="1244"/>
      <c r="J321" s="1244"/>
      <c r="K321" s="1244"/>
      <c r="L321" s="1244"/>
      <c r="M321" s="1244"/>
      <c r="N321" s="1244"/>
      <c r="O321" s="1244"/>
      <c r="P321" s="1244"/>
      <c r="Q321" s="1244"/>
      <c r="R321" s="1244"/>
      <c r="S321" s="1244"/>
      <c r="T321" s="1244"/>
      <c r="U321" s="1244"/>
      <c r="V321" s="1244"/>
      <c r="W321" s="1244"/>
      <c r="X321" s="1244"/>
      <c r="Y321" s="1244"/>
      <c r="Z321" s="1244"/>
      <c r="AA321" s="1244"/>
      <c r="AB321" s="16"/>
      <c r="AC321" s="995"/>
      <c r="AD321" s="1428"/>
      <c r="AE321" s="1406"/>
      <c r="AF321" s="1406"/>
      <c r="AG321" s="1406"/>
      <c r="AH321" s="1406"/>
      <c r="AI321" s="1406"/>
      <c r="AJ321" s="1406"/>
      <c r="AK321" s="1406"/>
      <c r="AL321" s="1407"/>
      <c r="AM321" s="1407"/>
      <c r="AN321" s="995"/>
      <c r="AO321" s="995"/>
      <c r="AP321" s="995"/>
      <c r="AQ321" s="995"/>
      <c r="AR321" s="995"/>
      <c r="AS321" s="16"/>
      <c r="AT321" s="995"/>
      <c r="AU321" s="995"/>
      <c r="AV321" s="995"/>
      <c r="AW321" s="995"/>
      <c r="AX321" s="995"/>
      <c r="AY321" s="995"/>
      <c r="AZ321" s="995"/>
      <c r="BA321" s="995"/>
      <c r="BB321" s="995"/>
      <c r="BC321" s="995"/>
      <c r="BD321" s="995"/>
      <c r="BE321" s="995"/>
      <c r="BF321" s="995"/>
      <c r="BG321" s="995"/>
      <c r="BH321" s="995"/>
      <c r="BI321" s="995"/>
    </row>
    <row r="322" spans="1:61" hidden="1">
      <c r="A322" s="212" t="s">
        <v>493</v>
      </c>
      <c r="B322" s="943"/>
      <c r="C322" s="1092"/>
      <c r="D322" s="943"/>
      <c r="E322" s="1244"/>
      <c r="F322" s="1245"/>
      <c r="G322" s="1244"/>
      <c r="H322" s="1244"/>
      <c r="I322" s="1244"/>
      <c r="J322" s="1244"/>
      <c r="K322" s="1244"/>
      <c r="L322" s="1244"/>
      <c r="M322" s="1244"/>
      <c r="N322" s="1244"/>
      <c r="O322" s="1244"/>
      <c r="P322" s="1244"/>
      <c r="Q322" s="1244"/>
      <c r="R322" s="1244"/>
      <c r="S322" s="1244"/>
      <c r="T322" s="1244"/>
      <c r="U322" s="1244"/>
      <c r="V322" s="1244"/>
      <c r="W322" s="1244"/>
      <c r="X322" s="1244"/>
      <c r="Y322" s="1244"/>
      <c r="Z322" s="1244"/>
      <c r="AA322" s="1244"/>
      <c r="AB322" s="16"/>
      <c r="AC322" s="995"/>
      <c r="AD322" s="1428"/>
      <c r="AE322" s="1406"/>
      <c r="AF322" s="1406"/>
      <c r="AG322" s="1406"/>
      <c r="AH322" s="1406"/>
      <c r="AI322" s="1406"/>
      <c r="AJ322" s="1406"/>
      <c r="AK322" s="1406"/>
      <c r="AL322" s="1407"/>
      <c r="AM322" s="1407"/>
      <c r="AN322" s="995"/>
      <c r="AO322" s="995"/>
      <c r="AP322" s="995"/>
      <c r="AQ322" s="995"/>
      <c r="AR322" s="995"/>
      <c r="AS322" s="16"/>
      <c r="AT322" s="995"/>
      <c r="AU322" s="995"/>
      <c r="AV322" s="995"/>
      <c r="AW322" s="995"/>
      <c r="AX322" s="995"/>
      <c r="AY322" s="995"/>
      <c r="AZ322" s="995"/>
      <c r="BA322" s="995"/>
      <c r="BB322" s="995"/>
      <c r="BC322" s="995"/>
      <c r="BD322" s="995"/>
      <c r="BE322" s="995"/>
      <c r="BF322" s="995"/>
      <c r="BG322" s="995"/>
      <c r="BH322" s="995"/>
      <c r="BI322" s="995"/>
    </row>
    <row r="323" spans="1:61" s="1309" customFormat="1" ht="25.5" hidden="1" customHeight="1">
      <c r="A323" s="212" t="s">
        <v>493</v>
      </c>
      <c r="B323" s="1300"/>
      <c r="C323" s="1301"/>
      <c r="D323" s="1300"/>
      <c r="E323" s="1302"/>
      <c r="F323" s="1303" t="s">
        <v>1643</v>
      </c>
      <c r="G323" s="1304"/>
      <c r="H323" s="1305"/>
      <c r="I323" s="1306"/>
      <c r="J323" s="1304"/>
      <c r="K323" s="1307"/>
      <c r="L323" s="1308"/>
      <c r="M323" s="1303"/>
      <c r="N323" s="1303"/>
      <c r="O323" s="1308"/>
      <c r="P323" s="1308"/>
      <c r="Q323" s="1303"/>
      <c r="R323" s="1303"/>
      <c r="S323" s="1303"/>
      <c r="T323" s="1302"/>
      <c r="U323" s="1302"/>
      <c r="V323" s="1302"/>
      <c r="W323" s="1302"/>
      <c r="X323" s="1302"/>
      <c r="Y323" s="1302"/>
      <c r="Z323" s="1302"/>
      <c r="AA323" s="1302"/>
      <c r="AB323" s="1302"/>
      <c r="AC323" s="1302"/>
      <c r="AD323" s="1323"/>
      <c r="AE323" s="1317"/>
      <c r="AF323" s="1317"/>
      <c r="AG323" s="1317"/>
      <c r="AH323" s="1317"/>
      <c r="AI323" s="1317"/>
      <c r="AJ323" s="1317"/>
      <c r="AK323" s="1317"/>
      <c r="AL323" s="1317"/>
      <c r="AM323" s="1317"/>
      <c r="AN323" s="1302"/>
      <c r="AO323" s="1302"/>
      <c r="AP323" s="1302"/>
      <c r="AQ323" s="1302"/>
      <c r="AR323" s="1302"/>
      <c r="AS323" s="1302"/>
      <c r="AT323" s="1302"/>
      <c r="AU323" s="1302"/>
      <c r="AV323" s="1302"/>
      <c r="AW323" s="1302"/>
      <c r="AX323" s="1302"/>
      <c r="AY323" s="1302"/>
      <c r="AZ323" s="1302"/>
      <c r="BA323" s="1302"/>
      <c r="BB323" s="1302"/>
      <c r="BC323" s="1302"/>
      <c r="BD323" s="1302"/>
      <c r="BE323" s="1302"/>
      <c r="BF323" s="1302"/>
      <c r="BG323" s="1302"/>
      <c r="BH323" s="1302"/>
      <c r="BI323" s="1302"/>
    </row>
    <row r="324" spans="1:61" hidden="1">
      <c r="A324" s="212" t="s">
        <v>493</v>
      </c>
      <c r="B324" s="943"/>
      <c r="C324" s="1092"/>
      <c r="D324" s="943"/>
      <c r="E324" s="14"/>
      <c r="F324" s="1226"/>
      <c r="G324" s="1227"/>
      <c r="H324" s="1227"/>
      <c r="I324" s="1227"/>
      <c r="J324" s="1227"/>
      <c r="K324" s="1227"/>
      <c r="L324" s="1227"/>
      <c r="M324" s="1227"/>
      <c r="N324" s="1227"/>
      <c r="O324" s="1227"/>
      <c r="P324" s="1227"/>
      <c r="Q324" s="1227"/>
      <c r="R324" s="1227"/>
      <c r="S324" s="1227"/>
      <c r="T324" s="1175"/>
      <c r="U324" s="1175"/>
      <c r="V324" s="1175"/>
      <c r="W324" s="1175"/>
      <c r="X324" s="1175"/>
      <c r="Y324" s="1175"/>
      <c r="Z324" s="1175"/>
      <c r="AA324" s="1175"/>
      <c r="AB324" s="1396"/>
      <c r="AC324" s="995"/>
      <c r="AD324" s="1428"/>
      <c r="AE324" s="1406"/>
      <c r="AF324" s="1406"/>
      <c r="AG324" s="1406"/>
      <c r="AH324" s="1406"/>
      <c r="AI324" s="1406"/>
      <c r="AJ324" s="1406"/>
      <c r="AK324" s="1406"/>
      <c r="AL324" s="1407"/>
      <c r="AM324" s="1407"/>
      <c r="AN324" s="995"/>
      <c r="AO324" s="995"/>
      <c r="AP324" s="995"/>
      <c r="AQ324" s="995"/>
      <c r="AR324" s="995"/>
      <c r="AS324" s="1396"/>
      <c r="AT324" s="995"/>
      <c r="AU324" s="995"/>
      <c r="AV324" s="995"/>
      <c r="AW324" s="995"/>
      <c r="AX324" s="995"/>
      <c r="AY324" s="995"/>
      <c r="AZ324" s="995"/>
      <c r="BA324" s="995"/>
      <c r="BB324" s="995"/>
      <c r="BC324" s="995"/>
      <c r="BD324" s="995"/>
      <c r="BE324" s="995"/>
      <c r="BF324" s="995"/>
      <c r="BG324" s="995"/>
      <c r="BH324" s="995"/>
      <c r="BI324" s="995"/>
    </row>
    <row r="325" spans="1:61" hidden="1">
      <c r="A325" s="212" t="s">
        <v>493</v>
      </c>
      <c r="E325" s="14"/>
      <c r="F325" s="1228" t="str">
        <f>"CO2 bij bronmethode "&amp;EP_bronmethode</f>
        <v>CO2 bij bronmethode GPR 4.4 | NEN 7120</v>
      </c>
      <c r="G325" s="1229"/>
      <c r="H325" s="1229"/>
      <c r="I325" s="1229"/>
      <c r="J325" s="1228"/>
      <c r="K325" s="1230" t="s">
        <v>518</v>
      </c>
      <c r="L325" s="1230"/>
      <c r="M325" s="1228" t="str">
        <f>"CO2 bij doelmethode "&amp;EP_doelmethode</f>
        <v>CO2 bij doelmethode GPR 4.4 | NTA 8800</v>
      </c>
      <c r="N325" s="1229"/>
      <c r="O325" s="1229"/>
      <c r="P325" s="1229"/>
      <c r="Q325" s="1228"/>
      <c r="R325" s="1228"/>
      <c r="S325" s="1230" t="s">
        <v>518</v>
      </c>
      <c r="T325" s="1175"/>
      <c r="U325" s="1175"/>
      <c r="V325" s="1175"/>
      <c r="W325" s="1175"/>
      <c r="X325" s="1175"/>
      <c r="Y325" s="1175"/>
      <c r="Z325" s="1175"/>
      <c r="AA325" s="1175"/>
      <c r="AB325" s="1396"/>
      <c r="AS325" s="1396"/>
    </row>
    <row r="326" spans="1:61" ht="32" hidden="1">
      <c r="A326" s="212" t="s">
        <v>493</v>
      </c>
      <c r="E326" s="14"/>
      <c r="F326" s="1231" t="s">
        <v>523</v>
      </c>
      <c r="G326" s="1231" t="s">
        <v>540</v>
      </c>
      <c r="H326" s="1231" t="s">
        <v>541</v>
      </c>
      <c r="I326" s="1231"/>
      <c r="J326" s="1231" t="s">
        <v>542</v>
      </c>
      <c r="K326" s="1231" t="s">
        <v>543</v>
      </c>
      <c r="L326" s="1230"/>
      <c r="M326" s="1231" t="s">
        <v>523</v>
      </c>
      <c r="N326" s="1231" t="s">
        <v>540</v>
      </c>
      <c r="O326" s="1231"/>
      <c r="P326" s="1231" t="s">
        <v>541</v>
      </c>
      <c r="Q326" s="1231" t="s">
        <v>542</v>
      </c>
      <c r="R326" s="1231"/>
      <c r="S326" s="1231" t="s">
        <v>543</v>
      </c>
      <c r="T326" s="1175"/>
      <c r="U326" s="1175"/>
      <c r="V326" s="1175"/>
      <c r="W326" s="1175"/>
      <c r="X326" s="1175"/>
      <c r="Y326" s="1175"/>
      <c r="Z326" s="1175"/>
      <c r="AA326" s="1175"/>
      <c r="AB326" s="1396"/>
      <c r="AS326" s="1396"/>
    </row>
    <row r="327" spans="1:61" hidden="1">
      <c r="A327" s="212" t="s">
        <v>493</v>
      </c>
      <c r="E327" s="14"/>
      <c r="F327" s="1327" t="s">
        <v>552</v>
      </c>
      <c r="G327" s="1327" t="s">
        <v>468</v>
      </c>
      <c r="H327" s="1327" t="s">
        <v>132</v>
      </c>
      <c r="I327" s="1327"/>
      <c r="J327" s="1327" t="s">
        <v>468</v>
      </c>
      <c r="K327" s="1327"/>
      <c r="L327" s="1327"/>
      <c r="M327" s="1327" t="s">
        <v>552</v>
      </c>
      <c r="N327" s="1327" t="s">
        <v>468</v>
      </c>
      <c r="O327" s="1327"/>
      <c r="P327" s="1327" t="s">
        <v>132</v>
      </c>
      <c r="Q327" s="1327" t="s">
        <v>468</v>
      </c>
      <c r="R327" s="1327"/>
      <c r="S327" s="1327"/>
      <c r="T327" s="1175"/>
      <c r="U327" s="1175"/>
      <c r="V327" s="1175"/>
      <c r="W327" s="1175"/>
      <c r="X327" s="1175"/>
      <c r="Y327" s="1175"/>
      <c r="Z327" s="1175"/>
      <c r="AA327" s="1175"/>
      <c r="AB327" s="1396"/>
      <c r="AS327" s="1396"/>
    </row>
    <row r="328" spans="1:61" hidden="1">
      <c r="A328" s="212" t="s">
        <v>493</v>
      </c>
      <c r="E328" s="14"/>
      <c r="F328" s="1232" t="s">
        <v>1421</v>
      </c>
      <c r="G328" s="1233"/>
      <c r="H328" s="1233"/>
      <c r="I328" s="1233"/>
      <c r="J328" s="1233"/>
      <c r="K328" s="1233"/>
      <c r="L328" s="1233"/>
      <c r="M328" s="1232" t="s">
        <v>1424</v>
      </c>
      <c r="N328" s="1233"/>
      <c r="O328" s="1233"/>
      <c r="P328" s="1233"/>
      <c r="Q328" s="1233"/>
      <c r="R328" s="1233"/>
      <c r="S328" s="1233"/>
      <c r="T328" s="1175"/>
      <c r="U328" s="1175"/>
      <c r="V328" s="1175"/>
      <c r="W328" s="1175"/>
      <c r="X328" s="1175"/>
      <c r="Y328" s="1175"/>
      <c r="Z328" s="1175"/>
      <c r="AA328" s="1175"/>
      <c r="AB328" s="1396"/>
      <c r="AS328" s="1396"/>
    </row>
    <row r="329" spans="1:61" hidden="1">
      <c r="A329" s="212" t="s">
        <v>493</v>
      </c>
      <c r="E329" s="14"/>
      <c r="F329" s="1234">
        <f t="shared" ref="F329:F340" si="139">INDEX(CO2_GPR_score_6,MATCH($F44,Gebruiksfuncties,0),MATCH(EP_bronmethode,GPR_Versie_En_EP_Methode,0))</f>
        <v>21.5</v>
      </c>
      <c r="G329" s="1235">
        <f t="shared" ref="G329:G340" si="140">F329*$M44</f>
        <v>0</v>
      </c>
      <c r="H329" s="1236">
        <f t="shared" ref="H329:H340" si="141">G329/G$342</f>
        <v>0</v>
      </c>
      <c r="I329" s="1236"/>
      <c r="J329" s="1235" t="str">
        <f t="shared" ref="J329:J340" si="142">IF(OR($H329=0,ISNUMBER(J$342)=FALSE),"",$H329*J$342)</f>
        <v/>
      </c>
      <c r="K329" s="1237" t="str">
        <f t="shared" ref="K329:K340" si="143">IFERROR(1-(J329/J44)/F329,"")</f>
        <v/>
      </c>
      <c r="L329" s="1230"/>
      <c r="M329" s="1238">
        <f t="shared" ref="M329:M340" si="144">INDEX(CO2_GPR_score_6,MATCH($F44,Gebruiksfuncties,0),MATCH(EP_doelmethode,GPR_Versie_En_EP_Methode,0))</f>
        <v>22.434521484374997</v>
      </c>
      <c r="N329" s="1235">
        <f t="shared" ref="N329:N340" si="145">M329*$M44</f>
        <v>0</v>
      </c>
      <c r="O329" s="1235"/>
      <c r="P329" s="1236">
        <f t="shared" ref="P329:P340" si="146">N329/N$342</f>
        <v>0</v>
      </c>
      <c r="Q329" s="1235" t="str">
        <f t="shared" ref="Q329:Q340" si="147">IF(OR($P329=0,ISNUMBER(Q$342)=FALSE),"",$P329*Q$342)</f>
        <v/>
      </c>
      <c r="R329" s="1235"/>
      <c r="S329" s="1237" t="str">
        <f t="shared" ref="S329:S340" si="148">IFERROR(1-(Q329/M44)/M329,"")</f>
        <v/>
      </c>
      <c r="T329" s="1175"/>
      <c r="U329" s="1175"/>
      <c r="V329" s="1175"/>
      <c r="W329" s="1175"/>
      <c r="X329" s="1175"/>
      <c r="Y329" s="1175"/>
      <c r="Z329" s="1175"/>
      <c r="AA329" s="1175"/>
      <c r="AB329" s="1396"/>
      <c r="AS329" s="1396"/>
    </row>
    <row r="330" spans="1:61" hidden="1">
      <c r="A330" s="212" t="s">
        <v>493</v>
      </c>
      <c r="E330" s="14"/>
      <c r="F330" s="1239">
        <f t="shared" si="139"/>
        <v>21.5</v>
      </c>
      <c r="G330" s="1235">
        <f t="shared" si="140"/>
        <v>0</v>
      </c>
      <c r="H330" s="1236">
        <f t="shared" si="141"/>
        <v>0</v>
      </c>
      <c r="I330" s="1236"/>
      <c r="J330" s="1235" t="str">
        <f t="shared" si="142"/>
        <v/>
      </c>
      <c r="K330" s="1237" t="str">
        <f t="shared" si="143"/>
        <v/>
      </c>
      <c r="L330" s="1230"/>
      <c r="M330" s="1238">
        <f t="shared" si="144"/>
        <v>22.434521484374997</v>
      </c>
      <c r="N330" s="1235">
        <f t="shared" si="145"/>
        <v>0</v>
      </c>
      <c r="O330" s="1235"/>
      <c r="P330" s="1236">
        <f t="shared" si="146"/>
        <v>0</v>
      </c>
      <c r="Q330" s="1235" t="str">
        <f t="shared" si="147"/>
        <v/>
      </c>
      <c r="R330" s="1235"/>
      <c r="S330" s="1237" t="str">
        <f t="shared" si="148"/>
        <v/>
      </c>
      <c r="T330" s="1175"/>
      <c r="U330" s="1175"/>
      <c r="V330" s="1175"/>
      <c r="W330" s="1175"/>
      <c r="X330" s="1175"/>
      <c r="Y330" s="1175"/>
      <c r="Z330" s="1175"/>
      <c r="AA330" s="1175"/>
      <c r="AB330" s="1396"/>
      <c r="AS330" s="1396"/>
    </row>
    <row r="331" spans="1:61" hidden="1">
      <c r="A331" s="212" t="s">
        <v>493</v>
      </c>
      <c r="E331" s="14"/>
      <c r="F331" s="1239">
        <f t="shared" si="139"/>
        <v>35.299999999999997</v>
      </c>
      <c r="G331" s="1235">
        <f t="shared" si="140"/>
        <v>3529.9999999999995</v>
      </c>
      <c r="H331" s="1236">
        <f t="shared" si="141"/>
        <v>0.28016073130681091</v>
      </c>
      <c r="I331" s="1236"/>
      <c r="J331" s="1235">
        <f t="shared" si="142"/>
        <v>0</v>
      </c>
      <c r="K331" s="1237">
        <f t="shared" si="143"/>
        <v>1</v>
      </c>
      <c r="L331" s="1230"/>
      <c r="M331" s="1238">
        <f t="shared" si="144"/>
        <v>35.564414062499999</v>
      </c>
      <c r="N331" s="1235">
        <f t="shared" si="145"/>
        <v>3556.44140625</v>
      </c>
      <c r="O331" s="1235"/>
      <c r="P331" s="1236">
        <f t="shared" si="146"/>
        <v>0.26381143249808647</v>
      </c>
      <c r="Q331" s="1235">
        <f t="shared" si="147"/>
        <v>0</v>
      </c>
      <c r="R331" s="1235"/>
      <c r="S331" s="1237">
        <f t="shared" si="148"/>
        <v>1</v>
      </c>
      <c r="T331" s="1175"/>
      <c r="U331" s="1175"/>
      <c r="V331" s="1175"/>
      <c r="W331" s="1175"/>
      <c r="X331" s="1175"/>
      <c r="Y331" s="1175"/>
      <c r="Z331" s="1175"/>
      <c r="AA331" s="1175"/>
      <c r="AB331" s="1396"/>
      <c r="AS331" s="1396"/>
    </row>
    <row r="332" spans="1:61" hidden="1">
      <c r="A332" s="212" t="s">
        <v>493</v>
      </c>
      <c r="E332" s="14"/>
      <c r="F332" s="1239">
        <f t="shared" si="139"/>
        <v>50.5</v>
      </c>
      <c r="G332" s="1235">
        <f t="shared" si="140"/>
        <v>5050</v>
      </c>
      <c r="H332" s="1236">
        <f t="shared" si="141"/>
        <v>0.40079651362589097</v>
      </c>
      <c r="I332" s="1236"/>
      <c r="J332" s="1235">
        <f t="shared" si="142"/>
        <v>0</v>
      </c>
      <c r="K332" s="1237">
        <f t="shared" si="143"/>
        <v>1</v>
      </c>
      <c r="L332" s="1230"/>
      <c r="M332" s="1238">
        <f t="shared" si="144"/>
        <v>46.114101562499997</v>
      </c>
      <c r="N332" s="1235">
        <f t="shared" si="145"/>
        <v>4611.41015625</v>
      </c>
      <c r="O332" s="1235"/>
      <c r="P332" s="1236">
        <f t="shared" si="146"/>
        <v>0.34206741520290929</v>
      </c>
      <c r="Q332" s="1235">
        <f t="shared" si="147"/>
        <v>0</v>
      </c>
      <c r="R332" s="1235"/>
      <c r="S332" s="1237">
        <f t="shared" si="148"/>
        <v>1</v>
      </c>
      <c r="T332" s="1175"/>
      <c r="U332" s="1175"/>
      <c r="V332" s="1175"/>
      <c r="W332" s="1175"/>
      <c r="X332" s="1175"/>
      <c r="Y332" s="1175"/>
      <c r="Z332" s="1175"/>
      <c r="AA332" s="1175"/>
      <c r="AB332" s="1396"/>
      <c r="AS332" s="1396"/>
    </row>
    <row r="333" spans="1:61" hidden="1">
      <c r="A333" s="212" t="s">
        <v>493</v>
      </c>
      <c r="E333" s="14"/>
      <c r="F333" s="1239">
        <f t="shared" si="139"/>
        <v>40.199100000000001</v>
      </c>
      <c r="G333" s="1235">
        <f t="shared" si="140"/>
        <v>4019.9100000000003</v>
      </c>
      <c r="H333" s="1236">
        <f t="shared" si="141"/>
        <v>0.31904275506729812</v>
      </c>
      <c r="I333" s="1236"/>
      <c r="J333" s="1235">
        <f t="shared" si="142"/>
        <v>0</v>
      </c>
      <c r="K333" s="1237">
        <f t="shared" si="143"/>
        <v>1</v>
      </c>
      <c r="L333" s="1230"/>
      <c r="M333" s="1238">
        <f t="shared" si="144"/>
        <v>53.131464843750003</v>
      </c>
      <c r="N333" s="1235">
        <f t="shared" si="145"/>
        <v>5313.146484375</v>
      </c>
      <c r="O333" s="1235"/>
      <c r="P333" s="1236">
        <f t="shared" si="146"/>
        <v>0.39412115229900418</v>
      </c>
      <c r="Q333" s="1235">
        <f t="shared" si="147"/>
        <v>0</v>
      </c>
      <c r="R333" s="1235"/>
      <c r="S333" s="1237">
        <f t="shared" si="148"/>
        <v>1</v>
      </c>
      <c r="T333" s="1175"/>
      <c r="U333" s="1175"/>
      <c r="V333" s="1175"/>
      <c r="W333" s="1175"/>
      <c r="X333" s="1175"/>
      <c r="Y333" s="1175"/>
      <c r="Z333" s="1175"/>
      <c r="AA333" s="1175"/>
      <c r="AB333" s="1396"/>
      <c r="AS333" s="1396"/>
    </row>
    <row r="334" spans="1:61" hidden="1">
      <c r="A334" s="212" t="s">
        <v>493</v>
      </c>
      <c r="E334" s="14"/>
      <c r="F334" s="1239">
        <f t="shared" si="139"/>
        <v>45.4</v>
      </c>
      <c r="G334" s="1235">
        <f t="shared" si="140"/>
        <v>0</v>
      </c>
      <c r="H334" s="1236">
        <f t="shared" si="141"/>
        <v>0</v>
      </c>
      <c r="I334" s="1236"/>
      <c r="J334" s="1235" t="str">
        <f t="shared" si="142"/>
        <v/>
      </c>
      <c r="K334" s="1237" t="str">
        <f t="shared" si="143"/>
        <v/>
      </c>
      <c r="L334" s="1230"/>
      <c r="M334" s="1238">
        <f t="shared" si="144"/>
        <v>47.116582031250005</v>
      </c>
      <c r="N334" s="1235">
        <f t="shared" si="145"/>
        <v>0</v>
      </c>
      <c r="O334" s="1235"/>
      <c r="P334" s="1236">
        <f t="shared" si="146"/>
        <v>0</v>
      </c>
      <c r="Q334" s="1235" t="str">
        <f t="shared" si="147"/>
        <v/>
      </c>
      <c r="R334" s="1235"/>
      <c r="S334" s="1237" t="str">
        <f t="shared" si="148"/>
        <v/>
      </c>
      <c r="T334" s="1175"/>
      <c r="U334" s="1175"/>
      <c r="V334" s="1175"/>
      <c r="W334" s="1175"/>
      <c r="X334" s="1175"/>
      <c r="Y334" s="1175"/>
      <c r="Z334" s="1175"/>
      <c r="AA334" s="1175"/>
      <c r="AB334" s="1396"/>
      <c r="AS334" s="1396"/>
    </row>
    <row r="335" spans="1:61" hidden="1">
      <c r="A335" s="212" t="s">
        <v>493</v>
      </c>
      <c r="E335" s="14"/>
      <c r="F335" s="1239">
        <f t="shared" si="139"/>
        <v>32.115299999999998</v>
      </c>
      <c r="G335" s="1235">
        <f t="shared" si="140"/>
        <v>0</v>
      </c>
      <c r="H335" s="1236">
        <f t="shared" si="141"/>
        <v>0</v>
      </c>
      <c r="I335" s="1236"/>
      <c r="J335" s="1235" t="str">
        <f t="shared" si="142"/>
        <v/>
      </c>
      <c r="K335" s="1237" t="str">
        <f t="shared" si="143"/>
        <v/>
      </c>
      <c r="L335" s="1230"/>
      <c r="M335" s="1238">
        <f t="shared" si="144"/>
        <v>41.491816406250003</v>
      </c>
      <c r="N335" s="1235">
        <f t="shared" si="145"/>
        <v>0</v>
      </c>
      <c r="O335" s="1235"/>
      <c r="P335" s="1236">
        <f t="shared" si="146"/>
        <v>0</v>
      </c>
      <c r="Q335" s="1235" t="str">
        <f t="shared" si="147"/>
        <v/>
      </c>
      <c r="R335" s="1235"/>
      <c r="S335" s="1237" t="str">
        <f t="shared" si="148"/>
        <v/>
      </c>
      <c r="T335" s="1175"/>
      <c r="U335" s="1175"/>
      <c r="V335" s="1175"/>
      <c r="W335" s="1175"/>
      <c r="X335" s="1175"/>
      <c r="Y335" s="1175"/>
      <c r="Z335" s="1175"/>
      <c r="AA335" s="1175"/>
      <c r="AB335" s="1396"/>
      <c r="AS335" s="1396"/>
    </row>
    <row r="336" spans="1:61" hidden="1">
      <c r="A336" s="212" t="s">
        <v>493</v>
      </c>
      <c r="E336" s="14"/>
      <c r="F336" s="1239">
        <f t="shared" si="139"/>
        <v>96.603669999999994</v>
      </c>
      <c r="G336" s="1235">
        <f t="shared" si="140"/>
        <v>0</v>
      </c>
      <c r="H336" s="1236">
        <f t="shared" si="141"/>
        <v>0</v>
      </c>
      <c r="I336" s="1236"/>
      <c r="J336" s="1235" t="str">
        <f t="shared" si="142"/>
        <v/>
      </c>
      <c r="K336" s="1237" t="str">
        <f t="shared" si="143"/>
        <v/>
      </c>
      <c r="L336" s="1230"/>
      <c r="M336" s="1238">
        <f t="shared" si="144"/>
        <v>87.467207031249998</v>
      </c>
      <c r="N336" s="1235">
        <f t="shared" si="145"/>
        <v>0</v>
      </c>
      <c r="O336" s="1235"/>
      <c r="P336" s="1236">
        <f t="shared" si="146"/>
        <v>0</v>
      </c>
      <c r="Q336" s="1235" t="str">
        <f t="shared" si="147"/>
        <v/>
      </c>
      <c r="R336" s="1235"/>
      <c r="S336" s="1237" t="str">
        <f t="shared" si="148"/>
        <v/>
      </c>
      <c r="T336" s="1175"/>
      <c r="U336" s="1175"/>
      <c r="V336" s="1175"/>
      <c r="W336" s="1175"/>
      <c r="X336" s="1175"/>
      <c r="Y336" s="1175"/>
      <c r="Z336" s="1175"/>
      <c r="AA336" s="1175"/>
      <c r="AB336" s="1396"/>
      <c r="AS336" s="1396"/>
    </row>
    <row r="337" spans="1:61" hidden="1">
      <c r="A337" s="212" t="s">
        <v>493</v>
      </c>
      <c r="E337" s="14"/>
      <c r="F337" s="1239">
        <f t="shared" si="139"/>
        <v>86.5</v>
      </c>
      <c r="G337" s="1235">
        <f t="shared" si="140"/>
        <v>0</v>
      </c>
      <c r="H337" s="1236">
        <f t="shared" si="141"/>
        <v>0</v>
      </c>
      <c r="I337" s="1236"/>
      <c r="J337" s="1235" t="str">
        <f t="shared" si="142"/>
        <v/>
      </c>
      <c r="K337" s="1237" t="str">
        <f t="shared" si="143"/>
        <v/>
      </c>
      <c r="L337" s="1230"/>
      <c r="M337" s="1238">
        <f t="shared" si="144"/>
        <v>59.2190478515625</v>
      </c>
      <c r="N337" s="1235">
        <f t="shared" si="145"/>
        <v>0</v>
      </c>
      <c r="O337" s="1235"/>
      <c r="P337" s="1236">
        <f t="shared" si="146"/>
        <v>0</v>
      </c>
      <c r="Q337" s="1235" t="str">
        <f t="shared" si="147"/>
        <v/>
      </c>
      <c r="R337" s="1235"/>
      <c r="S337" s="1237" t="str">
        <f t="shared" si="148"/>
        <v/>
      </c>
      <c r="T337" s="1175"/>
      <c r="U337" s="1175"/>
      <c r="V337" s="1175"/>
      <c r="W337" s="1175"/>
      <c r="X337" s="1175"/>
      <c r="Y337" s="1175"/>
      <c r="Z337" s="1175"/>
      <c r="AA337" s="1175"/>
      <c r="AB337" s="1396"/>
      <c r="AS337" s="1396"/>
    </row>
    <row r="338" spans="1:61" hidden="1">
      <c r="A338" s="212" t="s">
        <v>493</v>
      </c>
      <c r="E338" s="14"/>
      <c r="F338" s="1239">
        <f t="shared" si="139"/>
        <v>34</v>
      </c>
      <c r="G338" s="1235">
        <f t="shared" si="140"/>
        <v>0</v>
      </c>
      <c r="H338" s="1236">
        <f t="shared" si="141"/>
        <v>0</v>
      </c>
      <c r="I338" s="1236"/>
      <c r="J338" s="1235" t="str">
        <f t="shared" si="142"/>
        <v/>
      </c>
      <c r="K338" s="1237" t="str">
        <f t="shared" si="143"/>
        <v/>
      </c>
      <c r="L338" s="1230"/>
      <c r="M338" s="1238">
        <f t="shared" si="144"/>
        <v>30.624912109375</v>
      </c>
      <c r="N338" s="1235">
        <f t="shared" si="145"/>
        <v>0</v>
      </c>
      <c r="O338" s="1235"/>
      <c r="P338" s="1236">
        <f t="shared" si="146"/>
        <v>0</v>
      </c>
      <c r="Q338" s="1235" t="str">
        <f t="shared" si="147"/>
        <v/>
      </c>
      <c r="R338" s="1235"/>
      <c r="S338" s="1237" t="str">
        <f t="shared" si="148"/>
        <v/>
      </c>
      <c r="T338" s="1175"/>
      <c r="U338" s="1175"/>
      <c r="V338" s="1175"/>
      <c r="W338" s="1175"/>
      <c r="X338" s="1175"/>
      <c r="Y338" s="1175"/>
      <c r="Z338" s="1175"/>
      <c r="AA338" s="1175"/>
      <c r="AB338" s="1396"/>
      <c r="AS338" s="1396"/>
    </row>
    <row r="339" spans="1:61" hidden="1">
      <c r="A339" s="212" t="s">
        <v>493</v>
      </c>
      <c r="E339" s="14"/>
      <c r="F339" s="1239">
        <f t="shared" si="139"/>
        <v>39.4</v>
      </c>
      <c r="G339" s="1235">
        <f t="shared" si="140"/>
        <v>0</v>
      </c>
      <c r="H339" s="1236">
        <f t="shared" si="141"/>
        <v>0</v>
      </c>
      <c r="I339" s="1236"/>
      <c r="J339" s="1235" t="str">
        <f t="shared" si="142"/>
        <v/>
      </c>
      <c r="K339" s="1237" t="str">
        <f t="shared" si="143"/>
        <v/>
      </c>
      <c r="L339" s="1230"/>
      <c r="M339" s="1238">
        <f t="shared" si="144"/>
        <v>45.443417968749998</v>
      </c>
      <c r="N339" s="1235">
        <f t="shared" si="145"/>
        <v>0</v>
      </c>
      <c r="O339" s="1235"/>
      <c r="P339" s="1236">
        <f t="shared" si="146"/>
        <v>0</v>
      </c>
      <c r="Q339" s="1235" t="str">
        <f t="shared" si="147"/>
        <v/>
      </c>
      <c r="R339" s="1235"/>
      <c r="S339" s="1237" t="str">
        <f t="shared" si="148"/>
        <v/>
      </c>
      <c r="T339" s="1175"/>
      <c r="U339" s="1175"/>
      <c r="V339" s="1175"/>
      <c r="W339" s="1175"/>
      <c r="X339" s="1175"/>
      <c r="Y339" s="1175"/>
      <c r="Z339" s="1175"/>
      <c r="AA339" s="1175"/>
      <c r="AB339" s="1396"/>
      <c r="AS339" s="1396"/>
    </row>
    <row r="340" spans="1:61" hidden="1">
      <c r="A340" s="212" t="s">
        <v>493</v>
      </c>
      <c r="E340" s="14"/>
      <c r="F340" s="1240">
        <f t="shared" si="139"/>
        <v>44.496375</v>
      </c>
      <c r="G340" s="1235">
        <f t="shared" si="140"/>
        <v>0</v>
      </c>
      <c r="H340" s="1236">
        <f t="shared" si="141"/>
        <v>0</v>
      </c>
      <c r="I340" s="1236"/>
      <c r="J340" s="1235" t="str">
        <f t="shared" si="142"/>
        <v/>
      </c>
      <c r="K340" s="1237" t="str">
        <f t="shared" si="143"/>
        <v/>
      </c>
      <c r="L340" s="1230"/>
      <c r="M340" s="1238">
        <f t="shared" si="144"/>
        <v>66.483620689655183</v>
      </c>
      <c r="N340" s="1235">
        <f t="shared" si="145"/>
        <v>0</v>
      </c>
      <c r="O340" s="1235"/>
      <c r="P340" s="1236">
        <f t="shared" si="146"/>
        <v>0</v>
      </c>
      <c r="Q340" s="1235" t="str">
        <f t="shared" si="147"/>
        <v/>
      </c>
      <c r="R340" s="1235"/>
      <c r="S340" s="1237" t="str">
        <f t="shared" si="148"/>
        <v/>
      </c>
      <c r="T340" s="1175"/>
      <c r="U340" s="1175"/>
      <c r="V340" s="1175"/>
      <c r="W340" s="1175"/>
      <c r="X340" s="1175"/>
      <c r="Y340" s="1175"/>
      <c r="Z340" s="1175"/>
      <c r="AA340" s="1175"/>
      <c r="AB340" s="1396"/>
      <c r="AS340" s="1396"/>
    </row>
    <row r="341" spans="1:61" hidden="1">
      <c r="A341" s="212" t="s">
        <v>493</v>
      </c>
      <c r="E341" s="14"/>
      <c r="F341" s="1230"/>
      <c r="G341" s="1241" t="s">
        <v>1422</v>
      </c>
      <c r="H341" s="1230"/>
      <c r="I341" s="1230"/>
      <c r="J341" s="1227"/>
      <c r="K341" s="1228" t="s">
        <v>1423</v>
      </c>
      <c r="L341" s="1230"/>
      <c r="M341" s="1230"/>
      <c r="N341" s="1230"/>
      <c r="O341" s="1230"/>
      <c r="P341" s="1230"/>
      <c r="Q341" s="1227"/>
      <c r="R341" s="1227"/>
      <c r="S341" s="1230"/>
      <c r="T341" s="1175"/>
      <c r="U341" s="1175"/>
      <c r="V341" s="1175"/>
      <c r="W341" s="1175"/>
      <c r="X341" s="1175"/>
      <c r="Y341" s="1175"/>
      <c r="Z341" s="1175"/>
      <c r="AA341" s="1175"/>
      <c r="AB341" s="1396"/>
      <c r="AS341" s="1396"/>
    </row>
    <row r="342" spans="1:61" hidden="1">
      <c r="A342" s="212" t="s">
        <v>493</v>
      </c>
      <c r="E342" s="14"/>
      <c r="F342" s="1333">
        <f>SUMPRODUCT(F329:F340,M44:M55)/M58</f>
        <v>41.999699999999997</v>
      </c>
      <c r="G342" s="1242">
        <f>SUM(G329:G340)</f>
        <v>12599.91</v>
      </c>
      <c r="H342" s="1230"/>
      <c r="I342" s="1230"/>
      <c r="J342" s="1235">
        <f>$J$39</f>
        <v>0</v>
      </c>
      <c r="K342" s="1243">
        <f>1-J39/G342</f>
        <v>1</v>
      </c>
      <c r="L342" s="1230"/>
      <c r="M342" s="1333">
        <f>SUMPRODUCT(M329:M340,M44:M55)/M58</f>
        <v>44.936660156249999</v>
      </c>
      <c r="N342" s="1235">
        <f>SUM(N329:N340)</f>
        <v>13480.998046875</v>
      </c>
      <c r="O342" s="1235"/>
      <c r="P342" s="1230"/>
      <c r="Q342" s="1235">
        <f>N342*(1-J40)</f>
        <v>0</v>
      </c>
      <c r="R342" s="1235"/>
      <c r="S342" s="1237">
        <f>IFERROR(1-(Q342/M58)/M342,"")</f>
        <v>1</v>
      </c>
      <c r="T342" s="1175"/>
      <c r="U342" s="1175"/>
      <c r="V342" s="1175"/>
      <c r="W342" s="1175"/>
      <c r="X342" s="1175"/>
      <c r="Y342" s="1175"/>
      <c r="Z342" s="1175"/>
      <c r="AA342" s="1175"/>
      <c r="AB342" s="1396"/>
      <c r="AS342" s="1396"/>
    </row>
    <row r="343" spans="1:61" hidden="1">
      <c r="A343" s="212" t="s">
        <v>493</v>
      </c>
      <c r="E343" s="1175"/>
      <c r="F343" s="1175"/>
      <c r="G343" s="1175"/>
      <c r="H343" s="1175"/>
      <c r="I343" s="1175"/>
      <c r="J343" s="1175"/>
      <c r="K343" s="1175"/>
      <c r="L343" s="1175"/>
      <c r="M343" s="1175"/>
      <c r="N343" s="1175"/>
      <c r="O343" s="1175"/>
      <c r="P343" s="1175"/>
      <c r="Q343" s="1175"/>
      <c r="R343" s="1175"/>
      <c r="S343" s="1175"/>
      <c r="T343" s="1175"/>
      <c r="U343" s="1175"/>
      <c r="V343" s="1175"/>
      <c r="W343" s="1175"/>
      <c r="X343" s="1175"/>
      <c r="Y343" s="1175"/>
      <c r="Z343" s="1175"/>
      <c r="AA343" s="1175"/>
      <c r="AB343" s="1396"/>
      <c r="AS343" s="1396"/>
    </row>
    <row r="344" spans="1:61" s="1309" customFormat="1" ht="25.5" hidden="1" customHeight="1">
      <c r="A344" s="212" t="s">
        <v>493</v>
      </c>
      <c r="B344" s="1300"/>
      <c r="C344" s="1301"/>
      <c r="D344" s="1300"/>
      <c r="E344" s="1302"/>
      <c r="F344" s="1302" t="s">
        <v>1644</v>
      </c>
      <c r="G344" s="1310"/>
      <c r="H344" s="1311"/>
      <c r="I344" s="1312"/>
      <c r="J344" s="1310"/>
      <c r="K344" s="1313"/>
      <c r="L344" s="1314"/>
      <c r="M344" s="1302"/>
      <c r="N344" s="1302"/>
      <c r="O344" s="1314"/>
      <c r="P344" s="1314"/>
      <c r="Q344" s="1302"/>
      <c r="R344" s="1302"/>
      <c r="S344" s="1302"/>
      <c r="T344" s="1302"/>
      <c r="U344" s="1302"/>
      <c r="V344" s="1302"/>
      <c r="W344" s="1302"/>
      <c r="X344" s="1302"/>
      <c r="Y344" s="1302"/>
      <c r="Z344" s="1302"/>
      <c r="AA344" s="1302"/>
      <c r="AB344" s="1302"/>
      <c r="AC344" s="1302"/>
      <c r="AD344" s="1323"/>
      <c r="AE344" s="1317"/>
      <c r="AF344" s="1317"/>
      <c r="AG344" s="1317"/>
      <c r="AH344" s="1317"/>
      <c r="AI344" s="1317"/>
      <c r="AJ344" s="1317"/>
      <c r="AK344" s="1317"/>
      <c r="AL344" s="1317"/>
      <c r="AM344" s="1317"/>
      <c r="AN344" s="1302"/>
      <c r="AO344" s="1302"/>
      <c r="AP344" s="1302"/>
      <c r="AQ344" s="1302"/>
      <c r="AR344" s="1302"/>
      <c r="AS344" s="1302"/>
      <c r="AT344" s="1302"/>
      <c r="AU344" s="1302"/>
      <c r="AV344" s="1302"/>
      <c r="AW344" s="1302"/>
      <c r="AX344" s="1302"/>
      <c r="AY344" s="1302"/>
      <c r="AZ344" s="1302"/>
      <c r="BA344" s="1302"/>
      <c r="BB344" s="1302"/>
      <c r="BC344" s="1302"/>
      <c r="BD344" s="1302"/>
      <c r="BE344" s="1302"/>
      <c r="BF344" s="1302"/>
      <c r="BG344" s="1302"/>
      <c r="BH344" s="1302"/>
      <c r="BI344" s="1302"/>
    </row>
    <row r="345" spans="1:61" hidden="1">
      <c r="A345" s="212" t="s">
        <v>493</v>
      </c>
      <c r="B345" s="943"/>
      <c r="C345" s="1092"/>
      <c r="D345" s="943"/>
      <c r="E345" s="14"/>
      <c r="F345" s="147"/>
      <c r="G345" s="14"/>
      <c r="H345" s="14"/>
      <c r="I345" s="14"/>
      <c r="J345" s="14"/>
      <c r="K345" s="14"/>
      <c r="L345" s="14"/>
      <c r="M345" s="14"/>
      <c r="N345" s="14"/>
      <c r="O345" s="14"/>
      <c r="P345" s="1175"/>
      <c r="Q345" s="1175"/>
      <c r="R345" s="1175"/>
      <c r="S345" s="1175"/>
      <c r="T345" s="1175"/>
      <c r="U345" s="1175"/>
      <c r="V345" s="1175"/>
      <c r="W345" s="1175"/>
      <c r="X345" s="1175"/>
      <c r="Y345" s="1175"/>
      <c r="Z345" s="1175"/>
      <c r="AA345" s="1175"/>
      <c r="AB345" s="1396"/>
      <c r="AC345" s="995"/>
      <c r="AD345" s="1428"/>
      <c r="AE345" s="1406"/>
      <c r="AF345" s="1406"/>
      <c r="AG345" s="1406"/>
      <c r="AH345" s="1406"/>
      <c r="AI345" s="1406"/>
      <c r="AJ345" s="1406"/>
      <c r="AK345" s="1406"/>
      <c r="AL345" s="1407"/>
      <c r="AM345" s="1407"/>
      <c r="AN345" s="995"/>
      <c r="AO345" s="995"/>
      <c r="AP345" s="995"/>
      <c r="AQ345" s="995"/>
      <c r="AR345" s="995"/>
      <c r="AS345" s="1396"/>
      <c r="AT345" s="995"/>
      <c r="AU345" s="995"/>
      <c r="AV345" s="995"/>
      <c r="AW345" s="995"/>
      <c r="AX345" s="995"/>
      <c r="AY345" s="995"/>
      <c r="AZ345" s="995"/>
      <c r="BA345" s="995"/>
      <c r="BB345" s="995"/>
      <c r="BC345" s="995"/>
      <c r="BD345" s="995"/>
      <c r="BE345" s="995"/>
      <c r="BF345" s="995"/>
      <c r="BG345" s="995"/>
      <c r="BH345" s="995"/>
      <c r="BI345" s="995"/>
    </row>
    <row r="346" spans="1:61" ht="21" hidden="1">
      <c r="A346" s="212" t="s">
        <v>493</v>
      </c>
      <c r="C346" s="1163"/>
      <c r="E346" s="14"/>
      <c r="F346" s="1172" t="s">
        <v>1642</v>
      </c>
      <c r="G346" s="13"/>
      <c r="H346" s="13"/>
      <c r="I346" s="13"/>
      <c r="J346" s="13"/>
      <c r="K346" s="13"/>
      <c r="L346" s="13"/>
      <c r="M346" s="13"/>
      <c r="N346" s="13"/>
      <c r="O346" s="13"/>
      <c r="P346" s="1175"/>
      <c r="Q346" s="1175"/>
      <c r="R346" s="1175"/>
      <c r="S346" s="1175"/>
      <c r="T346" s="1175"/>
      <c r="U346" s="1175"/>
      <c r="V346" s="1175"/>
      <c r="W346" s="1175"/>
      <c r="X346" s="1175"/>
      <c r="Y346" s="1175"/>
      <c r="Z346" s="1175"/>
      <c r="AA346" s="1175"/>
      <c r="AB346" s="1396"/>
      <c r="AS346" s="1396"/>
    </row>
    <row r="347" spans="1:61" s="422" customFormat="1" ht="32" hidden="1">
      <c r="A347" s="212" t="s">
        <v>493</v>
      </c>
      <c r="B347" s="781"/>
      <c r="C347" s="1164" t="s">
        <v>1638</v>
      </c>
      <c r="D347" s="781"/>
      <c r="E347" s="14"/>
      <c r="F347" s="1174" t="s">
        <v>1444</v>
      </c>
      <c r="G347" s="1174" t="s">
        <v>1445</v>
      </c>
      <c r="H347" s="1174"/>
      <c r="I347" s="1174"/>
      <c r="J347" s="1174" t="s">
        <v>531</v>
      </c>
      <c r="K347" s="1174" t="s">
        <v>532</v>
      </c>
      <c r="L347" s="1174"/>
      <c r="M347" s="1174" t="s">
        <v>431</v>
      </c>
      <c r="N347" s="1174" t="s">
        <v>533</v>
      </c>
      <c r="O347" s="1175"/>
      <c r="P347" s="1175"/>
      <c r="Q347" s="1175"/>
      <c r="R347" s="1175"/>
      <c r="S347" s="1175"/>
      <c r="T347" s="1175"/>
      <c r="U347" s="1175"/>
      <c r="V347" s="1175"/>
      <c r="W347" s="1175"/>
      <c r="X347" s="1175"/>
      <c r="Y347" s="1175"/>
      <c r="Z347" s="1175"/>
      <c r="AA347" s="1175"/>
      <c r="AB347" s="1396"/>
      <c r="AD347" s="1439"/>
      <c r="AE347" s="1086"/>
      <c r="AF347" s="1086"/>
      <c r="AG347" s="1086"/>
      <c r="AH347" s="1086"/>
      <c r="AI347" s="1086"/>
      <c r="AJ347" s="1086"/>
      <c r="AK347" s="1086"/>
      <c r="AL347" s="1425"/>
      <c r="AM347" s="1425"/>
      <c r="AS347" s="1396"/>
    </row>
    <row r="348" spans="1:61" hidden="1">
      <c r="A348" s="212" t="s">
        <v>493</v>
      </c>
      <c r="C348" s="1164" t="s">
        <v>204</v>
      </c>
      <c r="E348" s="14"/>
      <c r="F348" s="1331" t="s">
        <v>132</v>
      </c>
      <c r="G348" s="1331" t="s">
        <v>132</v>
      </c>
      <c r="H348" s="1331"/>
      <c r="I348" s="1331"/>
      <c r="J348" s="1331" t="s">
        <v>551</v>
      </c>
      <c r="K348" s="1331" t="s">
        <v>132</v>
      </c>
      <c r="L348" s="1331"/>
      <c r="M348" s="1331" t="s">
        <v>440</v>
      </c>
      <c r="N348" s="1331"/>
      <c r="O348" s="1175"/>
      <c r="P348" s="1175"/>
      <c r="Q348" s="1175"/>
      <c r="R348" s="1175"/>
      <c r="S348" s="1175"/>
      <c r="T348" s="1175"/>
      <c r="U348" s="1175"/>
      <c r="V348" s="1175"/>
      <c r="W348" s="1175"/>
      <c r="X348" s="1175"/>
      <c r="Y348" s="1175"/>
      <c r="Z348" s="1175"/>
      <c r="AA348" s="1175"/>
      <c r="AB348" s="1396"/>
      <c r="AS348" s="1396"/>
    </row>
    <row r="349" spans="1:61" hidden="1">
      <c r="A349" s="212" t="s">
        <v>493</v>
      </c>
      <c r="C349" s="1164" t="s">
        <v>1639</v>
      </c>
      <c r="E349" s="14"/>
      <c r="F349" s="1175"/>
      <c r="G349" s="1175"/>
      <c r="H349" s="1175"/>
      <c r="I349" s="1175"/>
      <c r="J349" s="1175"/>
      <c r="K349" s="1175"/>
      <c r="L349" s="1175"/>
      <c r="M349" s="1175"/>
      <c r="N349" s="1176" t="s">
        <v>1412</v>
      </c>
      <c r="O349" s="1175"/>
      <c r="P349" s="1175"/>
      <c r="Q349" s="1175"/>
      <c r="R349" s="1175"/>
      <c r="S349" s="1175"/>
      <c r="T349" s="1175"/>
      <c r="U349" s="1175"/>
      <c r="V349" s="1175"/>
      <c r="W349" s="1175"/>
      <c r="X349" s="1175"/>
      <c r="Y349" s="1175"/>
      <c r="Z349" s="1175"/>
      <c r="AA349" s="1175"/>
      <c r="AB349" s="1396"/>
      <c r="AS349" s="1396"/>
    </row>
    <row r="350" spans="1:61" hidden="1">
      <c r="A350" s="212" t="s">
        <v>493</v>
      </c>
      <c r="C350" s="1164" t="str">
        <f t="shared" ref="C350:C361" si="149">F44</f>
        <v>woning</v>
      </c>
      <c r="E350" s="14"/>
      <c r="F350" s="1177">
        <f t="shared" ref="F350:F361" si="150">INDEX(MPG_factor_a,MATCH($F44,Gebruiksfuncties,0),MATCH(EP_bronmethode,GPR_Versie_En_EP_Methode,0))</f>
        <v>-6.2290000000000001</v>
      </c>
      <c r="G350" s="1177">
        <f t="shared" ref="G350:G361" si="151">INDEX(MPG_factor_b,MATCH($F44,Gebruiksfuncties,0),MATCH(EP_bronmethode,GPR_Versie_En_EP_Methode,0))</f>
        <v>3.6139999999999999</v>
      </c>
      <c r="H350" s="1177"/>
      <c r="I350" s="1177"/>
      <c r="J350" s="1178">
        <f t="shared" ref="J350:J361" si="152">F372*$M44/$M$58*$J$275</f>
        <v>0</v>
      </c>
      <c r="K350" s="1179">
        <f t="shared" ref="K350:K361" si="153">IF($BA$273=1,J350/J$363,M44/$M$58)</f>
        <v>0</v>
      </c>
      <c r="L350" s="1179"/>
      <c r="M350" s="1177" t="str">
        <f t="shared" ref="M350:M361" si="154">IF(OR($K350=0,ISNUMBER(M$363)=FALSE),"",$K350*M$363/IF(M44="",1,$M44))</f>
        <v/>
      </c>
      <c r="N350" s="1180" t="str">
        <f t="shared" ref="N350:N361" si="155">IFERROR(F350*LN(M350)+G350,"")</f>
        <v/>
      </c>
      <c r="O350" s="1175"/>
      <c r="P350" s="1374" t="e">
        <f>EXP((N350-G350)/F350)</f>
        <v>#VALUE!</v>
      </c>
      <c r="Q350" s="1175"/>
      <c r="R350" s="1175"/>
      <c r="S350" s="1175"/>
      <c r="T350" s="1175"/>
      <c r="U350" s="1175"/>
      <c r="V350" s="1175"/>
      <c r="W350" s="1175"/>
      <c r="X350" s="1175"/>
      <c r="Y350" s="1175"/>
      <c r="Z350" s="1175"/>
      <c r="AA350" s="1175"/>
      <c r="AB350" s="1396"/>
      <c r="AS350" s="1396"/>
    </row>
    <row r="351" spans="1:61" hidden="1">
      <c r="A351" s="212" t="s">
        <v>493</v>
      </c>
      <c r="C351" s="1164" t="str">
        <f t="shared" si="149"/>
        <v>woongebouw</v>
      </c>
      <c r="E351" s="14"/>
      <c r="F351" s="1177">
        <f t="shared" si="150"/>
        <v>-6.2290000000000001</v>
      </c>
      <c r="G351" s="1177">
        <f t="shared" si="151"/>
        <v>3.6139999999999999</v>
      </c>
      <c r="H351" s="1177"/>
      <c r="I351" s="1177"/>
      <c r="J351" s="1178">
        <f t="shared" si="152"/>
        <v>0</v>
      </c>
      <c r="K351" s="1179">
        <f t="shared" si="153"/>
        <v>0</v>
      </c>
      <c r="L351" s="1179"/>
      <c r="M351" s="1177" t="str">
        <f t="shared" si="154"/>
        <v/>
      </c>
      <c r="N351" s="1180" t="str">
        <f t="shared" si="155"/>
        <v/>
      </c>
      <c r="O351" s="1175"/>
      <c r="P351" s="1175"/>
      <c r="Q351" s="1175"/>
      <c r="R351" s="1175"/>
      <c r="S351" s="1175"/>
      <c r="T351" s="1175"/>
      <c r="U351" s="1175"/>
      <c r="V351" s="1175"/>
      <c r="W351" s="1175"/>
      <c r="X351" s="1175"/>
      <c r="Y351" s="1175"/>
      <c r="Z351" s="1175"/>
      <c r="AA351" s="1175"/>
      <c r="AB351" s="1396"/>
      <c r="AS351" s="1396"/>
    </row>
    <row r="352" spans="1:61" hidden="1">
      <c r="A352" s="212" t="s">
        <v>493</v>
      </c>
      <c r="C352" s="1164" t="str">
        <f t="shared" si="149"/>
        <v>kantoor</v>
      </c>
      <c r="E352" s="14"/>
      <c r="F352" s="1177">
        <f t="shared" si="150"/>
        <v>-9.4329999999999998</v>
      </c>
      <c r="G352" s="1177">
        <f t="shared" si="151"/>
        <v>4.0190999999999999</v>
      </c>
      <c r="H352" s="1177"/>
      <c r="I352" s="1177"/>
      <c r="J352" s="1178">
        <f t="shared" si="152"/>
        <v>1.1501017459454876</v>
      </c>
      <c r="K352" s="1179">
        <f t="shared" si="153"/>
        <v>0.33333333333333331</v>
      </c>
      <c r="L352" s="1179"/>
      <c r="M352" s="1177">
        <f t="shared" si="154"/>
        <v>0</v>
      </c>
      <c r="N352" s="1180" t="str">
        <f t="shared" si="155"/>
        <v/>
      </c>
      <c r="O352" s="1175"/>
      <c r="P352" s="1175"/>
      <c r="Q352" s="1175"/>
      <c r="R352" s="1175"/>
      <c r="S352" s="1175"/>
      <c r="T352" s="1175"/>
      <c r="U352" s="1175"/>
      <c r="V352" s="1175"/>
      <c r="W352" s="1175"/>
      <c r="X352" s="1175"/>
      <c r="Y352" s="1175"/>
      <c r="Z352" s="1175"/>
      <c r="AA352" s="1175"/>
      <c r="AB352" s="1396"/>
      <c r="AS352" s="1396"/>
    </row>
    <row r="353" spans="1:61" hidden="1">
      <c r="A353" s="212" t="s">
        <v>493</v>
      </c>
      <c r="C353" s="1164" t="str">
        <f t="shared" si="149"/>
        <v>bijeenkomst overig</v>
      </c>
      <c r="E353" s="14"/>
      <c r="F353" s="1177">
        <f t="shared" si="150"/>
        <v>-6.6280000000000001</v>
      </c>
      <c r="G353" s="1177">
        <f t="shared" si="151"/>
        <v>5.5023</v>
      </c>
      <c r="H353" s="1177"/>
      <c r="I353" s="1177"/>
      <c r="J353" s="1178">
        <f t="shared" si="152"/>
        <v>1.5146854859275478</v>
      </c>
      <c r="K353" s="1179">
        <f t="shared" si="153"/>
        <v>0.33333333333333331</v>
      </c>
      <c r="L353" s="1179"/>
      <c r="M353" s="1177">
        <f t="shared" si="154"/>
        <v>0</v>
      </c>
      <c r="N353" s="1180" t="str">
        <f t="shared" si="155"/>
        <v/>
      </c>
      <c r="O353" s="1175"/>
      <c r="P353" s="1175"/>
      <c r="Q353" s="1175"/>
      <c r="R353" s="1175"/>
      <c r="S353" s="1175"/>
      <c r="T353" s="1175"/>
      <c r="U353" s="1175"/>
      <c r="V353" s="1175"/>
      <c r="W353" s="1175"/>
      <c r="X353" s="1175"/>
      <c r="Y353" s="1175"/>
      <c r="Z353" s="1175"/>
      <c r="AA353" s="1175"/>
      <c r="AB353" s="1396"/>
      <c r="AS353" s="1396"/>
    </row>
    <row r="354" spans="1:61" hidden="1">
      <c r="A354" s="212" t="s">
        <v>493</v>
      </c>
      <c r="C354" s="1164" t="str">
        <f t="shared" si="149"/>
        <v>bijeenkomst kinderdagverblijf</v>
      </c>
      <c r="E354" s="14"/>
      <c r="F354" s="1177">
        <f t="shared" si="150"/>
        <v>-8.84</v>
      </c>
      <c r="G354" s="1177">
        <f t="shared" si="151"/>
        <v>4.5613000000000001</v>
      </c>
      <c r="H354" s="1177"/>
      <c r="I354" s="1177"/>
      <c r="J354" s="1178">
        <f t="shared" si="152"/>
        <v>1.6701666174123204</v>
      </c>
      <c r="K354" s="1179">
        <f t="shared" si="153"/>
        <v>0.33333333333333331</v>
      </c>
      <c r="L354" s="1179"/>
      <c r="M354" s="1177">
        <f t="shared" si="154"/>
        <v>0</v>
      </c>
      <c r="N354" s="1180" t="str">
        <f t="shared" si="155"/>
        <v/>
      </c>
      <c r="O354" s="1175"/>
      <c r="P354" s="1175"/>
      <c r="Q354" s="1175"/>
      <c r="R354" s="1175"/>
      <c r="S354" s="1175"/>
      <c r="T354" s="1175"/>
      <c r="U354" s="1175"/>
      <c r="V354" s="1175"/>
      <c r="W354" s="1175"/>
      <c r="X354" s="1175"/>
      <c r="Y354" s="1175"/>
      <c r="Z354" s="1175"/>
      <c r="AA354" s="1175"/>
      <c r="AB354" s="1396"/>
      <c r="AS354" s="1396"/>
    </row>
    <row r="355" spans="1:61" hidden="1">
      <c r="A355" s="212" t="s">
        <v>493</v>
      </c>
      <c r="C355" s="1164" t="str">
        <f t="shared" si="149"/>
        <v>onderwijs</v>
      </c>
      <c r="E355" s="14"/>
      <c r="F355" s="1177">
        <f t="shared" si="150"/>
        <v>-8.84</v>
      </c>
      <c r="G355" s="1177">
        <f t="shared" si="151"/>
        <v>4.5613000000000001</v>
      </c>
      <c r="H355" s="1177"/>
      <c r="I355" s="1177"/>
      <c r="J355" s="1178">
        <f t="shared" si="152"/>
        <v>0</v>
      </c>
      <c r="K355" s="1179">
        <f t="shared" si="153"/>
        <v>0</v>
      </c>
      <c r="L355" s="1179"/>
      <c r="M355" s="1177" t="str">
        <f t="shared" si="154"/>
        <v/>
      </c>
      <c r="N355" s="1180" t="str">
        <f t="shared" si="155"/>
        <v/>
      </c>
      <c r="O355" s="1175"/>
      <c r="P355" s="1175"/>
      <c r="Q355" s="1175"/>
      <c r="R355" s="1175"/>
      <c r="S355" s="1175"/>
      <c r="T355" s="1175"/>
      <c r="U355" s="1175"/>
      <c r="V355" s="1175"/>
      <c r="W355" s="1175"/>
      <c r="X355" s="1175"/>
      <c r="Y355" s="1175"/>
      <c r="Z355" s="1175"/>
      <c r="AA355" s="1175"/>
      <c r="AB355" s="1396"/>
      <c r="AS355" s="1396"/>
    </row>
    <row r="356" spans="1:61" hidden="1">
      <c r="A356" s="212" t="s">
        <v>493</v>
      </c>
      <c r="C356" s="1164" t="str">
        <f t="shared" si="149"/>
        <v>gezondheid overig</v>
      </c>
      <c r="E356" s="14"/>
      <c r="F356" s="1177" t="str">
        <f t="shared" si="150"/>
        <v>#N/B</v>
      </c>
      <c r="G356" s="1177" t="str">
        <f t="shared" si="151"/>
        <v>#N/B</v>
      </c>
      <c r="H356" s="1177"/>
      <c r="I356" s="1177"/>
      <c r="J356" s="1178">
        <f t="shared" si="152"/>
        <v>0</v>
      </c>
      <c r="K356" s="1179">
        <f t="shared" si="153"/>
        <v>0</v>
      </c>
      <c r="L356" s="1179"/>
      <c r="M356" s="1177" t="str">
        <f t="shared" si="154"/>
        <v/>
      </c>
      <c r="N356" s="1180" t="str">
        <f t="shared" si="155"/>
        <v/>
      </c>
      <c r="O356" s="1175"/>
      <c r="P356" s="1175"/>
      <c r="Q356" s="1175"/>
      <c r="R356" s="1175"/>
      <c r="S356" s="1175"/>
      <c r="T356" s="1175"/>
      <c r="U356" s="1175"/>
      <c r="V356" s="1175"/>
      <c r="W356" s="1175"/>
      <c r="X356" s="1175"/>
      <c r="Y356" s="1175"/>
      <c r="Z356" s="1175"/>
      <c r="AA356" s="1175"/>
      <c r="AB356" s="1396"/>
      <c r="AS356" s="1396"/>
    </row>
    <row r="357" spans="1:61" hidden="1">
      <c r="A357" s="212" t="s">
        <v>493</v>
      </c>
      <c r="C357" s="1164" t="str">
        <f t="shared" si="149"/>
        <v>gezondheid bedgebied</v>
      </c>
      <c r="E357" s="14"/>
      <c r="F357" s="1177" t="str">
        <f t="shared" si="150"/>
        <v>#N/B</v>
      </c>
      <c r="G357" s="1177" t="str">
        <f t="shared" si="151"/>
        <v>#N/B</v>
      </c>
      <c r="H357" s="1177"/>
      <c r="I357" s="1177"/>
      <c r="J357" s="1178">
        <f t="shared" si="152"/>
        <v>0</v>
      </c>
      <c r="K357" s="1179">
        <f t="shared" si="153"/>
        <v>0</v>
      </c>
      <c r="L357" s="1179"/>
      <c r="M357" s="1177" t="str">
        <f t="shared" si="154"/>
        <v/>
      </c>
      <c r="N357" s="1180" t="str">
        <f t="shared" si="155"/>
        <v/>
      </c>
      <c r="O357" s="1175"/>
      <c r="P357" s="1175"/>
      <c r="Q357" s="1175"/>
      <c r="R357" s="1175"/>
      <c r="S357" s="1175"/>
      <c r="T357" s="1175"/>
      <c r="U357" s="1175"/>
      <c r="V357" s="1175"/>
      <c r="W357" s="1175"/>
      <c r="X357" s="1175"/>
      <c r="Y357" s="1175"/>
      <c r="Z357" s="1175"/>
      <c r="AA357" s="1175"/>
      <c r="AB357" s="1396"/>
      <c r="AS357" s="1396"/>
    </row>
    <row r="358" spans="1:61" hidden="1">
      <c r="A358" s="212" t="s">
        <v>493</v>
      </c>
      <c r="C358" s="1164" t="str">
        <f t="shared" si="149"/>
        <v>winkel</v>
      </c>
      <c r="E358" s="14"/>
      <c r="F358" s="1177">
        <f t="shared" si="150"/>
        <v>-8.02</v>
      </c>
      <c r="G358" s="1177">
        <f t="shared" si="151"/>
        <v>5.0240999999999998</v>
      </c>
      <c r="H358" s="1177"/>
      <c r="I358" s="1177"/>
      <c r="J358" s="1178">
        <f t="shared" si="152"/>
        <v>0</v>
      </c>
      <c r="K358" s="1179">
        <f t="shared" si="153"/>
        <v>0</v>
      </c>
      <c r="L358" s="1179"/>
      <c r="M358" s="1177" t="str">
        <f t="shared" si="154"/>
        <v/>
      </c>
      <c r="N358" s="1180" t="str">
        <f t="shared" si="155"/>
        <v/>
      </c>
      <c r="O358" s="1175"/>
      <c r="P358" s="1175"/>
      <c r="Q358" s="1175"/>
      <c r="R358" s="1175"/>
      <c r="S358" s="1175"/>
      <c r="T358" s="1175"/>
      <c r="U358" s="1175"/>
      <c r="V358" s="1175"/>
      <c r="W358" s="1175"/>
      <c r="X358" s="1175"/>
      <c r="Y358" s="1175"/>
      <c r="Z358" s="1175"/>
      <c r="AA358" s="1175"/>
      <c r="AB358" s="1396"/>
      <c r="AS358" s="1396"/>
    </row>
    <row r="359" spans="1:61" hidden="1">
      <c r="A359" s="212" t="s">
        <v>493</v>
      </c>
      <c r="C359" s="1164" t="str">
        <f t="shared" si="149"/>
        <v>sport</v>
      </c>
      <c r="E359" s="14"/>
      <c r="F359" s="1177">
        <f t="shared" si="150"/>
        <v>-5.4290000000000003</v>
      </c>
      <c r="G359" s="1177">
        <f t="shared" si="151"/>
        <v>6.5660999999999996</v>
      </c>
      <c r="H359" s="1177"/>
      <c r="I359" s="1177"/>
      <c r="J359" s="1178">
        <f t="shared" si="152"/>
        <v>0</v>
      </c>
      <c r="K359" s="1179">
        <f t="shared" si="153"/>
        <v>0</v>
      </c>
      <c r="L359" s="1179"/>
      <c r="M359" s="1177" t="str">
        <f t="shared" si="154"/>
        <v/>
      </c>
      <c r="N359" s="1180" t="str">
        <f t="shared" si="155"/>
        <v/>
      </c>
      <c r="O359" s="1175"/>
      <c r="P359" s="1175"/>
      <c r="Q359" s="1175"/>
      <c r="R359" s="1175"/>
      <c r="S359" s="1175"/>
      <c r="T359" s="1175"/>
      <c r="U359" s="1175"/>
      <c r="V359" s="1175"/>
      <c r="W359" s="1175"/>
      <c r="X359" s="1175"/>
      <c r="Y359" s="1175"/>
      <c r="Z359" s="1175"/>
      <c r="AA359" s="1175"/>
      <c r="AB359" s="1396"/>
      <c r="AS359" s="1396"/>
    </row>
    <row r="360" spans="1:61" hidden="1">
      <c r="A360" s="212" t="s">
        <v>493</v>
      </c>
      <c r="C360" s="1164" t="str">
        <f t="shared" si="149"/>
        <v>logies in logiesgebouw</v>
      </c>
      <c r="E360" s="14"/>
      <c r="F360" s="1177">
        <f t="shared" si="150"/>
        <v>-8.2200000000000006</v>
      </c>
      <c r="G360" s="1177">
        <f t="shared" si="151"/>
        <v>3.9643999999999999</v>
      </c>
      <c r="H360" s="1177"/>
      <c r="I360" s="1177"/>
      <c r="J360" s="1178">
        <f t="shared" si="152"/>
        <v>0</v>
      </c>
      <c r="K360" s="1179">
        <f t="shared" si="153"/>
        <v>0</v>
      </c>
      <c r="L360" s="1179"/>
      <c r="M360" s="1177" t="str">
        <f t="shared" si="154"/>
        <v/>
      </c>
      <c r="N360" s="1180" t="str">
        <f t="shared" si="155"/>
        <v/>
      </c>
      <c r="O360" s="1175"/>
      <c r="P360" s="1175"/>
      <c r="Q360" s="1175"/>
      <c r="R360" s="1175"/>
      <c r="S360" s="1175"/>
      <c r="T360" s="1175"/>
      <c r="U360" s="1175"/>
      <c r="V360" s="1175"/>
      <c r="W360" s="1175"/>
      <c r="X360" s="1175"/>
      <c r="Y360" s="1175"/>
      <c r="Z360" s="1175"/>
      <c r="AA360" s="1175"/>
      <c r="AB360" s="1396"/>
      <c r="AS360" s="1396"/>
    </row>
    <row r="361" spans="1:61" hidden="1">
      <c r="A361" s="212" t="s">
        <v>493</v>
      </c>
      <c r="C361" s="1164" t="str">
        <f t="shared" si="149"/>
        <v>cel</v>
      </c>
      <c r="E361" s="14"/>
      <c r="F361" s="1177" t="str">
        <f t="shared" si="150"/>
        <v>#N/B</v>
      </c>
      <c r="G361" s="1177" t="str">
        <f t="shared" si="151"/>
        <v>#N/B</v>
      </c>
      <c r="H361" s="1177"/>
      <c r="I361" s="1177"/>
      <c r="J361" s="1178">
        <f t="shared" si="152"/>
        <v>0</v>
      </c>
      <c r="K361" s="1179">
        <f t="shared" si="153"/>
        <v>0</v>
      </c>
      <c r="L361" s="1179"/>
      <c r="M361" s="1177" t="str">
        <f t="shared" si="154"/>
        <v/>
      </c>
      <c r="N361" s="1180" t="str">
        <f t="shared" si="155"/>
        <v/>
      </c>
      <c r="O361" s="1175"/>
      <c r="P361" s="1175"/>
      <c r="Q361" s="1175"/>
      <c r="R361" s="1175"/>
      <c r="S361" s="1175"/>
      <c r="T361" s="1175"/>
      <c r="U361" s="1175"/>
      <c r="V361" s="1175"/>
      <c r="W361" s="1175"/>
      <c r="X361" s="1175"/>
      <c r="Y361" s="1175"/>
      <c r="Z361" s="1175"/>
      <c r="AA361" s="1175"/>
      <c r="AB361" s="1396"/>
      <c r="AS361" s="1396"/>
    </row>
    <row r="362" spans="1:61" hidden="1">
      <c r="A362" s="212" t="s">
        <v>493</v>
      </c>
      <c r="C362" s="1164"/>
      <c r="E362" s="14"/>
      <c r="F362" s="1175"/>
      <c r="G362" s="1175"/>
      <c r="H362" s="1175"/>
      <c r="I362" s="1175"/>
      <c r="J362" s="1175"/>
      <c r="K362" s="1175"/>
      <c r="L362" s="1175"/>
      <c r="M362" s="1181"/>
      <c r="N362" s="1182"/>
      <c r="O362" s="1175"/>
      <c r="P362" s="1175"/>
      <c r="Q362" s="1175"/>
      <c r="R362" s="1175"/>
      <c r="S362" s="1175"/>
      <c r="T362" s="1175"/>
      <c r="U362" s="1175"/>
      <c r="V362" s="1175"/>
      <c r="W362" s="1175"/>
      <c r="X362" s="1175"/>
      <c r="Y362" s="1175"/>
      <c r="Z362" s="1175"/>
      <c r="AA362" s="1175"/>
      <c r="AB362" s="1396"/>
      <c r="AS362" s="1396"/>
    </row>
    <row r="363" spans="1:61" hidden="1">
      <c r="A363" s="212" t="s">
        <v>493</v>
      </c>
      <c r="C363" s="1164" t="s">
        <v>1597</v>
      </c>
      <c r="E363" s="14"/>
      <c r="F363" s="1183"/>
      <c r="G363" s="1179"/>
      <c r="H363" s="1179"/>
      <c r="I363" s="1179"/>
      <c r="J363" s="1183">
        <f>SUM(J350:J361)</f>
        <v>4.3349538492853554</v>
      </c>
      <c r="K363" s="1179">
        <f>IF($BA$273=1,J363/J$363,$M$58/$M$58)</f>
        <v>1</v>
      </c>
      <c r="L363" s="1179"/>
      <c r="M363" s="1177">
        <f>$J$272*$M$58</f>
        <v>0</v>
      </c>
      <c r="N363" s="1180">
        <f>SUMPRODUCT(N350:N361,M44:M55)/$M$58</f>
        <v>0</v>
      </c>
      <c r="O363" s="1175"/>
      <c r="P363" s="1175"/>
      <c r="Q363" s="1175"/>
      <c r="R363" s="1175"/>
      <c r="S363" s="1175"/>
      <c r="T363" s="1175"/>
      <c r="U363" s="1175"/>
      <c r="V363" s="1175"/>
      <c r="W363" s="1175"/>
      <c r="X363" s="1175"/>
      <c r="Y363" s="1175"/>
      <c r="Z363" s="1175"/>
      <c r="AA363" s="1175"/>
      <c r="AB363" s="1396"/>
      <c r="AS363" s="1396"/>
    </row>
    <row r="364" spans="1:61" hidden="1">
      <c r="A364" s="212" t="s">
        <v>493</v>
      </c>
      <c r="E364" s="14"/>
      <c r="F364" s="13"/>
      <c r="G364" s="13"/>
      <c r="H364" s="13"/>
      <c r="I364" s="13"/>
      <c r="J364" s="13"/>
      <c r="K364" s="13"/>
      <c r="L364" s="13"/>
      <c r="M364" s="13"/>
      <c r="N364" s="13"/>
      <c r="O364" s="13"/>
      <c r="P364" s="1175"/>
      <c r="Q364" s="1175"/>
      <c r="R364" s="1175"/>
      <c r="S364" s="1175"/>
      <c r="T364" s="1175"/>
      <c r="U364" s="1175"/>
      <c r="V364" s="1175"/>
      <c r="W364" s="1175"/>
      <c r="X364" s="1175"/>
      <c r="Y364" s="1175"/>
      <c r="Z364" s="1175"/>
      <c r="AA364" s="1175"/>
      <c r="AB364" s="1396"/>
      <c r="AS364" s="1396"/>
    </row>
    <row r="365" spans="1:61" hidden="1">
      <c r="A365" s="212" t="s">
        <v>493</v>
      </c>
      <c r="E365" s="14"/>
      <c r="F365" s="13"/>
      <c r="G365" s="13"/>
      <c r="H365" s="13"/>
      <c r="I365" s="13"/>
      <c r="J365" s="13"/>
      <c r="K365" s="13"/>
      <c r="L365" s="13"/>
      <c r="M365" s="13"/>
      <c r="N365" s="13"/>
      <c r="O365" s="13"/>
      <c r="P365" s="1175"/>
      <c r="Q365" s="1175"/>
      <c r="R365" s="1175"/>
      <c r="S365" s="1175"/>
      <c r="T365" s="1175"/>
      <c r="U365" s="1175"/>
      <c r="V365" s="1175"/>
      <c r="W365" s="1175"/>
      <c r="X365" s="1175"/>
      <c r="Y365" s="1175"/>
      <c r="Z365" s="1175"/>
      <c r="AA365" s="1175"/>
      <c r="AB365" s="1396"/>
      <c r="AS365" s="1396"/>
    </row>
    <row r="366" spans="1:61" s="1324" customFormat="1" ht="25.5" hidden="1" customHeight="1">
      <c r="A366" s="212" t="s">
        <v>493</v>
      </c>
      <c r="B366" s="1315"/>
      <c r="C366" s="1316"/>
      <c r="D366" s="1315"/>
      <c r="E366" s="1317"/>
      <c r="F366" s="1318" t="s">
        <v>1641</v>
      </c>
      <c r="G366" s="1319"/>
      <c r="H366" s="1320"/>
      <c r="I366" s="1321"/>
      <c r="J366" s="1319"/>
      <c r="K366" s="1322"/>
      <c r="L366" s="1323"/>
      <c r="M366" s="1318"/>
      <c r="N366" s="1318"/>
      <c r="O366" s="1323"/>
      <c r="P366" s="1323"/>
      <c r="Q366" s="1318"/>
      <c r="R366" s="1318"/>
      <c r="S366" s="1318"/>
      <c r="T366" s="1318"/>
      <c r="U366" s="1318"/>
      <c r="V366" s="1318"/>
      <c r="W366" s="1318"/>
      <c r="X366" s="1317"/>
      <c r="Y366" s="1317"/>
      <c r="Z366" s="1317"/>
      <c r="AA366" s="1317"/>
      <c r="AB366" s="1317"/>
      <c r="AC366" s="1317"/>
      <c r="AD366" s="1323"/>
      <c r="AE366" s="1317"/>
      <c r="AF366" s="1317"/>
      <c r="AG366" s="1317"/>
      <c r="AH366" s="1317"/>
      <c r="AI366" s="1317"/>
      <c r="AJ366" s="1317"/>
      <c r="AK366" s="1317"/>
      <c r="AL366" s="1317"/>
      <c r="AM366" s="1317"/>
      <c r="AN366" s="1317"/>
      <c r="AO366" s="1317"/>
      <c r="AP366" s="1317"/>
      <c r="AQ366" s="1317"/>
      <c r="AR366" s="1317"/>
      <c r="AS366" s="1317"/>
      <c r="AT366" s="1317"/>
      <c r="AU366" s="1317"/>
      <c r="AV366" s="1317"/>
      <c r="AW366" s="1317"/>
      <c r="AX366" s="1317"/>
      <c r="AY366" s="1317"/>
      <c r="AZ366" s="1317"/>
      <c r="BA366" s="1317"/>
      <c r="BB366" s="1317"/>
      <c r="BC366" s="1317"/>
      <c r="BD366" s="1317"/>
      <c r="BE366" s="1317"/>
      <c r="BF366" s="1317"/>
      <c r="BG366" s="1317"/>
      <c r="BH366" s="1317"/>
      <c r="BI366" s="1317"/>
    </row>
    <row r="367" spans="1:61" s="995" customFormat="1" hidden="1">
      <c r="A367" s="212" t="s">
        <v>493</v>
      </c>
      <c r="B367" s="943"/>
      <c r="C367" s="1092"/>
      <c r="D367" s="943"/>
      <c r="E367" s="14"/>
      <c r="F367" s="1201"/>
      <c r="G367" s="1202"/>
      <c r="H367" s="1202"/>
      <c r="I367" s="1202"/>
      <c r="J367" s="1202"/>
      <c r="K367" s="1202"/>
      <c r="L367" s="1202"/>
      <c r="M367" s="1202"/>
      <c r="N367" s="1202"/>
      <c r="O367" s="1202"/>
      <c r="P367" s="1202"/>
      <c r="Q367" s="1202"/>
      <c r="R367" s="1202"/>
      <c r="S367" s="1202"/>
      <c r="T367" s="1202"/>
      <c r="U367" s="1202"/>
      <c r="V367" s="1202"/>
      <c r="W367" s="1202"/>
      <c r="X367" s="14"/>
      <c r="Y367" s="14"/>
      <c r="Z367" s="14"/>
      <c r="AA367" s="14"/>
      <c r="AB367" s="16"/>
      <c r="AD367" s="1428"/>
      <c r="AE367" s="1406"/>
      <c r="AF367" s="1406"/>
      <c r="AG367" s="1406"/>
      <c r="AH367" s="1406"/>
      <c r="AI367" s="1406"/>
      <c r="AJ367" s="1406"/>
      <c r="AK367" s="1406"/>
      <c r="AL367" s="1407"/>
      <c r="AM367" s="1407"/>
      <c r="AS367" s="16"/>
    </row>
    <row r="368" spans="1:61" s="1167" customFormat="1" ht="21" hidden="1">
      <c r="A368" s="212" t="s">
        <v>493</v>
      </c>
      <c r="B368" s="1168"/>
      <c r="C368" s="1173"/>
      <c r="D368" s="1168"/>
      <c r="E368" s="1169"/>
      <c r="F368" s="1170" t="str">
        <f>"DPG bij bronmethode "&amp;EP_bronmethode</f>
        <v>DPG bij bronmethode GPR 4.4 | NEN 7120</v>
      </c>
      <c r="G368" s="1203"/>
      <c r="H368" s="1203"/>
      <c r="I368" s="1203"/>
      <c r="J368" s="1203"/>
      <c r="K368" s="1203"/>
      <c r="L368" s="1203"/>
      <c r="M368" s="1203"/>
      <c r="N368" s="1203"/>
      <c r="O368" s="1203"/>
      <c r="P368" s="1203"/>
      <c r="Q368" s="1203"/>
      <c r="R368" s="1203"/>
      <c r="S368" s="1203" t="s">
        <v>518</v>
      </c>
      <c r="T368" s="1203" t="s">
        <v>518</v>
      </c>
      <c r="U368" s="1203"/>
      <c r="V368" s="1204"/>
      <c r="W368" s="1204"/>
      <c r="X368" s="1169"/>
      <c r="Y368" s="1169"/>
      <c r="Z368" s="1169"/>
      <c r="AA368" s="1169"/>
      <c r="AB368" s="1400"/>
      <c r="AD368" s="1440"/>
      <c r="AE368" s="1426"/>
      <c r="AF368" s="1426"/>
      <c r="AG368" s="1426"/>
      <c r="AH368" s="1426"/>
      <c r="AI368" s="1426"/>
      <c r="AJ368" s="1426"/>
      <c r="AK368" s="1426"/>
      <c r="AL368" s="1427"/>
      <c r="AM368" s="1427"/>
      <c r="AS368" s="1400"/>
    </row>
    <row r="369" spans="1:45" s="211" customFormat="1" ht="80" hidden="1">
      <c r="A369" s="212" t="s">
        <v>493</v>
      </c>
      <c r="B369" s="1163"/>
      <c r="C369" s="1164" t="s">
        <v>1638</v>
      </c>
      <c r="D369" s="1163"/>
      <c r="E369" s="14"/>
      <c r="F369" s="1205" t="s">
        <v>523</v>
      </c>
      <c r="G369" s="1205" t="s">
        <v>524</v>
      </c>
      <c r="H369" s="1205" t="s">
        <v>525</v>
      </c>
      <c r="I369" s="1205"/>
      <c r="J369" s="1205" t="s">
        <v>534</v>
      </c>
      <c r="K369" s="1205" t="s">
        <v>535</v>
      </c>
      <c r="L369" s="1205"/>
      <c r="M369" s="1205" t="s">
        <v>536</v>
      </c>
      <c r="N369" s="1205" t="s">
        <v>537</v>
      </c>
      <c r="O369" s="1205"/>
      <c r="P369" s="1205" t="s">
        <v>431</v>
      </c>
      <c r="Q369" s="1205" t="s">
        <v>538</v>
      </c>
      <c r="R369" s="1205"/>
      <c r="S369" s="1205" t="s">
        <v>539</v>
      </c>
      <c r="T369" s="1205" t="s">
        <v>484</v>
      </c>
      <c r="U369" s="1205"/>
      <c r="V369" s="1202"/>
      <c r="W369" s="1202"/>
      <c r="X369" s="14"/>
      <c r="Y369" s="14"/>
      <c r="Z369" s="14"/>
      <c r="AA369" s="14"/>
      <c r="AB369" s="16"/>
      <c r="AD369" s="1438"/>
      <c r="AE369" s="1423"/>
      <c r="AF369" s="1423"/>
      <c r="AG369" s="1423"/>
      <c r="AH369" s="1423"/>
      <c r="AI369" s="1423"/>
      <c r="AJ369" s="1423"/>
      <c r="AK369" s="1423"/>
      <c r="AL369" s="1424"/>
      <c r="AM369" s="1424"/>
      <c r="AS369" s="16"/>
    </row>
    <row r="370" spans="1:45" hidden="1">
      <c r="A370" s="212" t="s">
        <v>493</v>
      </c>
      <c r="C370" s="1164" t="s">
        <v>204</v>
      </c>
      <c r="E370" s="14"/>
      <c r="F370" s="1332" t="s">
        <v>457</v>
      </c>
      <c r="G370" s="1332" t="s">
        <v>457</v>
      </c>
      <c r="H370" s="1332"/>
      <c r="I370" s="1332"/>
      <c r="J370" s="1332" t="s">
        <v>440</v>
      </c>
      <c r="K370" s="1332" t="s">
        <v>440</v>
      </c>
      <c r="L370" s="1332"/>
      <c r="M370" s="1332"/>
      <c r="N370" s="1332" t="s">
        <v>440</v>
      </c>
      <c r="O370" s="1332"/>
      <c r="P370" s="1332" t="s">
        <v>440</v>
      </c>
      <c r="Q370" s="1332" t="s">
        <v>440</v>
      </c>
      <c r="R370" s="1332"/>
      <c r="S370" s="1332" t="s">
        <v>440</v>
      </c>
      <c r="T370" s="1332"/>
      <c r="U370" s="1332"/>
      <c r="V370" s="1202"/>
      <c r="W370" s="1202"/>
      <c r="X370" s="14"/>
      <c r="Y370" s="14"/>
      <c r="Z370" s="14"/>
      <c r="AA370" s="14"/>
      <c r="AB370" s="16"/>
      <c r="AS370" s="16"/>
    </row>
    <row r="371" spans="1:45" hidden="1">
      <c r="A371" s="212" t="s">
        <v>493</v>
      </c>
      <c r="C371" s="1164" t="s">
        <v>1639</v>
      </c>
      <c r="E371" s="14"/>
      <c r="F371" s="907" t="s">
        <v>1418</v>
      </c>
      <c r="G371" s="1207"/>
      <c r="H371" s="1208"/>
      <c r="I371" s="1208"/>
      <c r="J371" s="1208"/>
      <c r="K371" s="1208"/>
      <c r="L371" s="1208"/>
      <c r="M371" s="1208"/>
      <c r="N371" s="907" t="s">
        <v>1420</v>
      </c>
      <c r="O371" s="907"/>
      <c r="P371" s="907"/>
      <c r="Q371" s="1209"/>
      <c r="R371" s="1209"/>
      <c r="S371" s="1208"/>
      <c r="T371" s="1209" t="s">
        <v>1412</v>
      </c>
      <c r="U371" s="1209"/>
      <c r="V371" s="1202"/>
      <c r="W371" s="1202"/>
      <c r="X371" s="14"/>
      <c r="Y371" s="14"/>
      <c r="Z371" s="14"/>
      <c r="AA371" s="14"/>
      <c r="AB371" s="16"/>
      <c r="AS371" s="16"/>
    </row>
    <row r="372" spans="1:45" hidden="1">
      <c r="A372" s="212" t="s">
        <v>493</v>
      </c>
      <c r="C372" s="1164" t="str">
        <f t="shared" ref="C372:C383" si="156">F44</f>
        <v>woning</v>
      </c>
      <c r="E372" s="14"/>
      <c r="F372" s="1210">
        <f t="shared" ref="F372:F383" si="157">INDEX(Energie_DPG_Score_6,MATCH($F44,Gebruiksfuncties,0),MATCH(EP_bronmethode,GPR_Versie_En_EP_Methode,0))</f>
        <v>2.2309003972359949</v>
      </c>
      <c r="G372" s="1211">
        <f t="shared" ref="G372:G383" si="158">INDEX(Energie_DPG_Score_10,MATCH($F44,Gebruiksfuncties,0),MATCH(EP_bronmethode,GPR_Versie_En_EP_Methode,0))</f>
        <v>-0.34896741831981437</v>
      </c>
      <c r="H372" s="1186">
        <f t="shared" ref="H372:H383" si="159">(LN(6/10)/(F372-G372))</f>
        <v>-0.19800457243811848</v>
      </c>
      <c r="I372" s="1162"/>
      <c r="J372" s="1162"/>
      <c r="K372" s="1162"/>
      <c r="L372" s="1162"/>
      <c r="M372" s="1185">
        <f t="shared" ref="M372:M383" si="160">M$385</f>
        <v>9.9536653965742641</v>
      </c>
      <c r="N372" s="1212">
        <f t="shared" ref="N372:N383" si="161">IFERROR(LN(M372/10)/H372+G372,0)</f>
        <v>-0.32551226252752707</v>
      </c>
      <c r="O372" s="1213"/>
      <c r="P372" s="1213" t="str">
        <f t="shared" ref="P372:P383" si="162">$M350</f>
        <v/>
      </c>
      <c r="Q372" s="1186" t="str">
        <f t="shared" ref="Q372:Q383" si="163">IFERROR(N372-P372,"")</f>
        <v/>
      </c>
      <c r="R372" s="1186"/>
      <c r="S372" s="1191" t="str">
        <f t="shared" ref="S372:S383" si="164">IFERROR(Q372+M350,"")</f>
        <v/>
      </c>
      <c r="T372" s="1191" t="str">
        <f t="shared" ref="T372:T383" si="165">IFERROR(10*EXP(H372*(S372-G372)),"")</f>
        <v/>
      </c>
      <c r="U372" s="1191"/>
      <c r="V372" s="1202"/>
      <c r="W372" s="1202"/>
      <c r="X372" s="14"/>
      <c r="Y372" s="14"/>
      <c r="Z372" s="14"/>
      <c r="AA372" s="14"/>
      <c r="AB372" s="16"/>
      <c r="AS372" s="16"/>
    </row>
    <row r="373" spans="1:45" hidden="1">
      <c r="A373" s="212" t="s">
        <v>493</v>
      </c>
      <c r="C373" s="1164" t="str">
        <f t="shared" si="156"/>
        <v>woongebouw</v>
      </c>
      <c r="E373" s="14"/>
      <c r="F373" s="1214">
        <f t="shared" si="157"/>
        <v>2.2309003972359949</v>
      </c>
      <c r="G373" s="1215">
        <f t="shared" si="158"/>
        <v>-0.34896741831981437</v>
      </c>
      <c r="H373" s="1186">
        <f t="shared" si="159"/>
        <v>-0.19800457243811848</v>
      </c>
      <c r="I373" s="1162"/>
      <c r="J373" s="1162"/>
      <c r="K373" s="1162"/>
      <c r="L373" s="1162"/>
      <c r="M373" s="1185">
        <f t="shared" si="160"/>
        <v>9.9536653965742641</v>
      </c>
      <c r="N373" s="1216">
        <f t="shared" si="161"/>
        <v>-0.32551226252752707</v>
      </c>
      <c r="O373" s="1213"/>
      <c r="P373" s="1213" t="str">
        <f t="shared" si="162"/>
        <v/>
      </c>
      <c r="Q373" s="1186" t="str">
        <f t="shared" si="163"/>
        <v/>
      </c>
      <c r="R373" s="1186"/>
      <c r="S373" s="1191" t="str">
        <f t="shared" si="164"/>
        <v/>
      </c>
      <c r="T373" s="1191" t="str">
        <f t="shared" si="165"/>
        <v/>
      </c>
      <c r="U373" s="1191"/>
      <c r="V373" s="1202"/>
      <c r="W373" s="1202"/>
      <c r="X373" s="14"/>
      <c r="Y373" s="14"/>
      <c r="Z373" s="14"/>
      <c r="AA373" s="14"/>
      <c r="AB373" s="16"/>
      <c r="AS373" s="16"/>
    </row>
    <row r="374" spans="1:45" hidden="1">
      <c r="A374" s="212" t="s">
        <v>493</v>
      </c>
      <c r="C374" s="1164" t="str">
        <f t="shared" si="156"/>
        <v>kantoor</v>
      </c>
      <c r="E374" s="14"/>
      <c r="F374" s="1214">
        <f t="shared" si="157"/>
        <v>3.4503052378364627</v>
      </c>
      <c r="G374" s="1215">
        <f t="shared" si="158"/>
        <v>-0.5305607399933423</v>
      </c>
      <c r="H374" s="1186">
        <f t="shared" si="159"/>
        <v>-0.12832022645597091</v>
      </c>
      <c r="I374" s="1162"/>
      <c r="J374" s="1162"/>
      <c r="K374" s="1162"/>
      <c r="L374" s="1162"/>
      <c r="M374" s="1185">
        <f t="shared" si="160"/>
        <v>9.9536653965742641</v>
      </c>
      <c r="N374" s="1216">
        <f t="shared" si="161"/>
        <v>-0.49436825325614947</v>
      </c>
      <c r="O374" s="1213"/>
      <c r="P374" s="1213">
        <f t="shared" si="162"/>
        <v>0</v>
      </c>
      <c r="Q374" s="1186">
        <f t="shared" si="163"/>
        <v>-0.49436825325614947</v>
      </c>
      <c r="R374" s="1186"/>
      <c r="S374" s="1191">
        <f t="shared" si="164"/>
        <v>-0.49436825325614947</v>
      </c>
      <c r="T374" s="1191">
        <f t="shared" si="165"/>
        <v>9.9536653965742641</v>
      </c>
      <c r="U374" s="1191"/>
      <c r="V374" s="1202"/>
      <c r="W374" s="1202"/>
      <c r="X374" s="14"/>
      <c r="Y374" s="14"/>
      <c r="Z374" s="14"/>
      <c r="AA374" s="14"/>
      <c r="AB374" s="16"/>
      <c r="AS374" s="16"/>
    </row>
    <row r="375" spans="1:45" hidden="1">
      <c r="A375" s="212" t="s">
        <v>493</v>
      </c>
      <c r="C375" s="1164" t="str">
        <f t="shared" si="156"/>
        <v>bijeenkomst overig</v>
      </c>
      <c r="E375" s="14"/>
      <c r="F375" s="1214">
        <f t="shared" si="157"/>
        <v>4.5440564577826432</v>
      </c>
      <c r="G375" s="1215">
        <f t="shared" si="158"/>
        <v>0.18902985498063157</v>
      </c>
      <c r="H375" s="1186">
        <f t="shared" si="159"/>
        <v>-0.11729563797321628</v>
      </c>
      <c r="I375" s="1162"/>
      <c r="J375" s="1162"/>
      <c r="K375" s="1162"/>
      <c r="L375" s="1162"/>
      <c r="M375" s="1185">
        <f t="shared" si="160"/>
        <v>9.9536653965742641</v>
      </c>
      <c r="N375" s="1216">
        <f t="shared" si="161"/>
        <v>0.22862406474299107</v>
      </c>
      <c r="O375" s="1213"/>
      <c r="P375" s="1213">
        <f t="shared" si="162"/>
        <v>0</v>
      </c>
      <c r="Q375" s="1186">
        <f t="shared" si="163"/>
        <v>0.22862406474299107</v>
      </c>
      <c r="R375" s="1186"/>
      <c r="S375" s="1191">
        <f t="shared" si="164"/>
        <v>0.22862406474299107</v>
      </c>
      <c r="T375" s="1191">
        <f t="shared" si="165"/>
        <v>9.9536653965742641</v>
      </c>
      <c r="U375" s="1191"/>
      <c r="V375" s="1202"/>
      <c r="W375" s="1202"/>
      <c r="X375" s="14"/>
      <c r="Y375" s="14"/>
      <c r="Z375" s="14"/>
      <c r="AA375" s="14"/>
      <c r="AB375" s="16"/>
      <c r="AS375" s="16"/>
    </row>
    <row r="376" spans="1:45" hidden="1">
      <c r="A376" s="212" t="s">
        <v>493</v>
      </c>
      <c r="C376" s="1164" t="str">
        <f t="shared" si="156"/>
        <v>bijeenkomst kinderdagverblijf</v>
      </c>
      <c r="E376" s="14"/>
      <c r="F376" s="1214">
        <f t="shared" si="157"/>
        <v>5.0104998522369613</v>
      </c>
      <c r="G376" s="1215">
        <f t="shared" si="158"/>
        <v>0.22221092604712483</v>
      </c>
      <c r="H376" s="1186">
        <f t="shared" si="159"/>
        <v>-0.10668228915176756</v>
      </c>
      <c r="I376" s="1162"/>
      <c r="J376" s="1162"/>
      <c r="K376" s="1162"/>
      <c r="L376" s="1162"/>
      <c r="M376" s="1185">
        <f t="shared" si="160"/>
        <v>9.9536653965742641</v>
      </c>
      <c r="N376" s="1216">
        <f t="shared" si="161"/>
        <v>0.26574418851315956</v>
      </c>
      <c r="O376" s="1213"/>
      <c r="P376" s="1213">
        <f t="shared" si="162"/>
        <v>0</v>
      </c>
      <c r="Q376" s="1186">
        <f t="shared" si="163"/>
        <v>0.26574418851315956</v>
      </c>
      <c r="R376" s="1186"/>
      <c r="S376" s="1191">
        <f t="shared" si="164"/>
        <v>0.26574418851315956</v>
      </c>
      <c r="T376" s="1191">
        <f t="shared" si="165"/>
        <v>9.9536653965742641</v>
      </c>
      <c r="U376" s="1191"/>
      <c r="V376" s="1202"/>
      <c r="W376" s="1202"/>
      <c r="X376" s="14"/>
      <c r="Y376" s="14"/>
      <c r="Z376" s="14"/>
      <c r="AA376" s="14"/>
      <c r="AB376" s="16"/>
      <c r="AS376" s="16"/>
    </row>
    <row r="377" spans="1:45" hidden="1">
      <c r="A377" s="212" t="s">
        <v>493</v>
      </c>
      <c r="C377" s="1164" t="str">
        <f t="shared" si="156"/>
        <v>onderwijs</v>
      </c>
      <c r="E377" s="14"/>
      <c r="F377" s="1214">
        <f t="shared" si="157"/>
        <v>4.5394777452758497</v>
      </c>
      <c r="G377" s="1215">
        <f t="shared" si="158"/>
        <v>1.0009891564366158E-2</v>
      </c>
      <c r="H377" s="1186">
        <f t="shared" si="159"/>
        <v>-0.11277828660323</v>
      </c>
      <c r="I377" s="1162"/>
      <c r="J377" s="1162"/>
      <c r="K377" s="1162"/>
      <c r="L377" s="1162"/>
      <c r="M377" s="1185">
        <f t="shared" si="160"/>
        <v>9.9536653965742641</v>
      </c>
      <c r="N377" s="1216">
        <f t="shared" si="161"/>
        <v>5.1190053402259302E-2</v>
      </c>
      <c r="O377" s="1213"/>
      <c r="P377" s="1213" t="str">
        <f t="shared" si="162"/>
        <v/>
      </c>
      <c r="Q377" s="1186" t="str">
        <f t="shared" si="163"/>
        <v/>
      </c>
      <c r="R377" s="1186"/>
      <c r="S377" s="1191" t="str">
        <f t="shared" si="164"/>
        <v/>
      </c>
      <c r="T377" s="1191" t="str">
        <f t="shared" si="165"/>
        <v/>
      </c>
      <c r="U377" s="1191"/>
      <c r="V377" s="1202"/>
      <c r="W377" s="1202"/>
      <c r="X377" s="14"/>
      <c r="Y377" s="14"/>
      <c r="Z377" s="14"/>
      <c r="AA377" s="14"/>
      <c r="AB377" s="16"/>
      <c r="AS377" s="16"/>
    </row>
    <row r="378" spans="1:45" hidden="1">
      <c r="A378" s="212" t="s">
        <v>493</v>
      </c>
      <c r="C378" s="1164" t="str">
        <f t="shared" si="156"/>
        <v>gezondheid overig</v>
      </c>
      <c r="E378" s="14"/>
      <c r="F378" s="1214">
        <f t="shared" si="157"/>
        <v>0</v>
      </c>
      <c r="G378" s="1215">
        <f t="shared" si="158"/>
        <v>-0.8488041379310346</v>
      </c>
      <c r="H378" s="1186">
        <f t="shared" si="159"/>
        <v>-0.60181801777160437</v>
      </c>
      <c r="I378" s="1162"/>
      <c r="J378" s="1162"/>
      <c r="K378" s="1162"/>
      <c r="L378" s="1162"/>
      <c r="M378" s="1185">
        <f t="shared" si="160"/>
        <v>9.9536653965742641</v>
      </c>
      <c r="N378" s="1216">
        <f t="shared" si="161"/>
        <v>-0.84108714050493916</v>
      </c>
      <c r="O378" s="1213"/>
      <c r="P378" s="1213" t="str">
        <f t="shared" si="162"/>
        <v/>
      </c>
      <c r="Q378" s="1186" t="str">
        <f t="shared" si="163"/>
        <v/>
      </c>
      <c r="R378" s="1186"/>
      <c r="S378" s="1191" t="str">
        <f t="shared" si="164"/>
        <v/>
      </c>
      <c r="T378" s="1191" t="str">
        <f t="shared" si="165"/>
        <v/>
      </c>
      <c r="U378" s="1191"/>
      <c r="V378" s="1202"/>
      <c r="W378" s="1202"/>
      <c r="X378" s="14"/>
      <c r="Y378" s="14"/>
      <c r="Z378" s="14"/>
      <c r="AA378" s="14"/>
      <c r="AB378" s="16"/>
      <c r="AS378" s="16"/>
    </row>
    <row r="379" spans="1:45" hidden="1">
      <c r="A379" s="212" t="s">
        <v>493</v>
      </c>
      <c r="C379" s="1164" t="str">
        <f t="shared" si="156"/>
        <v>gezondheid bedgebied</v>
      </c>
      <c r="E379" s="14"/>
      <c r="F379" s="1214">
        <f t="shared" si="157"/>
        <v>0</v>
      </c>
      <c r="G379" s="1215">
        <f t="shared" si="158"/>
        <v>-1.0610051724137932</v>
      </c>
      <c r="H379" s="1186">
        <f t="shared" si="159"/>
        <v>-0.48145441421728352</v>
      </c>
      <c r="I379" s="1162"/>
      <c r="J379" s="1162"/>
      <c r="K379" s="1162"/>
      <c r="L379" s="1162"/>
      <c r="M379" s="1185">
        <f t="shared" si="160"/>
        <v>9.9536653965742641</v>
      </c>
      <c r="N379" s="1216">
        <f t="shared" si="161"/>
        <v>-1.0513589256311739</v>
      </c>
      <c r="O379" s="1213"/>
      <c r="P379" s="1213" t="str">
        <f t="shared" si="162"/>
        <v/>
      </c>
      <c r="Q379" s="1186" t="str">
        <f t="shared" si="163"/>
        <v/>
      </c>
      <c r="R379" s="1186"/>
      <c r="S379" s="1191" t="str">
        <f t="shared" si="164"/>
        <v/>
      </c>
      <c r="T379" s="1191" t="str">
        <f t="shared" si="165"/>
        <v/>
      </c>
      <c r="U379" s="1191"/>
      <c r="V379" s="1202"/>
      <c r="W379" s="1202"/>
      <c r="X379" s="14"/>
      <c r="Y379" s="14"/>
      <c r="Z379" s="14"/>
      <c r="AA379" s="14"/>
      <c r="AB379" s="16"/>
      <c r="AS379" s="16"/>
    </row>
    <row r="380" spans="1:45" hidden="1">
      <c r="A380" s="212" t="s">
        <v>493</v>
      </c>
      <c r="C380" s="1164" t="str">
        <f t="shared" si="156"/>
        <v>winkel</v>
      </c>
      <c r="E380" s="14"/>
      <c r="F380" s="1214">
        <f t="shared" si="157"/>
        <v>7.8409683597049877</v>
      </c>
      <c r="G380" s="1215">
        <f t="shared" si="158"/>
        <v>-0.31109441289929285</v>
      </c>
      <c r="H380" s="1186">
        <f t="shared" si="159"/>
        <v>-6.2662130802361451E-2</v>
      </c>
      <c r="I380" s="1162"/>
      <c r="J380" s="1162"/>
      <c r="K380" s="1162"/>
      <c r="L380" s="1162"/>
      <c r="M380" s="1185">
        <f t="shared" si="160"/>
        <v>9.9536653965742641</v>
      </c>
      <c r="N380" s="1216">
        <f t="shared" si="161"/>
        <v>-0.23697902558874376</v>
      </c>
      <c r="O380" s="1213"/>
      <c r="P380" s="1213" t="str">
        <f t="shared" si="162"/>
        <v/>
      </c>
      <c r="Q380" s="1186" t="str">
        <f t="shared" si="163"/>
        <v/>
      </c>
      <c r="R380" s="1186"/>
      <c r="S380" s="1191" t="str">
        <f t="shared" si="164"/>
        <v/>
      </c>
      <c r="T380" s="1191" t="str">
        <f t="shared" si="165"/>
        <v/>
      </c>
      <c r="U380" s="1191"/>
      <c r="V380" s="1202"/>
      <c r="W380" s="1202"/>
      <c r="X380" s="14"/>
      <c r="Y380" s="14"/>
      <c r="Z380" s="14"/>
      <c r="AA380" s="14"/>
      <c r="AB380" s="16"/>
      <c r="AS380" s="16"/>
    </row>
    <row r="381" spans="1:45" hidden="1">
      <c r="A381" s="212" t="s">
        <v>493</v>
      </c>
      <c r="C381" s="1164" t="str">
        <f t="shared" si="156"/>
        <v>sport</v>
      </c>
      <c r="E381" s="14"/>
      <c r="F381" s="1214">
        <f t="shared" si="157"/>
        <v>3.7013346841313495</v>
      </c>
      <c r="G381" s="1215">
        <f t="shared" si="158"/>
        <v>0.21295480603468026</v>
      </c>
      <c r="H381" s="1186">
        <f t="shared" si="159"/>
        <v>-0.14643635200782879</v>
      </c>
      <c r="I381" s="1162"/>
      <c r="J381" s="1162"/>
      <c r="K381" s="1162"/>
      <c r="L381" s="1162"/>
      <c r="M381" s="1185">
        <f t="shared" si="160"/>
        <v>9.9536653965742641</v>
      </c>
      <c r="N381" s="1216">
        <f t="shared" si="161"/>
        <v>0.24466980050458495</v>
      </c>
      <c r="O381" s="1213"/>
      <c r="P381" s="1213" t="str">
        <f t="shared" si="162"/>
        <v/>
      </c>
      <c r="Q381" s="1186" t="str">
        <f t="shared" si="163"/>
        <v/>
      </c>
      <c r="R381" s="1186"/>
      <c r="S381" s="1191" t="str">
        <f t="shared" si="164"/>
        <v/>
      </c>
      <c r="T381" s="1191" t="str">
        <f t="shared" si="165"/>
        <v/>
      </c>
      <c r="U381" s="1191"/>
      <c r="V381" s="1202"/>
      <c r="W381" s="1202"/>
      <c r="X381" s="14"/>
      <c r="Y381" s="14"/>
      <c r="Z381" s="14"/>
      <c r="AA381" s="14"/>
      <c r="AB381" s="16"/>
      <c r="AS381" s="16"/>
    </row>
    <row r="382" spans="1:45" hidden="1">
      <c r="A382" s="212" t="s">
        <v>493</v>
      </c>
      <c r="C382" s="1164" t="str">
        <f t="shared" si="156"/>
        <v>logies in logiesgebouw</v>
      </c>
      <c r="E382" s="14"/>
      <c r="F382" s="1214">
        <f t="shared" si="157"/>
        <v>3.6457012291713817</v>
      </c>
      <c r="G382" s="1215">
        <f t="shared" si="158"/>
        <v>-5.0641157782819524E-2</v>
      </c>
      <c r="H382" s="1186">
        <f t="shared" si="159"/>
        <v>-0.13819759380756738</v>
      </c>
      <c r="I382" s="1162"/>
      <c r="J382" s="1162"/>
      <c r="K382" s="1162"/>
      <c r="L382" s="1162"/>
      <c r="M382" s="1185">
        <f t="shared" si="160"/>
        <v>9.9536653965742641</v>
      </c>
      <c r="N382" s="1216">
        <f t="shared" si="161"/>
        <v>-1.7035448984530736E-2</v>
      </c>
      <c r="O382" s="1213"/>
      <c r="P382" s="1213" t="str">
        <f t="shared" si="162"/>
        <v/>
      </c>
      <c r="Q382" s="1186" t="str">
        <f t="shared" si="163"/>
        <v/>
      </c>
      <c r="R382" s="1186"/>
      <c r="S382" s="1191" t="str">
        <f t="shared" si="164"/>
        <v/>
      </c>
      <c r="T382" s="1191" t="str">
        <f t="shared" si="165"/>
        <v/>
      </c>
      <c r="U382" s="1191"/>
      <c r="V382" s="1202"/>
      <c r="W382" s="1202"/>
      <c r="X382" s="14"/>
      <c r="Y382" s="14"/>
      <c r="Z382" s="14"/>
      <c r="AA382" s="14"/>
      <c r="AB382" s="16"/>
      <c r="AS382" s="16"/>
    </row>
    <row r="383" spans="1:45" hidden="1">
      <c r="A383" s="212" t="s">
        <v>493</v>
      </c>
      <c r="C383" s="1164" t="str">
        <f t="shared" si="156"/>
        <v>cel</v>
      </c>
      <c r="E383" s="14"/>
      <c r="F383" s="1217">
        <f t="shared" si="157"/>
        <v>0</v>
      </c>
      <c r="G383" s="1218">
        <f t="shared" si="158"/>
        <v>-0.53050258620689661</v>
      </c>
      <c r="H383" s="1186">
        <f t="shared" si="159"/>
        <v>-0.96290882843456704</v>
      </c>
      <c r="I383" s="1162"/>
      <c r="J383" s="1162"/>
      <c r="K383" s="1162"/>
      <c r="L383" s="1162"/>
      <c r="M383" s="1185">
        <f t="shared" si="160"/>
        <v>9.9536653965742641</v>
      </c>
      <c r="N383" s="1219">
        <f t="shared" si="161"/>
        <v>-0.52567946281558697</v>
      </c>
      <c r="O383" s="1213"/>
      <c r="P383" s="1213" t="str">
        <f t="shared" si="162"/>
        <v/>
      </c>
      <c r="Q383" s="1186" t="str">
        <f t="shared" si="163"/>
        <v/>
      </c>
      <c r="R383" s="1186"/>
      <c r="S383" s="1191" t="str">
        <f t="shared" si="164"/>
        <v/>
      </c>
      <c r="T383" s="1191" t="str">
        <f t="shared" si="165"/>
        <v/>
      </c>
      <c r="U383" s="1191"/>
      <c r="V383" s="1202"/>
      <c r="W383" s="1202"/>
      <c r="X383" s="14"/>
      <c r="Y383" s="14"/>
      <c r="Z383" s="14"/>
      <c r="AA383" s="14"/>
      <c r="AB383" s="16"/>
      <c r="AS383" s="16"/>
    </row>
    <row r="384" spans="1:45" hidden="1">
      <c r="A384" s="212" t="s">
        <v>493</v>
      </c>
      <c r="C384" s="1164"/>
      <c r="E384" s="14"/>
      <c r="F384" s="908" t="s">
        <v>1419</v>
      </c>
      <c r="G384" s="1198"/>
      <c r="H384" s="1162"/>
      <c r="I384" s="1162"/>
      <c r="J384" s="1162"/>
      <c r="K384" s="1162"/>
      <c r="L384" s="1162"/>
      <c r="M384" s="1198"/>
      <c r="N384" s="1162"/>
      <c r="O384" s="1162"/>
      <c r="P384" s="1220"/>
      <c r="Q384" s="1198"/>
      <c r="R384" s="1198"/>
      <c r="S384" s="1198"/>
      <c r="T384" s="1198"/>
      <c r="U384" s="1198"/>
      <c r="V384" s="1202"/>
      <c r="W384" s="1202"/>
      <c r="X384" s="14"/>
      <c r="Y384" s="14"/>
      <c r="Z384" s="14"/>
      <c r="AA384" s="14"/>
      <c r="AB384" s="16"/>
      <c r="AS384" s="16"/>
    </row>
    <row r="385" spans="1:45" hidden="1">
      <c r="A385" s="212" t="s">
        <v>493</v>
      </c>
      <c r="C385" s="1164" t="e">
        <f>#REF!</f>
        <v>#REF!</v>
      </c>
      <c r="E385" s="14"/>
      <c r="F385" s="1221">
        <f>IF(SUM($M$44:$M$55)=0,0,SUMPRODUCT($M$44:$M$55,F$372:F$383)/SUM($M$44:$M$55))</f>
        <v>4.3349538492853554</v>
      </c>
      <c r="G385" s="1200">
        <f>IF(SUM($M$44:$M$55)=0,0,SUMPRODUCT($M$44:$M$55,G$372:G$383)/SUM($M$44:$M$55))</f>
        <v>-3.9773319655195288E-2</v>
      </c>
      <c r="H385" s="1222">
        <f>(LN(6/10)/(F385-G385))</f>
        <v>-0.11676742435339114</v>
      </c>
      <c r="I385" s="1222"/>
      <c r="J385" s="1200">
        <f>IF(OR($M$58="",$M$58=0),"",SUMPRODUCT($G$227:$M$227,G233:M233)/$J$275)</f>
        <v>0</v>
      </c>
      <c r="K385" s="1200">
        <f>J385+$J$272</f>
        <v>0</v>
      </c>
      <c r="L385" s="1200"/>
      <c r="M385" s="1223">
        <f>IFERROR(10*EXP(H385*(K385-G385)),"")</f>
        <v>9.9536653965742641</v>
      </c>
      <c r="N385" s="1162"/>
      <c r="O385" s="1162"/>
      <c r="P385" s="1213">
        <f>$J$272</f>
        <v>0</v>
      </c>
      <c r="Q385" s="1190">
        <f>J385*$J$275</f>
        <v>0</v>
      </c>
      <c r="R385" s="1224" t="s">
        <v>551</v>
      </c>
      <c r="S385" s="1224"/>
      <c r="T385" s="1198"/>
      <c r="U385" s="1198"/>
      <c r="V385" s="1202"/>
      <c r="W385" s="1202"/>
      <c r="X385" s="14"/>
      <c r="Y385" s="14"/>
      <c r="Z385" s="14"/>
      <c r="AA385" s="14"/>
      <c r="AB385" s="16"/>
      <c r="AS385" s="16"/>
    </row>
    <row r="386" spans="1:45" s="995" customFormat="1" hidden="1">
      <c r="A386" s="212" t="s">
        <v>493</v>
      </c>
      <c r="B386" s="943"/>
      <c r="C386" s="1092"/>
      <c r="D386" s="943"/>
      <c r="E386" s="14"/>
      <c r="F386" s="1201"/>
      <c r="G386" s="1202"/>
      <c r="H386" s="1202"/>
      <c r="I386" s="1202"/>
      <c r="J386" s="1202"/>
      <c r="K386" s="1202"/>
      <c r="L386" s="1202"/>
      <c r="M386" s="1202"/>
      <c r="N386" s="1202"/>
      <c r="O386" s="1202"/>
      <c r="P386" s="1202"/>
      <c r="Q386" s="1202"/>
      <c r="R386" s="1202"/>
      <c r="S386" s="1202"/>
      <c r="T386" s="1202"/>
      <c r="U386" s="1202"/>
      <c r="V386" s="1202"/>
      <c r="W386" s="1202"/>
      <c r="X386" s="14"/>
      <c r="Y386" s="14"/>
      <c r="Z386" s="14"/>
      <c r="AA386" s="14"/>
      <c r="AB386" s="16"/>
      <c r="AD386" s="1428"/>
      <c r="AE386" s="1406"/>
      <c r="AF386" s="1406"/>
      <c r="AG386" s="1406"/>
      <c r="AH386" s="1406"/>
      <c r="AI386" s="1406"/>
      <c r="AJ386" s="1406"/>
      <c r="AK386" s="1406"/>
      <c r="AL386" s="1407"/>
      <c r="AM386" s="1407"/>
      <c r="AS386" s="16"/>
    </row>
    <row r="387" spans="1:45" s="1167" customFormat="1" ht="21" hidden="1">
      <c r="A387" s="212" t="s">
        <v>493</v>
      </c>
      <c r="B387" s="1168"/>
      <c r="C387" s="1173"/>
      <c r="D387" s="1168"/>
      <c r="E387" s="1169"/>
      <c r="F387" s="1170" t="str">
        <f>"DPG bij doelmethode "&amp;EP_doelmethode</f>
        <v>DPG bij doelmethode GPR 4.4 | NTA 8800</v>
      </c>
      <c r="G387" s="1203"/>
      <c r="H387" s="1203"/>
      <c r="I387" s="1203"/>
      <c r="J387" s="1203"/>
      <c r="K387" s="1203"/>
      <c r="L387" s="1203"/>
      <c r="M387" s="1203"/>
      <c r="N387" s="1203"/>
      <c r="O387" s="1203"/>
      <c r="P387" s="1203"/>
      <c r="Q387" s="1203"/>
      <c r="R387" s="1203"/>
      <c r="S387" s="1203"/>
      <c r="T387" s="1203"/>
      <c r="U387" s="1203"/>
      <c r="V387" s="1204"/>
      <c r="W387" s="1204"/>
      <c r="X387" s="1175"/>
      <c r="Y387" s="1175"/>
      <c r="Z387" s="1175"/>
      <c r="AA387" s="1175"/>
      <c r="AB387" s="1396"/>
      <c r="AD387" s="1440"/>
      <c r="AE387" s="1426"/>
      <c r="AF387" s="1426"/>
      <c r="AG387" s="1426"/>
      <c r="AH387" s="1426"/>
      <c r="AI387" s="1426"/>
      <c r="AJ387" s="1426"/>
      <c r="AK387" s="1426"/>
      <c r="AL387" s="1427"/>
      <c r="AM387" s="1427"/>
      <c r="AS387" s="1396"/>
    </row>
    <row r="388" spans="1:45" s="211" customFormat="1" ht="64" hidden="1">
      <c r="A388" s="212" t="s">
        <v>493</v>
      </c>
      <c r="B388" s="1163"/>
      <c r="C388" s="1164" t="s">
        <v>1638</v>
      </c>
      <c r="D388" s="1163"/>
      <c r="E388" s="14"/>
      <c r="F388" s="1205" t="s">
        <v>484</v>
      </c>
      <c r="G388" s="1205" t="s">
        <v>523</v>
      </c>
      <c r="H388" s="1205" t="s">
        <v>524</v>
      </c>
      <c r="I388" s="1205"/>
      <c r="J388" s="1205" t="s">
        <v>525</v>
      </c>
      <c r="K388" s="1205" t="s">
        <v>537</v>
      </c>
      <c r="L388" s="1205"/>
      <c r="M388" s="1205" t="s">
        <v>431</v>
      </c>
      <c r="N388" s="1205" t="s">
        <v>544</v>
      </c>
      <c r="O388" s="1205"/>
      <c r="P388" s="1205" t="s">
        <v>545</v>
      </c>
      <c r="Q388" s="1205" t="s">
        <v>546</v>
      </c>
      <c r="R388" s="1205"/>
      <c r="S388" s="1205" t="s">
        <v>547</v>
      </c>
      <c r="T388" s="1205" t="s">
        <v>548</v>
      </c>
      <c r="U388" s="1205"/>
      <c r="V388" s="1205" t="s">
        <v>549</v>
      </c>
      <c r="W388" s="1205" t="s">
        <v>550</v>
      </c>
      <c r="X388" s="1175"/>
      <c r="Y388" s="1175"/>
      <c r="Z388" s="1175"/>
      <c r="AA388" s="1175"/>
      <c r="AB388" s="1396"/>
      <c r="AD388" s="1438"/>
      <c r="AE388" s="1423"/>
      <c r="AF388" s="1423"/>
      <c r="AG388" s="1423"/>
      <c r="AH388" s="1423"/>
      <c r="AI388" s="1423"/>
      <c r="AJ388" s="1423"/>
      <c r="AK388" s="1423"/>
      <c r="AL388" s="1424"/>
      <c r="AM388" s="1424"/>
      <c r="AS388" s="1396"/>
    </row>
    <row r="389" spans="1:45" hidden="1">
      <c r="A389" s="212" t="s">
        <v>493</v>
      </c>
      <c r="C389" s="1164" t="s">
        <v>204</v>
      </c>
      <c r="E389" s="14"/>
      <c r="F389" s="1206"/>
      <c r="G389" s="1206" t="s">
        <v>457</v>
      </c>
      <c r="H389" s="1206" t="s">
        <v>457</v>
      </c>
      <c r="I389" s="1206"/>
      <c r="J389" s="1206"/>
      <c r="K389" s="1206" t="s">
        <v>457</v>
      </c>
      <c r="L389" s="1206"/>
      <c r="M389" s="1206" t="s">
        <v>457</v>
      </c>
      <c r="N389" s="1206" t="s">
        <v>457</v>
      </c>
      <c r="O389" s="1206"/>
      <c r="P389" s="1206" t="s">
        <v>551</v>
      </c>
      <c r="Q389" s="1206" t="s">
        <v>132</v>
      </c>
      <c r="R389" s="1206"/>
      <c r="S389" s="1206"/>
      <c r="T389" s="1206" t="s">
        <v>457</v>
      </c>
      <c r="U389" s="1206"/>
      <c r="V389" s="1206" t="s">
        <v>457</v>
      </c>
      <c r="W389" s="1206"/>
      <c r="X389" s="1175"/>
      <c r="Y389" s="1175"/>
      <c r="Z389" s="1175"/>
      <c r="AA389" s="1175"/>
      <c r="AB389" s="1396"/>
      <c r="AS389" s="1396"/>
    </row>
    <row r="390" spans="1:45" hidden="1">
      <c r="A390" s="212" t="s">
        <v>493</v>
      </c>
      <c r="C390" s="1164" t="s">
        <v>1639</v>
      </c>
      <c r="E390" s="14"/>
      <c r="F390" s="907" t="s">
        <v>1521</v>
      </c>
      <c r="G390" s="907"/>
      <c r="H390" s="907"/>
      <c r="I390" s="907"/>
      <c r="J390" s="907"/>
      <c r="K390" s="982" t="s">
        <v>1522</v>
      </c>
      <c r="L390" s="982"/>
      <c r="M390" s="907"/>
      <c r="N390" s="907" t="s">
        <v>1524</v>
      </c>
      <c r="O390" s="907"/>
      <c r="P390" s="1208"/>
      <c r="Q390" s="1208"/>
      <c r="R390" s="1208"/>
      <c r="S390" s="1208"/>
      <c r="T390" s="1208"/>
      <c r="U390" s="1208"/>
      <c r="V390" s="1209" t="s">
        <v>1412</v>
      </c>
      <c r="W390" s="1209" t="s">
        <v>1412</v>
      </c>
      <c r="X390" s="1175"/>
      <c r="Y390" s="1175"/>
      <c r="Z390" s="1175"/>
      <c r="AA390" s="1175"/>
      <c r="AB390" s="1396"/>
      <c r="AS390" s="1396"/>
    </row>
    <row r="391" spans="1:45" hidden="1">
      <c r="A391" s="212" t="s">
        <v>493</v>
      </c>
      <c r="C391" s="1164" t="str">
        <f t="shared" ref="C391:C402" si="166">F44</f>
        <v>woning</v>
      </c>
      <c r="E391" s="14"/>
      <c r="F391" s="1184">
        <f t="shared" ref="F391:F402" si="167">$AG$220</f>
        <v>9.9536653965742641</v>
      </c>
      <c r="G391" s="1185">
        <f t="shared" ref="G391:G402" si="168">INDEX(Energie_DPG_Score_6,MATCH($F44,Gebruiksfuncties,0),MATCH(EP_doelmethode,GPR_Versie_En_EP_Methode,0))</f>
        <v>2.1714821124228192</v>
      </c>
      <c r="H391" s="1185">
        <f t="shared" ref="H391:H402" si="169">INDEX(Energie_DPG_Score_10,MATCH($F44,Gebruiksfuncties,0),MATCH(EP_doelmethode,GPR_Versie_En_EP_Methode,0))</f>
        <v>-0.34896741831981437</v>
      </c>
      <c r="I391" s="1185"/>
      <c r="J391" s="1186">
        <f t="shared" ref="J391:J402" si="170">(LN(6/10)/(G391-H391))</f>
        <v>-0.20267242709497119</v>
      </c>
      <c r="K391" s="1187">
        <f t="shared" ref="K391:K402" si="171">IFERROR(LN(F391/10)/J391+H391,0)</f>
        <v>-0.32605247048655511</v>
      </c>
      <c r="L391" s="1188"/>
      <c r="M391" s="1188" t="str">
        <f t="shared" ref="M391:M402" si="172">$M350</f>
        <v/>
      </c>
      <c r="N391" s="1189" t="str">
        <f t="shared" ref="N391:N402" si="173">IFERROR(K391-M391,"")</f>
        <v/>
      </c>
      <c r="O391" s="1188"/>
      <c r="P391" s="1190" t="str">
        <f t="shared" ref="P391:P402" si="174">IFERROR(N391*M44/$M$58*$J$275,"")</f>
        <v/>
      </c>
      <c r="Q391" s="1191" t="str">
        <f t="shared" ref="Q391:Q402" si="175">IFERROR(P391/IF(EP_bronmethode=EP_doelmethode,$P$404,$Q$385),"")</f>
        <v/>
      </c>
      <c r="R391" s="1191"/>
      <c r="S391" s="1191" t="str">
        <f t="shared" ref="S391:S402" si="176">IFERROR($N391/$Q372*$Q391,"")</f>
        <v/>
      </c>
      <c r="T391" s="1191" t="str">
        <f t="shared" ref="T391:T402" si="177">IF(OR(M44="",M44=0),"",SUMPRODUCT($G$227:$M$227,$G236:$M236)/($M44/$M$58*$J$275))</f>
        <v/>
      </c>
      <c r="U391" s="1191"/>
      <c r="V391" s="1191" t="str">
        <f t="shared" ref="V391:V402" si="178">IF(M350="","",M391+T391)</f>
        <v/>
      </c>
      <c r="W391" s="1191" t="str">
        <f t="shared" ref="W391:W402" si="179">IFERROR(10*EXP(J391*(V391-H391)),"")</f>
        <v/>
      </c>
      <c r="X391" s="1182" t="b">
        <f>W391=T372</f>
        <v>1</v>
      </c>
      <c r="Y391" s="1175"/>
      <c r="Z391" s="1175"/>
      <c r="AA391" s="1175"/>
      <c r="AB391" s="1396"/>
      <c r="AS391" s="1396"/>
    </row>
    <row r="392" spans="1:45" hidden="1">
      <c r="A392" s="212" t="s">
        <v>493</v>
      </c>
      <c r="C392" s="1164" t="str">
        <f t="shared" si="166"/>
        <v>woongebouw</v>
      </c>
      <c r="E392" s="14"/>
      <c r="F392" s="1192">
        <f t="shared" si="167"/>
        <v>9.9536653965742641</v>
      </c>
      <c r="G392" s="1185">
        <f t="shared" si="168"/>
        <v>2.1714821124228192</v>
      </c>
      <c r="H392" s="1185">
        <f t="shared" si="169"/>
        <v>-0.34896741831981437</v>
      </c>
      <c r="I392" s="1185"/>
      <c r="J392" s="1186">
        <f t="shared" si="170"/>
        <v>-0.20267242709497119</v>
      </c>
      <c r="K392" s="1193">
        <f t="shared" si="171"/>
        <v>-0.32605247048655511</v>
      </c>
      <c r="L392" s="1188"/>
      <c r="M392" s="1188" t="str">
        <f t="shared" si="172"/>
        <v/>
      </c>
      <c r="N392" s="1194" t="str">
        <f t="shared" si="173"/>
        <v/>
      </c>
      <c r="O392" s="1188"/>
      <c r="P392" s="1190" t="str">
        <f t="shared" si="174"/>
        <v/>
      </c>
      <c r="Q392" s="1191" t="str">
        <f t="shared" si="175"/>
        <v/>
      </c>
      <c r="R392" s="1191"/>
      <c r="S392" s="1191" t="str">
        <f t="shared" si="176"/>
        <v/>
      </c>
      <c r="T392" s="1191" t="str">
        <f t="shared" si="177"/>
        <v/>
      </c>
      <c r="U392" s="1191"/>
      <c r="V392" s="1191" t="str">
        <f t="shared" si="178"/>
        <v/>
      </c>
      <c r="W392" s="1191" t="str">
        <f t="shared" si="179"/>
        <v/>
      </c>
      <c r="X392" s="1182" t="b">
        <f t="shared" ref="X392:X402" si="180">W392=T373</f>
        <v>1</v>
      </c>
      <c r="Y392" s="1175"/>
      <c r="Z392" s="1175"/>
      <c r="AA392" s="1175"/>
      <c r="AB392" s="1396"/>
      <c r="AS392" s="1396"/>
    </row>
    <row r="393" spans="1:45" hidden="1">
      <c r="A393" s="212" t="s">
        <v>493</v>
      </c>
      <c r="C393" s="1164" t="str">
        <f t="shared" si="166"/>
        <v>kantoor</v>
      </c>
      <c r="E393" s="14"/>
      <c r="F393" s="1192">
        <f t="shared" si="167"/>
        <v>9.9536653965742641</v>
      </c>
      <c r="G393" s="1185">
        <f t="shared" si="168"/>
        <v>3.4181135498615678</v>
      </c>
      <c r="H393" s="1185">
        <f t="shared" si="169"/>
        <v>-0.5305607399933423</v>
      </c>
      <c r="I393" s="1185"/>
      <c r="J393" s="1186">
        <f t="shared" si="170"/>
        <v>-0.1293663610286683</v>
      </c>
      <c r="K393" s="1193">
        <f t="shared" si="171"/>
        <v>-0.49466092757539759</v>
      </c>
      <c r="L393" s="1188"/>
      <c r="M393" s="1188">
        <f t="shared" si="172"/>
        <v>0</v>
      </c>
      <c r="N393" s="1194">
        <f t="shared" si="173"/>
        <v>-0.49466092757539759</v>
      </c>
      <c r="O393" s="1188"/>
      <c r="P393" s="1190">
        <f t="shared" si="174"/>
        <v>-0.16488697585846587</v>
      </c>
      <c r="Q393" s="1191" t="str">
        <f t="shared" si="175"/>
        <v/>
      </c>
      <c r="R393" s="1191"/>
      <c r="S393" s="1191" t="str">
        <f t="shared" si="176"/>
        <v/>
      </c>
      <c r="T393" s="1191">
        <f t="shared" si="177"/>
        <v>0</v>
      </c>
      <c r="U393" s="1191"/>
      <c r="V393" s="1191">
        <f t="shared" si="178"/>
        <v>0</v>
      </c>
      <c r="W393" s="1191">
        <f t="shared" si="179"/>
        <v>9.3366580783613315</v>
      </c>
      <c r="X393" s="1182" t="b">
        <f t="shared" si="180"/>
        <v>0</v>
      </c>
      <c r="Y393" s="1175"/>
      <c r="Z393" s="1175"/>
      <c r="AA393" s="1175"/>
      <c r="AB393" s="1396"/>
      <c r="AS393" s="1396"/>
    </row>
    <row r="394" spans="1:45" hidden="1">
      <c r="A394" s="212" t="s">
        <v>493</v>
      </c>
      <c r="C394" s="1164" t="str">
        <f t="shared" si="166"/>
        <v>bijeenkomst overig</v>
      </c>
      <c r="E394" s="14"/>
      <c r="F394" s="1192">
        <f t="shared" si="167"/>
        <v>9.9536653965742641</v>
      </c>
      <c r="G394" s="1185">
        <f t="shared" si="168"/>
        <v>4.496642433386441</v>
      </c>
      <c r="H394" s="1185">
        <f t="shared" si="169"/>
        <v>0.18902985498063157</v>
      </c>
      <c r="I394" s="1185"/>
      <c r="J394" s="1186">
        <f t="shared" si="170"/>
        <v>-0.11858671467503248</v>
      </c>
      <c r="K394" s="1193">
        <f t="shared" si="171"/>
        <v>0.228192994855516</v>
      </c>
      <c r="L394" s="1188"/>
      <c r="M394" s="1188">
        <f t="shared" si="172"/>
        <v>0</v>
      </c>
      <c r="N394" s="1194">
        <f t="shared" si="173"/>
        <v>0.228192994855516</v>
      </c>
      <c r="O394" s="1188"/>
      <c r="P394" s="1190">
        <f t="shared" si="174"/>
        <v>7.6064331618505329E-2</v>
      </c>
      <c r="Q394" s="1191" t="str">
        <f t="shared" si="175"/>
        <v/>
      </c>
      <c r="R394" s="1191"/>
      <c r="S394" s="1191" t="str">
        <f t="shared" si="176"/>
        <v/>
      </c>
      <c r="T394" s="1191">
        <f t="shared" si="177"/>
        <v>0</v>
      </c>
      <c r="U394" s="1191"/>
      <c r="V394" s="1191">
        <f t="shared" si="178"/>
        <v>0</v>
      </c>
      <c r="W394" s="1191">
        <f t="shared" si="179"/>
        <v>10.226695655633833</v>
      </c>
      <c r="X394" s="1182" t="b">
        <f t="shared" si="180"/>
        <v>0</v>
      </c>
      <c r="Y394" s="1175"/>
      <c r="Z394" s="1175"/>
      <c r="AA394" s="1175"/>
      <c r="AB394" s="1396"/>
      <c r="AS394" s="1396"/>
    </row>
    <row r="395" spans="1:45" hidden="1">
      <c r="A395" s="212" t="s">
        <v>493</v>
      </c>
      <c r="C395" s="1164" t="str">
        <f t="shared" si="166"/>
        <v>bijeenkomst kinderdagverblijf</v>
      </c>
      <c r="E395" s="14"/>
      <c r="F395" s="1192">
        <f t="shared" si="167"/>
        <v>9.9536653965742641</v>
      </c>
      <c r="G395" s="1185">
        <f t="shared" si="168"/>
        <v>4.9618935989874702</v>
      </c>
      <c r="H395" s="1185">
        <f t="shared" si="169"/>
        <v>0.22221092604712483</v>
      </c>
      <c r="I395" s="1185"/>
      <c r="J395" s="1186">
        <f t="shared" si="170"/>
        <v>-0.10777633420110193</v>
      </c>
      <c r="K395" s="1193">
        <f t="shared" si="171"/>
        <v>0.26530227934418127</v>
      </c>
      <c r="L395" s="1188"/>
      <c r="M395" s="1188">
        <f t="shared" si="172"/>
        <v>0</v>
      </c>
      <c r="N395" s="1194">
        <f t="shared" si="173"/>
        <v>0.26530227934418127</v>
      </c>
      <c r="O395" s="1188"/>
      <c r="P395" s="1190">
        <f t="shared" si="174"/>
        <v>8.8434093114727094E-2</v>
      </c>
      <c r="Q395" s="1191" t="str">
        <f t="shared" si="175"/>
        <v/>
      </c>
      <c r="R395" s="1191"/>
      <c r="S395" s="1191" t="str">
        <f t="shared" si="176"/>
        <v/>
      </c>
      <c r="T395" s="1191">
        <f t="shared" si="177"/>
        <v>0</v>
      </c>
      <c r="U395" s="1191"/>
      <c r="V395" s="1191">
        <f t="shared" si="178"/>
        <v>0</v>
      </c>
      <c r="W395" s="1191">
        <f t="shared" si="179"/>
        <v>10.242381613607767</v>
      </c>
      <c r="X395" s="1182" t="b">
        <f t="shared" si="180"/>
        <v>0</v>
      </c>
      <c r="Y395" s="1175"/>
      <c r="Z395" s="1175"/>
      <c r="AA395" s="1175"/>
      <c r="AB395" s="1396"/>
      <c r="AS395" s="1396"/>
    </row>
    <row r="396" spans="1:45" hidden="1">
      <c r="A396" s="212" t="s">
        <v>493</v>
      </c>
      <c r="C396" s="1164" t="str">
        <f t="shared" si="166"/>
        <v>onderwijs</v>
      </c>
      <c r="E396" s="14"/>
      <c r="F396" s="1192">
        <f t="shared" si="167"/>
        <v>9.9536653965742641</v>
      </c>
      <c r="G396" s="1185">
        <f t="shared" si="168"/>
        <v>4.496374086733848</v>
      </c>
      <c r="H396" s="1185">
        <f t="shared" si="169"/>
        <v>1.0009891564366158E-2</v>
      </c>
      <c r="I396" s="1185"/>
      <c r="J396" s="1186">
        <f t="shared" si="170"/>
        <v>-0.11386182698141234</v>
      </c>
      <c r="K396" s="1193">
        <f t="shared" si="171"/>
        <v>5.0798171686372857E-2</v>
      </c>
      <c r="L396" s="1188"/>
      <c r="M396" s="1188" t="str">
        <f t="shared" si="172"/>
        <v/>
      </c>
      <c r="N396" s="1194" t="str">
        <f t="shared" si="173"/>
        <v/>
      </c>
      <c r="O396" s="1188"/>
      <c r="P396" s="1190" t="str">
        <f t="shared" si="174"/>
        <v/>
      </c>
      <c r="Q396" s="1191" t="str">
        <f t="shared" si="175"/>
        <v/>
      </c>
      <c r="R396" s="1191"/>
      <c r="S396" s="1191" t="str">
        <f t="shared" si="176"/>
        <v/>
      </c>
      <c r="T396" s="1191" t="str">
        <f t="shared" si="177"/>
        <v/>
      </c>
      <c r="U396" s="1191"/>
      <c r="V396" s="1191" t="str">
        <f t="shared" si="178"/>
        <v/>
      </c>
      <c r="W396" s="1191" t="str">
        <f t="shared" si="179"/>
        <v/>
      </c>
      <c r="X396" s="1182" t="b">
        <f t="shared" si="180"/>
        <v>1</v>
      </c>
      <c r="Y396" s="1175"/>
      <c r="Z396" s="1175"/>
      <c r="AA396" s="1175"/>
      <c r="AB396" s="1396"/>
      <c r="AS396" s="1396"/>
    </row>
    <row r="397" spans="1:45" hidden="1">
      <c r="A397" s="212" t="s">
        <v>493</v>
      </c>
      <c r="C397" s="1164" t="str">
        <f t="shared" si="166"/>
        <v>gezondheid overig</v>
      </c>
      <c r="E397" s="14"/>
      <c r="F397" s="1192">
        <f t="shared" si="167"/>
        <v>9.9536653965742641</v>
      </c>
      <c r="G397" s="1185">
        <f t="shared" si="168"/>
        <v>3.0421145136275034</v>
      </c>
      <c r="H397" s="1185">
        <f t="shared" si="169"/>
        <v>-0.8488041379310346</v>
      </c>
      <c r="I397" s="1185"/>
      <c r="J397" s="1186">
        <f t="shared" si="170"/>
        <v>-0.13128663678470265</v>
      </c>
      <c r="K397" s="1193">
        <f t="shared" si="171"/>
        <v>-0.81342941733599494</v>
      </c>
      <c r="L397" s="1188"/>
      <c r="M397" s="1188" t="str">
        <f t="shared" si="172"/>
        <v/>
      </c>
      <c r="N397" s="1194" t="str">
        <f t="shared" si="173"/>
        <v/>
      </c>
      <c r="O397" s="1188"/>
      <c r="P397" s="1190" t="str">
        <f t="shared" si="174"/>
        <v/>
      </c>
      <c r="Q397" s="1191" t="str">
        <f t="shared" si="175"/>
        <v/>
      </c>
      <c r="R397" s="1191"/>
      <c r="S397" s="1191" t="str">
        <f t="shared" si="176"/>
        <v/>
      </c>
      <c r="T397" s="1191" t="str">
        <f t="shared" si="177"/>
        <v/>
      </c>
      <c r="U397" s="1191"/>
      <c r="V397" s="1191" t="str">
        <f t="shared" si="178"/>
        <v/>
      </c>
      <c r="W397" s="1191" t="str">
        <f t="shared" si="179"/>
        <v/>
      </c>
      <c r="X397" s="1182" t="b">
        <f t="shared" si="180"/>
        <v>1</v>
      </c>
      <c r="Y397" s="1175"/>
      <c r="Z397" s="1175"/>
      <c r="AA397" s="1175"/>
      <c r="AB397" s="1396"/>
      <c r="AS397" s="1396"/>
    </row>
    <row r="398" spans="1:45" hidden="1">
      <c r="A398" s="212" t="s">
        <v>493</v>
      </c>
      <c r="C398" s="1164" t="str">
        <f t="shared" si="166"/>
        <v>gezondheid bedgebied</v>
      </c>
      <c r="E398" s="14"/>
      <c r="F398" s="1192">
        <f t="shared" si="167"/>
        <v>9.9536653965742641</v>
      </c>
      <c r="G398" s="1185">
        <f t="shared" si="168"/>
        <v>7.1710028268311063</v>
      </c>
      <c r="H398" s="1185">
        <f t="shared" si="169"/>
        <v>-1.0610051724137932</v>
      </c>
      <c r="I398" s="1185"/>
      <c r="J398" s="1186">
        <f t="shared" si="170"/>
        <v>-6.2053586902836758E-2</v>
      </c>
      <c r="K398" s="1193">
        <f t="shared" si="171"/>
        <v>-0.98616295416469801</v>
      </c>
      <c r="L398" s="1188"/>
      <c r="M398" s="1188" t="str">
        <f t="shared" si="172"/>
        <v/>
      </c>
      <c r="N398" s="1194" t="str">
        <f t="shared" si="173"/>
        <v/>
      </c>
      <c r="O398" s="1188"/>
      <c r="P398" s="1190" t="str">
        <f t="shared" si="174"/>
        <v/>
      </c>
      <c r="Q398" s="1191" t="str">
        <f t="shared" si="175"/>
        <v/>
      </c>
      <c r="R398" s="1191"/>
      <c r="S398" s="1191" t="str">
        <f t="shared" si="176"/>
        <v/>
      </c>
      <c r="T398" s="1191" t="str">
        <f t="shared" si="177"/>
        <v/>
      </c>
      <c r="U398" s="1191"/>
      <c r="V398" s="1191" t="str">
        <f t="shared" si="178"/>
        <v/>
      </c>
      <c r="W398" s="1191" t="str">
        <f t="shared" si="179"/>
        <v/>
      </c>
      <c r="X398" s="1182" t="b">
        <f t="shared" si="180"/>
        <v>1</v>
      </c>
      <c r="Y398" s="1175"/>
      <c r="Z398" s="1175"/>
      <c r="AA398" s="1175"/>
      <c r="AB398" s="1396"/>
      <c r="AS398" s="1396"/>
    </row>
    <row r="399" spans="1:45" hidden="1">
      <c r="A399" s="212" t="s">
        <v>493</v>
      </c>
      <c r="C399" s="1164" t="str">
        <f t="shared" si="166"/>
        <v>winkel</v>
      </c>
      <c r="E399" s="14"/>
      <c r="F399" s="1192">
        <f t="shared" si="167"/>
        <v>9.9536653965742641</v>
      </c>
      <c r="G399" s="1185">
        <f t="shared" si="168"/>
        <v>6.2190488086838158</v>
      </c>
      <c r="H399" s="1185">
        <f t="shared" si="169"/>
        <v>-0.31109441289929285</v>
      </c>
      <c r="I399" s="1185"/>
      <c r="J399" s="1186">
        <f t="shared" si="170"/>
        <v>-7.8225791752565998E-2</v>
      </c>
      <c r="K399" s="1193">
        <f t="shared" si="171"/>
        <v>-0.25172488796292214</v>
      </c>
      <c r="L399" s="1188"/>
      <c r="M399" s="1188" t="str">
        <f t="shared" si="172"/>
        <v/>
      </c>
      <c r="N399" s="1194" t="str">
        <f t="shared" si="173"/>
        <v/>
      </c>
      <c r="O399" s="1188"/>
      <c r="P399" s="1190" t="str">
        <f t="shared" si="174"/>
        <v/>
      </c>
      <c r="Q399" s="1191" t="str">
        <f t="shared" si="175"/>
        <v/>
      </c>
      <c r="R399" s="1191"/>
      <c r="S399" s="1191" t="str">
        <f t="shared" si="176"/>
        <v/>
      </c>
      <c r="T399" s="1191" t="str">
        <f t="shared" si="177"/>
        <v/>
      </c>
      <c r="U399" s="1191"/>
      <c r="V399" s="1191" t="str">
        <f t="shared" si="178"/>
        <v/>
      </c>
      <c r="W399" s="1191" t="str">
        <f t="shared" si="179"/>
        <v/>
      </c>
      <c r="X399" s="1182" t="b">
        <f t="shared" si="180"/>
        <v>1</v>
      </c>
      <c r="Y399" s="1175"/>
      <c r="Z399" s="1175"/>
      <c r="AA399" s="1175"/>
      <c r="AB399" s="1396"/>
      <c r="AS399" s="1396"/>
    </row>
    <row r="400" spans="1:45" hidden="1">
      <c r="A400" s="212" t="s">
        <v>493</v>
      </c>
      <c r="C400" s="1164" t="str">
        <f t="shared" si="166"/>
        <v>sport</v>
      </c>
      <c r="E400" s="14"/>
      <c r="F400" s="1192">
        <f t="shared" si="167"/>
        <v>9.9536653965742641</v>
      </c>
      <c r="G400" s="1185">
        <f t="shared" si="168"/>
        <v>3.3552740384012365</v>
      </c>
      <c r="H400" s="1185">
        <f t="shared" si="169"/>
        <v>0.21295480603468026</v>
      </c>
      <c r="I400" s="1185"/>
      <c r="J400" s="1186">
        <f t="shared" si="170"/>
        <v>-0.16256324898641047</v>
      </c>
      <c r="K400" s="1193">
        <f t="shared" si="171"/>
        <v>0.24152355157266803</v>
      </c>
      <c r="L400" s="1188"/>
      <c r="M400" s="1188" t="str">
        <f t="shared" si="172"/>
        <v/>
      </c>
      <c r="N400" s="1194" t="str">
        <f t="shared" si="173"/>
        <v/>
      </c>
      <c r="O400" s="1188"/>
      <c r="P400" s="1190" t="str">
        <f t="shared" si="174"/>
        <v/>
      </c>
      <c r="Q400" s="1191" t="str">
        <f t="shared" si="175"/>
        <v/>
      </c>
      <c r="R400" s="1191"/>
      <c r="S400" s="1191" t="str">
        <f t="shared" si="176"/>
        <v/>
      </c>
      <c r="T400" s="1191" t="str">
        <f t="shared" si="177"/>
        <v/>
      </c>
      <c r="U400" s="1191"/>
      <c r="V400" s="1191" t="str">
        <f t="shared" si="178"/>
        <v/>
      </c>
      <c r="W400" s="1191" t="str">
        <f t="shared" si="179"/>
        <v/>
      </c>
      <c r="X400" s="1182" t="b">
        <f t="shared" si="180"/>
        <v>1</v>
      </c>
      <c r="Y400" s="1175"/>
      <c r="Z400" s="1175"/>
      <c r="AA400" s="1175"/>
      <c r="AB400" s="1396"/>
      <c r="AS400" s="1396"/>
    </row>
    <row r="401" spans="1:61" hidden="1">
      <c r="A401" s="212" t="s">
        <v>493</v>
      </c>
      <c r="C401" s="1164" t="str">
        <f t="shared" si="166"/>
        <v>logies in logiesgebouw</v>
      </c>
      <c r="E401" s="14"/>
      <c r="F401" s="1192">
        <f t="shared" si="167"/>
        <v>9.9536653965742641</v>
      </c>
      <c r="G401" s="1185">
        <f t="shared" si="168"/>
        <v>4.1124807048073482</v>
      </c>
      <c r="H401" s="1185">
        <f t="shared" si="169"/>
        <v>-5.0641157782819524E-2</v>
      </c>
      <c r="I401" s="1185"/>
      <c r="J401" s="1186">
        <f t="shared" si="170"/>
        <v>-0.1227025392545609</v>
      </c>
      <c r="K401" s="1193">
        <f t="shared" si="171"/>
        <v>-1.2791671355433472E-2</v>
      </c>
      <c r="L401" s="1188"/>
      <c r="M401" s="1188" t="str">
        <f t="shared" si="172"/>
        <v/>
      </c>
      <c r="N401" s="1194" t="str">
        <f t="shared" si="173"/>
        <v/>
      </c>
      <c r="O401" s="1188"/>
      <c r="P401" s="1190" t="str">
        <f t="shared" si="174"/>
        <v/>
      </c>
      <c r="Q401" s="1191" t="str">
        <f t="shared" si="175"/>
        <v/>
      </c>
      <c r="R401" s="1191"/>
      <c r="S401" s="1191" t="str">
        <f t="shared" si="176"/>
        <v/>
      </c>
      <c r="T401" s="1191" t="str">
        <f t="shared" si="177"/>
        <v/>
      </c>
      <c r="U401" s="1191"/>
      <c r="V401" s="1191" t="str">
        <f t="shared" si="178"/>
        <v/>
      </c>
      <c r="W401" s="1191" t="str">
        <f t="shared" si="179"/>
        <v/>
      </c>
      <c r="X401" s="1182" t="b">
        <f t="shared" si="180"/>
        <v>1</v>
      </c>
      <c r="Y401" s="1175"/>
      <c r="Z401" s="1175"/>
      <c r="AA401" s="1175"/>
      <c r="AB401" s="1396"/>
      <c r="AS401" s="1396"/>
    </row>
    <row r="402" spans="1:61" hidden="1">
      <c r="A402" s="212" t="s">
        <v>493</v>
      </c>
      <c r="C402" s="1164" t="str">
        <f t="shared" si="166"/>
        <v>cel</v>
      </c>
      <c r="E402" s="14"/>
      <c r="F402" s="1195">
        <f t="shared" si="167"/>
        <v>9.9536653965742641</v>
      </c>
      <c r="G402" s="1185">
        <f t="shared" si="168"/>
        <v>5.5749410370927412</v>
      </c>
      <c r="H402" s="1185">
        <f t="shared" si="169"/>
        <v>-0.53050258620689661</v>
      </c>
      <c r="I402" s="1185"/>
      <c r="J402" s="1186">
        <f t="shared" si="170"/>
        <v>-8.3667241118495356E-2</v>
      </c>
      <c r="K402" s="1196">
        <f t="shared" si="171"/>
        <v>-0.47499426500452985</v>
      </c>
      <c r="L402" s="1188"/>
      <c r="M402" s="1188" t="str">
        <f t="shared" si="172"/>
        <v/>
      </c>
      <c r="N402" s="1197" t="str">
        <f t="shared" si="173"/>
        <v/>
      </c>
      <c r="O402" s="1188"/>
      <c r="P402" s="1190" t="str">
        <f t="shared" si="174"/>
        <v/>
      </c>
      <c r="Q402" s="1191" t="str">
        <f t="shared" si="175"/>
        <v/>
      </c>
      <c r="R402" s="1191"/>
      <c r="S402" s="1191" t="str">
        <f t="shared" si="176"/>
        <v/>
      </c>
      <c r="T402" s="1191" t="str">
        <f t="shared" si="177"/>
        <v/>
      </c>
      <c r="U402" s="1191"/>
      <c r="V402" s="1191" t="str">
        <f t="shared" si="178"/>
        <v/>
      </c>
      <c r="W402" s="1191" t="str">
        <f t="shared" si="179"/>
        <v/>
      </c>
      <c r="X402" s="1182" t="b">
        <f t="shared" si="180"/>
        <v>1</v>
      </c>
      <c r="Y402" s="1175"/>
      <c r="Z402" s="1175"/>
      <c r="AA402" s="1175"/>
      <c r="AB402" s="1396"/>
      <c r="AS402" s="1396"/>
    </row>
    <row r="403" spans="1:61" hidden="1">
      <c r="A403" s="212" t="s">
        <v>493</v>
      </c>
      <c r="C403" s="1164"/>
      <c r="E403" s="14"/>
      <c r="F403" s="1198"/>
      <c r="G403" s="1198"/>
      <c r="H403" s="1198"/>
      <c r="I403" s="1198"/>
      <c r="J403" s="1162"/>
      <c r="K403" s="982" t="s">
        <v>1523</v>
      </c>
      <c r="L403" s="1162"/>
      <c r="M403" s="1162"/>
      <c r="N403" s="1198"/>
      <c r="O403" s="1198"/>
      <c r="P403" s="1199"/>
      <c r="Q403" s="1198"/>
      <c r="R403" s="1198"/>
      <c r="S403" s="1198"/>
      <c r="T403" s="1198"/>
      <c r="U403" s="1198"/>
      <c r="V403" s="1198"/>
      <c r="W403" s="1198"/>
      <c r="X403" s="1175"/>
      <c r="Y403" s="1175"/>
      <c r="Z403" s="1175"/>
      <c r="AA403" s="1175"/>
      <c r="AB403" s="1396"/>
      <c r="AS403" s="1396"/>
    </row>
    <row r="404" spans="1:61" hidden="1">
      <c r="A404" s="212" t="s">
        <v>493</v>
      </c>
      <c r="C404" s="1164">
        <f>F287</f>
        <v>0</v>
      </c>
      <c r="E404" s="14"/>
      <c r="F404" s="1191">
        <f>M385</f>
        <v>9.9536653965742641</v>
      </c>
      <c r="G404" s="1185">
        <f>SUMPRODUCT(G391:G402,$M44:$M55)/$M$58</f>
        <v>4.2922165274118269</v>
      </c>
      <c r="H404" s="1185">
        <f>SUMPRODUCT(H391:H402,$M44:$M55)/$M$58</f>
        <v>-3.9773319655195288E-2</v>
      </c>
      <c r="I404" s="1185"/>
      <c r="J404" s="1186">
        <f>(LN(6/10)/(G404-H404))</f>
        <v>-0.11791939542791073</v>
      </c>
      <c r="K404" s="1225">
        <f>IFERROR(LN(F404/10)/J404+H404,0)</f>
        <v>-3.8855112523342866E-4</v>
      </c>
      <c r="L404" s="1188"/>
      <c r="M404" s="1188">
        <f>$J$272</f>
        <v>0</v>
      </c>
      <c r="N404" s="1191">
        <f>IFERROR(K404-M404,"")</f>
        <v>-3.8855112523342866E-4</v>
      </c>
      <c r="O404" s="1191"/>
      <c r="P404" s="1190">
        <f>SUM(P391:P402)</f>
        <v>-3.8855112523344948E-4</v>
      </c>
      <c r="Q404" s="1191">
        <f>SUM(Q391:Q402)</f>
        <v>0</v>
      </c>
      <c r="R404" s="1191"/>
      <c r="S404" s="1191" t="str">
        <f>IFERROR($N404/$J385*$K363,"")</f>
        <v/>
      </c>
      <c r="T404" s="1191">
        <f>IF(OR($M$58="",$M$58=0),"",SUMPRODUCT($G$227:$M$227,$G249:$M249)/($M$58/$M$58*$J$275))</f>
        <v>0</v>
      </c>
      <c r="U404" s="1191"/>
      <c r="V404" s="1191">
        <f>IF(M363="","",M404+T404)</f>
        <v>0</v>
      </c>
      <c r="W404" s="1191">
        <f>IFERROR(10*EXP(J404*(V404-H404)),"")</f>
        <v>9.9532093528295782</v>
      </c>
      <c r="X404" s="1175"/>
      <c r="Y404" s="1175"/>
      <c r="Z404" s="1175"/>
      <c r="AA404" s="1175"/>
      <c r="AB404" s="1396"/>
      <c r="AS404" s="1396"/>
    </row>
    <row r="405" spans="1:61" s="995" customFormat="1" hidden="1">
      <c r="A405" s="212" t="s">
        <v>493</v>
      </c>
      <c r="B405" s="943"/>
      <c r="C405" s="1092"/>
      <c r="D405" s="943"/>
      <c r="E405" s="14"/>
      <c r="F405" s="147"/>
      <c r="G405" s="14"/>
      <c r="H405" s="14"/>
      <c r="I405" s="14"/>
      <c r="J405" s="14"/>
      <c r="K405" s="14"/>
      <c r="L405" s="14"/>
      <c r="M405" s="14"/>
      <c r="N405" s="14"/>
      <c r="O405" s="14"/>
      <c r="P405" s="14"/>
      <c r="Q405" s="14"/>
      <c r="R405" s="14"/>
      <c r="S405" s="14"/>
      <c r="T405" s="14"/>
      <c r="U405" s="14"/>
      <c r="V405" s="14"/>
      <c r="W405" s="14"/>
      <c r="X405" s="14"/>
      <c r="Y405" s="14"/>
      <c r="Z405" s="14"/>
      <c r="AA405" s="14"/>
      <c r="AB405" s="16"/>
      <c r="AD405" s="1428"/>
      <c r="AE405" s="1406"/>
      <c r="AF405" s="1406"/>
      <c r="AG405" s="1406"/>
      <c r="AH405" s="1406"/>
      <c r="AI405" s="1406"/>
      <c r="AJ405" s="1406"/>
      <c r="AK405" s="1406"/>
      <c r="AL405" s="1407"/>
      <c r="AM405" s="1407"/>
      <c r="AS405" s="16"/>
    </row>
    <row r="406" spans="1:61" s="995" customFormat="1" hidden="1">
      <c r="A406" s="212" t="s">
        <v>493</v>
      </c>
      <c r="B406" s="943"/>
      <c r="C406" s="1092"/>
      <c r="D406" s="943"/>
      <c r="E406" s="14"/>
      <c r="F406" s="147"/>
      <c r="G406" s="14"/>
      <c r="H406" s="14"/>
      <c r="I406" s="14"/>
      <c r="J406" s="14"/>
      <c r="K406" s="14"/>
      <c r="L406" s="14"/>
      <c r="M406" s="14"/>
      <c r="N406" s="14"/>
      <c r="O406" s="14"/>
      <c r="P406" s="14"/>
      <c r="Q406" s="14"/>
      <c r="R406" s="14"/>
      <c r="S406" s="14"/>
      <c r="T406" s="14"/>
      <c r="U406" s="14"/>
      <c r="V406" s="14"/>
      <c r="W406" s="14"/>
      <c r="X406" s="14"/>
      <c r="Y406" s="14"/>
      <c r="Z406" s="14"/>
      <c r="AA406" s="14"/>
      <c r="AB406" s="16"/>
      <c r="AD406" s="1428"/>
      <c r="AE406" s="1406"/>
      <c r="AF406" s="1406"/>
      <c r="AG406" s="1406"/>
      <c r="AH406" s="1406"/>
      <c r="AI406" s="1406"/>
      <c r="AJ406" s="1406"/>
      <c r="AK406" s="1406"/>
      <c r="AL406" s="1407"/>
      <c r="AM406" s="1407"/>
      <c r="AS406" s="16"/>
    </row>
    <row r="407" spans="1:61" hidden="1">
      <c r="A407" s="212" t="s">
        <v>493</v>
      </c>
    </row>
    <row r="408" spans="1:61" hidden="1">
      <c r="A408" s="212" t="s">
        <v>493</v>
      </c>
    </row>
    <row r="409" spans="1:61" s="896" customFormat="1" ht="25.5" hidden="1" customHeight="1">
      <c r="A409" s="212" t="s">
        <v>493</v>
      </c>
      <c r="B409" s="943"/>
      <c r="C409" s="943"/>
      <c r="D409" s="943"/>
      <c r="E409" s="897"/>
      <c r="F409" s="893" t="s">
        <v>1690</v>
      </c>
      <c r="G409" s="912" t="str">
        <f>_xlfn.CONCAT(P24," | ",P25," | ",P26," | ",P27)</f>
        <v>GPR 4.4 | nieuwbouw | woningbouw | NTA 8800</v>
      </c>
      <c r="H409" s="913"/>
      <c r="I409" s="894"/>
      <c r="J409" s="912"/>
      <c r="K409" s="914"/>
      <c r="L409" s="895"/>
      <c r="M409" s="893"/>
      <c r="N409" s="893"/>
      <c r="O409" s="895"/>
      <c r="P409" s="895"/>
      <c r="Q409" s="893"/>
      <c r="R409" s="893"/>
      <c r="S409" s="893"/>
      <c r="T409" s="893"/>
      <c r="U409" s="893"/>
      <c r="V409" s="893"/>
      <c r="W409" s="893"/>
      <c r="X409" s="893"/>
      <c r="Y409" s="893"/>
      <c r="Z409" s="893"/>
      <c r="AA409" s="893"/>
      <c r="AB409" s="897"/>
      <c r="AC409" s="1381"/>
      <c r="AD409" s="1433"/>
      <c r="AE409" s="1381"/>
      <c r="AF409" s="1381"/>
      <c r="AG409" s="1381"/>
      <c r="AH409" s="1381"/>
      <c r="AI409" s="1381"/>
      <c r="AJ409" s="1381"/>
      <c r="AK409" s="1381"/>
      <c r="AL409" s="1381"/>
      <c r="AM409" s="1381"/>
      <c r="AN409" s="1381"/>
      <c r="AO409" s="1381"/>
      <c r="AP409" s="1381"/>
      <c r="AQ409" s="1381"/>
      <c r="AR409" s="1381"/>
      <c r="AS409" s="897"/>
      <c r="AT409" s="1381"/>
      <c r="AU409" s="893"/>
      <c r="AV409" s="893"/>
      <c r="AW409" s="893"/>
      <c r="AX409" s="893"/>
      <c r="AY409" s="893"/>
      <c r="AZ409" s="893"/>
      <c r="BA409" s="893"/>
      <c r="BB409" s="893"/>
      <c r="BC409" s="893"/>
      <c r="BD409" s="893"/>
      <c r="BE409" s="893"/>
      <c r="BF409" s="893"/>
      <c r="BG409" s="893"/>
      <c r="BH409" s="893"/>
      <c r="BI409" s="893"/>
    </row>
    <row r="410" spans="1:61" hidden="1" collapsed="1">
      <c r="A410" s="212" t="s">
        <v>493</v>
      </c>
      <c r="B410" s="943"/>
      <c r="C410" s="943"/>
      <c r="D410" s="943"/>
      <c r="E410" s="14"/>
      <c r="F410" s="13"/>
      <c r="G410" s="13"/>
      <c r="H410" s="13"/>
      <c r="I410" s="12"/>
      <c r="J410" s="39"/>
      <c r="K410" s="40"/>
      <c r="L410" s="39"/>
      <c r="M410" s="39"/>
      <c r="N410" s="39"/>
      <c r="O410" s="39"/>
      <c r="P410" s="39"/>
      <c r="Q410" s="39"/>
      <c r="R410" s="39"/>
      <c r="S410" s="39"/>
      <c r="T410" s="39"/>
      <c r="U410" s="39"/>
      <c r="V410" s="39"/>
      <c r="W410" s="39"/>
      <c r="X410" s="39"/>
      <c r="Y410" s="39"/>
      <c r="Z410" s="39"/>
      <c r="AA410" s="39"/>
      <c r="AB410" s="67"/>
      <c r="AC410" s="995"/>
      <c r="AD410" s="1428"/>
      <c r="AE410" s="1406"/>
      <c r="AF410" s="1406"/>
      <c r="AG410" s="1406"/>
      <c r="AH410" s="1406"/>
      <c r="AI410" s="1406"/>
      <c r="AJ410" s="1406"/>
      <c r="AK410" s="1406"/>
      <c r="AL410" s="1407"/>
      <c r="AM410" s="1407"/>
      <c r="AN410" s="995"/>
      <c r="AO410" s="995"/>
      <c r="AP410" s="995"/>
      <c r="AQ410" s="995"/>
      <c r="AR410" s="995"/>
      <c r="AS410" s="67"/>
      <c r="AT410" s="995"/>
      <c r="AU410" s="12"/>
      <c r="AV410" s="12"/>
      <c r="AW410" s="12"/>
      <c r="AX410" s="12"/>
      <c r="AY410" s="12"/>
      <c r="AZ410" s="12"/>
      <c r="BA410" s="12"/>
      <c r="BB410" s="12"/>
      <c r="BC410" s="12"/>
      <c r="BD410" s="40"/>
      <c r="BE410" s="40"/>
      <c r="BF410" s="13"/>
      <c r="BG410" s="13"/>
      <c r="BH410" s="13"/>
      <c r="BI410" s="14"/>
    </row>
    <row r="411" spans="1:61" hidden="1" collapsed="1">
      <c r="A411" s="212" t="s">
        <v>493</v>
      </c>
      <c r="B411" s="943"/>
      <c r="C411" s="943"/>
      <c r="D411" s="943"/>
      <c r="E411" s="14"/>
      <c r="F411" s="41" t="s">
        <v>1692</v>
      </c>
      <c r="G411" s="13"/>
      <c r="H411" s="13"/>
      <c r="I411" s="12"/>
      <c r="J411" s="39"/>
      <c r="K411" s="40"/>
      <c r="L411" s="39"/>
      <c r="M411" s="39"/>
      <c r="N411" s="39"/>
      <c r="O411" s="39"/>
      <c r="P411" s="39"/>
      <c r="Q411" s="39"/>
      <c r="R411" s="39"/>
      <c r="S411" s="39"/>
      <c r="T411" s="39"/>
      <c r="U411" s="39"/>
      <c r="V411" s="39"/>
      <c r="W411" s="39"/>
      <c r="X411" s="39"/>
      <c r="Y411" s="39"/>
      <c r="Z411" s="39"/>
      <c r="AA411" s="39"/>
      <c r="AB411" s="67"/>
      <c r="AC411" s="995"/>
      <c r="AD411" s="1428"/>
      <c r="AE411" s="1406"/>
      <c r="AF411" s="1406"/>
      <c r="AG411" s="1406"/>
      <c r="AH411" s="1406"/>
      <c r="AI411" s="1406"/>
      <c r="AJ411" s="1406"/>
      <c r="AK411" s="1406"/>
      <c r="AL411" s="1407"/>
      <c r="AM411" s="1407"/>
      <c r="AN411" s="995"/>
      <c r="AO411" s="995"/>
      <c r="AP411" s="995"/>
      <c r="AQ411" s="995"/>
      <c r="AR411" s="995"/>
      <c r="AS411" s="67"/>
      <c r="AT411" s="995"/>
      <c r="AU411" s="12"/>
      <c r="AV411" s="12"/>
      <c r="AW411" s="12"/>
      <c r="AX411" s="12"/>
      <c r="AY411" s="12"/>
      <c r="AZ411" s="12"/>
      <c r="BA411" s="12"/>
      <c r="BB411" s="12"/>
      <c r="BC411" s="12"/>
      <c r="BD411" s="40"/>
      <c r="BE411" s="40"/>
      <c r="BF411" s="13"/>
      <c r="BG411" s="13"/>
      <c r="BH411" s="13"/>
      <c r="BI411" s="14"/>
    </row>
    <row r="412" spans="1:61" hidden="1" collapsed="1">
      <c r="A412" s="212" t="s">
        <v>493</v>
      </c>
      <c r="B412" s="943"/>
      <c r="C412" s="943"/>
      <c r="D412" s="943"/>
      <c r="E412" s="14"/>
      <c r="F412" s="892" t="s">
        <v>458</v>
      </c>
      <c r="G412" s="892" t="s">
        <v>553</v>
      </c>
      <c r="H412" s="892"/>
      <c r="I412" s="892"/>
      <c r="J412" s="892" t="s">
        <v>1691</v>
      </c>
      <c r="K412" s="892"/>
      <c r="L412" s="892"/>
      <c r="M412" s="892" t="s">
        <v>375</v>
      </c>
      <c r="N412" s="892"/>
      <c r="O412" s="892"/>
      <c r="P412" s="892" t="s">
        <v>1693</v>
      </c>
      <c r="Q412" s="892"/>
      <c r="R412" s="892"/>
      <c r="S412" s="1373" t="s">
        <v>1694</v>
      </c>
      <c r="T412" s="1373" t="s">
        <v>1705</v>
      </c>
      <c r="U412" s="39"/>
      <c r="V412" s="39" t="s">
        <v>1533</v>
      </c>
      <c r="W412" s="39"/>
      <c r="X412" s="39"/>
      <c r="Y412" s="39"/>
      <c r="Z412" s="39"/>
      <c r="AA412" s="39"/>
      <c r="AB412" s="67"/>
      <c r="AC412" s="995"/>
      <c r="AD412" s="1428"/>
      <c r="AE412" s="1406"/>
      <c r="AF412" s="1406"/>
      <c r="AG412" s="1406"/>
      <c r="AH412" s="1406"/>
      <c r="AI412" s="1406"/>
      <c r="AJ412" s="1406"/>
      <c r="AK412" s="1406"/>
      <c r="AL412" s="1407"/>
      <c r="AM412" s="1407"/>
      <c r="AN412" s="995"/>
      <c r="AO412" s="995"/>
      <c r="AP412" s="995"/>
      <c r="AQ412" s="995"/>
      <c r="AR412" s="995"/>
      <c r="AS412" s="67"/>
      <c r="AT412" s="995"/>
      <c r="AU412" s="12"/>
      <c r="AV412" s="12"/>
      <c r="AW412" s="12"/>
      <c r="AX412" s="12"/>
      <c r="AY412" s="12"/>
      <c r="AZ412" s="12"/>
      <c r="BA412" s="12"/>
      <c r="BB412" s="12"/>
      <c r="BC412" s="12"/>
      <c r="BD412" s="40"/>
      <c r="BE412" s="40"/>
      <c r="BF412" s="13"/>
      <c r="BG412" s="13"/>
      <c r="BH412" s="13"/>
      <c r="BI412" s="14"/>
    </row>
    <row r="413" spans="1:61" hidden="1" collapsed="1">
      <c r="A413" s="212" t="s">
        <v>493</v>
      </c>
      <c r="B413" s="943"/>
      <c r="C413" s="943"/>
      <c r="D413" s="943"/>
      <c r="E413" s="14"/>
      <c r="F413" s="46" t="str">
        <f>J195</f>
        <v>aardgas</v>
      </c>
      <c r="G413" s="186">
        <f>INDEX(tabellen_EMD!$C$301:$R$306,MATCH($F413,tabellen_EMD!$C$301:$C$306,0),MATCH($P$24,tabellen_EMD!$C$301:$R$301,0))</f>
        <v>0.12266000000000001</v>
      </c>
      <c r="H413" s="1366" t="str">
        <f>INDEX(tabellen_EMD!$C$301:$R$306,MATCH($F413,tabellen_EMD!$C$301:$C$306,0),MATCH($P$24&amp;" | eenheid",tabellen_EMD!$C$301:$R$301,0))</f>
        <v>euro/m3</v>
      </c>
      <c r="I413" s="12"/>
      <c r="J413" s="1161">
        <f>W195</f>
        <v>0</v>
      </c>
      <c r="K413" s="1366" t="str">
        <f>X195</f>
        <v>m3</v>
      </c>
      <c r="L413" s="39"/>
      <c r="M413" s="1161">
        <f>M195</f>
        <v>0</v>
      </c>
      <c r="N413" s="1366" t="str">
        <f>N195</f>
        <v>MJ</v>
      </c>
      <c r="O413" s="39"/>
      <c r="P413" s="1369">
        <f>J413*G413/$J$275</f>
        <v>0</v>
      </c>
      <c r="Q413" s="1366" t="s">
        <v>440</v>
      </c>
      <c r="R413" s="39"/>
      <c r="S413" s="1367">
        <f>IFERROR(M413/$M$418,0%)</f>
        <v>0</v>
      </c>
      <c r="T413" s="1367">
        <f>IFERROR(P413/$P$418,0%)</f>
        <v>0</v>
      </c>
      <c r="U413" s="39"/>
      <c r="V413" s="1379">
        <v>30000</v>
      </c>
      <c r="W413" s="1366" t="str">
        <f>K413</f>
        <v>m3</v>
      </c>
      <c r="X413" s="39"/>
      <c r="Y413" s="39"/>
      <c r="Z413" s="39"/>
      <c r="AA413" s="39"/>
      <c r="AB413" s="67"/>
      <c r="AC413" s="995"/>
      <c r="AD413" s="1428"/>
      <c r="AE413" s="1406"/>
      <c r="AF413" s="1406"/>
      <c r="AG413" s="1406"/>
      <c r="AH413" s="1406"/>
      <c r="AI413" s="1406"/>
      <c r="AJ413" s="1406"/>
      <c r="AK413" s="1406"/>
      <c r="AL413" s="1407"/>
      <c r="AM413" s="1407"/>
      <c r="AN413" s="995"/>
      <c r="AO413" s="995"/>
      <c r="AP413" s="995"/>
      <c r="AQ413" s="995"/>
      <c r="AR413" s="995"/>
      <c r="AS413" s="67"/>
      <c r="AT413" s="995"/>
      <c r="AU413" s="12"/>
      <c r="AV413" s="12"/>
      <c r="AW413" s="12"/>
      <c r="AX413" s="12"/>
      <c r="AY413" s="12"/>
      <c r="AZ413" s="12"/>
      <c r="BA413" s="12"/>
      <c r="BB413" s="12"/>
      <c r="BC413" s="12"/>
      <c r="BD413" s="40"/>
      <c r="BE413" s="40"/>
      <c r="BF413" s="13"/>
      <c r="BG413" s="13"/>
      <c r="BH413" s="13"/>
      <c r="BI413" s="14"/>
    </row>
    <row r="414" spans="1:61" hidden="1" collapsed="1">
      <c r="A414" s="212" t="s">
        <v>493</v>
      </c>
      <c r="B414" s="943"/>
      <c r="C414" s="943"/>
      <c r="D414" s="943"/>
      <c r="E414" s="14"/>
      <c r="F414" s="46" t="str">
        <f>J196</f>
        <v>elektriciteit</v>
      </c>
      <c r="G414" s="186">
        <f>INDEX(tabellen_EMD!$C$301:$R$306,MATCH($F414,tabellen_EMD!$C$301:$C$306,0),MATCH($P$24,tabellen_EMD!$C$301:$R$301,0))</f>
        <v>3.6199000000000002E-2</v>
      </c>
      <c r="H414" s="1366" t="str">
        <f>INDEX(tabellen_EMD!$C$301:$R$306,MATCH($F414,tabellen_EMD!$C$301:$C$306,0),MATCH($P$24&amp;" | eenheid",tabellen_EMD!$C$301:$R$301,0))</f>
        <v>euro/kWh</v>
      </c>
      <c r="I414" s="12"/>
      <c r="J414" s="1161">
        <f t="shared" ref="J414:K417" si="181">W196</f>
        <v>0</v>
      </c>
      <c r="K414" s="1366" t="str">
        <f t="shared" si="181"/>
        <v>kWh</v>
      </c>
      <c r="L414" s="39"/>
      <c r="M414" s="1161">
        <f t="shared" ref="M414:N419" si="182">M196</f>
        <v>0</v>
      </c>
      <c r="N414" s="1366" t="str">
        <f t="shared" si="182"/>
        <v>MJ</v>
      </c>
      <c r="O414" s="39"/>
      <c r="P414" s="1369">
        <f>J414*G414/$J$275</f>
        <v>0</v>
      </c>
      <c r="Q414" s="1366" t="s">
        <v>440</v>
      </c>
      <c r="R414" s="39"/>
      <c r="S414" s="1367">
        <f t="shared" ref="S414:S417" si="183">IFERROR(M414/$M$418,0%)</f>
        <v>0</v>
      </c>
      <c r="T414" s="1367">
        <f t="shared" ref="T414:T417" si="184">IFERROR(P414/$P$418,0%)</f>
        <v>0</v>
      </c>
      <c r="U414" s="39"/>
      <c r="V414" s="1379">
        <v>20000</v>
      </c>
      <c r="W414" s="1366" t="str">
        <f t="shared" ref="W414:W417" si="185">K414</f>
        <v>kWh</v>
      </c>
      <c r="X414" s="39"/>
      <c r="Y414" s="39"/>
      <c r="Z414" s="39"/>
      <c r="AA414" s="39"/>
      <c r="AB414" s="67"/>
      <c r="AC414" s="995"/>
      <c r="AD414" s="1428"/>
      <c r="AE414" s="1406"/>
      <c r="AF414" s="1406"/>
      <c r="AG414" s="1406"/>
      <c r="AH414" s="1406"/>
      <c r="AI414" s="1406"/>
      <c r="AJ414" s="1406"/>
      <c r="AK414" s="1406"/>
      <c r="AL414" s="1407"/>
      <c r="AM414" s="1407"/>
      <c r="AN414" s="995"/>
      <c r="AO414" s="995"/>
      <c r="AP414" s="995"/>
      <c r="AQ414" s="995"/>
      <c r="AR414" s="995"/>
      <c r="AS414" s="67"/>
      <c r="AT414" s="995"/>
      <c r="AU414" s="12"/>
      <c r="AV414" s="12"/>
      <c r="AW414" s="12"/>
      <c r="AX414" s="12"/>
      <c r="AY414" s="12"/>
      <c r="AZ414" s="12"/>
      <c r="BA414" s="12"/>
      <c r="BB414" s="12"/>
      <c r="BC414" s="12"/>
      <c r="BD414" s="40"/>
      <c r="BE414" s="40"/>
      <c r="BF414" s="13"/>
      <c r="BG414" s="13"/>
      <c r="BH414" s="13"/>
      <c r="BI414" s="14"/>
    </row>
    <row r="415" spans="1:61" hidden="1" collapsed="1">
      <c r="A415" s="212" t="s">
        <v>493</v>
      </c>
      <c r="B415" s="943"/>
      <c r="C415" s="943"/>
      <c r="D415" s="943"/>
      <c r="E415" s="14"/>
      <c r="F415" s="46" t="str">
        <f>J197</f>
        <v>elektriciteit opgewekt</v>
      </c>
      <c r="G415" s="186">
        <f>INDEX(tabellen_EMD!$C$301:$R$306,MATCH($F415,tabellen_EMD!$C$301:$C$306,0),MATCH($P$24,tabellen_EMD!$C$301:$R$301,0))</f>
        <v>-3.6199000000000002E-2</v>
      </c>
      <c r="H415" s="1366" t="str">
        <f>INDEX(tabellen_EMD!$C$301:$R$306,MATCH($F415,tabellen_EMD!$C$301:$C$306,0),MATCH($P$24&amp;" | eenheid",tabellen_EMD!$C$301:$R$301,0))</f>
        <v>euro/kWh</v>
      </c>
      <c r="I415" s="12"/>
      <c r="J415" s="1161">
        <f t="shared" si="181"/>
        <v>0</v>
      </c>
      <c r="K415" s="1366" t="str">
        <f t="shared" si="181"/>
        <v>kWh</v>
      </c>
      <c r="L415" s="39"/>
      <c r="M415" s="1161">
        <f t="shared" si="182"/>
        <v>0</v>
      </c>
      <c r="N415" s="1366" t="str">
        <f t="shared" si="182"/>
        <v>MJ</v>
      </c>
      <c r="O415" s="39"/>
      <c r="P415" s="1369">
        <f>J415*G415/$J$275</f>
        <v>0</v>
      </c>
      <c r="Q415" s="1366" t="s">
        <v>440</v>
      </c>
      <c r="R415" s="39"/>
      <c r="S415" s="1367">
        <f t="shared" si="183"/>
        <v>0</v>
      </c>
      <c r="T415" s="1367">
        <f t="shared" si="184"/>
        <v>0</v>
      </c>
      <c r="U415" s="39"/>
      <c r="V415" s="1379"/>
      <c r="W415" s="1366" t="str">
        <f t="shared" si="185"/>
        <v>kWh</v>
      </c>
      <c r="X415" s="39"/>
      <c r="Y415" s="39"/>
      <c r="Z415" s="39"/>
      <c r="AA415" s="39"/>
      <c r="AB415" s="67"/>
      <c r="AC415" s="995"/>
      <c r="AD415" s="1428"/>
      <c r="AE415" s="1406"/>
      <c r="AF415" s="1406"/>
      <c r="AG415" s="1406"/>
      <c r="AH415" s="1406"/>
      <c r="AI415" s="1406"/>
      <c r="AJ415" s="1406"/>
      <c r="AK415" s="1406"/>
      <c r="AL415" s="1407"/>
      <c r="AM415" s="1407"/>
      <c r="AN415" s="995"/>
      <c r="AO415" s="995"/>
      <c r="AP415" s="995"/>
      <c r="AQ415" s="995"/>
      <c r="AR415" s="995"/>
      <c r="AS415" s="67"/>
      <c r="AT415" s="995"/>
      <c r="AU415" s="12"/>
      <c r="AV415" s="12"/>
      <c r="AW415" s="12"/>
      <c r="AX415" s="12"/>
      <c r="AY415" s="12"/>
      <c r="AZ415" s="12"/>
      <c r="BA415" s="12"/>
      <c r="BB415" s="12"/>
      <c r="BC415" s="12"/>
      <c r="BD415" s="40"/>
      <c r="BE415" s="40"/>
      <c r="BF415" s="13"/>
      <c r="BG415" s="13"/>
      <c r="BH415" s="13"/>
      <c r="BI415" s="14"/>
    </row>
    <row r="416" spans="1:61" hidden="1" collapsed="1">
      <c r="A416" s="212" t="s">
        <v>493</v>
      </c>
      <c r="B416" s="943"/>
      <c r="C416" s="943"/>
      <c r="D416" s="943"/>
      <c r="E416" s="14"/>
      <c r="F416" s="46" t="str">
        <f>J198</f>
        <v>externe warmte</v>
      </c>
      <c r="G416" s="186">
        <f>INDEX(tabellen_EMD!$C$301:$R$306,MATCH($F416,tabellen_EMD!$C$301:$C$306,0),MATCH($P$24,tabellen_EMD!$C$301:$R$301,0))</f>
        <v>5.2314472561842482</v>
      </c>
      <c r="H416" s="1366" t="str">
        <f>INDEX(tabellen_EMD!$C$301:$R$306,MATCH($F416,tabellen_EMD!$C$301:$C$306,0),MATCH($P$24&amp;" | eenheid",tabellen_EMD!$C$301:$R$301,0))</f>
        <v>euro/GJ</v>
      </c>
      <c r="I416" s="12"/>
      <c r="J416" s="1161">
        <f t="shared" si="181"/>
        <v>0</v>
      </c>
      <c r="K416" s="1366" t="str">
        <f t="shared" si="181"/>
        <v>GJ</v>
      </c>
      <c r="L416" s="39"/>
      <c r="M416" s="1161">
        <f t="shared" si="182"/>
        <v>0</v>
      </c>
      <c r="N416" s="1366" t="str">
        <f t="shared" si="182"/>
        <v>MJ</v>
      </c>
      <c r="O416" s="39"/>
      <c r="P416" s="1369">
        <f>J416*G416/$J$275</f>
        <v>0</v>
      </c>
      <c r="Q416" s="1366" t="s">
        <v>440</v>
      </c>
      <c r="R416" s="39"/>
      <c r="S416" s="1367">
        <f t="shared" si="183"/>
        <v>0</v>
      </c>
      <c r="T416" s="1367">
        <f t="shared" si="184"/>
        <v>0</v>
      </c>
      <c r="U416" s="39"/>
      <c r="V416" s="1379">
        <f>30000*35/1000/1.775</f>
        <v>591.54929577464793</v>
      </c>
      <c r="W416" s="1366" t="str">
        <f t="shared" si="185"/>
        <v>GJ</v>
      </c>
      <c r="X416" s="39"/>
      <c r="Y416" s="39"/>
      <c r="Z416" s="39"/>
      <c r="AA416" s="39"/>
      <c r="AB416" s="67"/>
      <c r="AC416" s="995"/>
      <c r="AD416" s="1428"/>
      <c r="AE416" s="1406"/>
      <c r="AF416" s="1406"/>
      <c r="AG416" s="1406"/>
      <c r="AH416" s="1406"/>
      <c r="AI416" s="1406"/>
      <c r="AJ416" s="1406"/>
      <c r="AK416" s="1406"/>
      <c r="AL416" s="1407"/>
      <c r="AM416" s="1407"/>
      <c r="AN416" s="995"/>
      <c r="AO416" s="995"/>
      <c r="AP416" s="995"/>
      <c r="AQ416" s="995"/>
      <c r="AR416" s="995"/>
      <c r="AS416" s="67"/>
      <c r="AT416" s="995"/>
      <c r="AU416" s="12"/>
      <c r="AV416" s="12"/>
      <c r="AW416" s="12"/>
      <c r="AX416" s="12"/>
      <c r="AY416" s="12"/>
      <c r="AZ416" s="12"/>
      <c r="BA416" s="12"/>
      <c r="BB416" s="12"/>
      <c r="BC416" s="12"/>
      <c r="BD416" s="40"/>
      <c r="BE416" s="40"/>
      <c r="BF416" s="13"/>
      <c r="BG416" s="13"/>
      <c r="BH416" s="13"/>
      <c r="BI416" s="14"/>
    </row>
    <row r="417" spans="1:61" hidden="1" collapsed="1">
      <c r="A417" s="212" t="s">
        <v>493</v>
      </c>
      <c r="B417" s="943"/>
      <c r="C417" s="943"/>
      <c r="D417" s="943"/>
      <c r="E417" s="14"/>
      <c r="F417" s="46" t="str">
        <f>J199</f>
        <v>hout / biomassa</v>
      </c>
      <c r="G417" s="186">
        <f>INDEX(tabellen_EMD!$C$301:$R$306,MATCH($F417,tabellen_EMD!$C$301:$C$306,0),MATCH($P$24,tabellen_EMD!$C$301:$R$301,0))</f>
        <v>7.2647999999999992E-3</v>
      </c>
      <c r="H417" s="1366" t="str">
        <f>INDEX(tabellen_EMD!$C$301:$R$306,MATCH($F417,tabellen_EMD!$C$301:$C$306,0),MATCH($P$24&amp;" | eenheid",tabellen_EMD!$C$301:$R$301,0))</f>
        <v>euro/kg</v>
      </c>
      <c r="I417" s="12"/>
      <c r="J417" s="1161">
        <f t="shared" si="181"/>
        <v>0</v>
      </c>
      <c r="K417" s="1366" t="str">
        <f t="shared" si="181"/>
        <v>kWh</v>
      </c>
      <c r="L417" s="39"/>
      <c r="M417" s="1161">
        <f t="shared" si="182"/>
        <v>0</v>
      </c>
      <c r="N417" s="1366" t="str">
        <f t="shared" si="182"/>
        <v>MJ</v>
      </c>
      <c r="O417" s="39"/>
      <c r="P417" s="1369">
        <f>J417*G417/$J$275</f>
        <v>0</v>
      </c>
      <c r="Q417" s="1366" t="s">
        <v>440</v>
      </c>
      <c r="R417" s="39"/>
      <c r="S417" s="1367">
        <f t="shared" si="183"/>
        <v>0</v>
      </c>
      <c r="T417" s="1367">
        <f t="shared" si="184"/>
        <v>0</v>
      </c>
      <c r="U417" s="39"/>
      <c r="V417" s="1379"/>
      <c r="W417" s="1366" t="str">
        <f t="shared" si="185"/>
        <v>kWh</v>
      </c>
      <c r="X417" s="39"/>
      <c r="Y417" s="39"/>
      <c r="Z417" s="39"/>
      <c r="AA417" s="39"/>
      <c r="AB417" s="67"/>
      <c r="AC417" s="995"/>
      <c r="AD417" s="1428"/>
      <c r="AE417" s="1406"/>
      <c r="AF417" s="1406"/>
      <c r="AG417" s="1406"/>
      <c r="AH417" s="1406"/>
      <c r="AI417" s="1406"/>
      <c r="AJ417" s="1406"/>
      <c r="AK417" s="1406"/>
      <c r="AL417" s="1407"/>
      <c r="AM417" s="1407"/>
      <c r="AN417" s="995"/>
      <c r="AO417" s="995"/>
      <c r="AP417" s="995"/>
      <c r="AQ417" s="995"/>
      <c r="AR417" s="995"/>
      <c r="AS417" s="67"/>
      <c r="AT417" s="995"/>
      <c r="AU417" s="12"/>
      <c r="AV417" s="12"/>
      <c r="AW417" s="12"/>
      <c r="AX417" s="12"/>
      <c r="AY417" s="12"/>
      <c r="AZ417" s="12"/>
      <c r="BA417" s="12"/>
      <c r="BB417" s="12"/>
      <c r="BC417" s="12"/>
      <c r="BD417" s="40"/>
      <c r="BE417" s="40"/>
      <c r="BF417" s="13"/>
      <c r="BG417" s="13"/>
      <c r="BH417" s="13"/>
      <c r="BI417" s="14"/>
    </row>
    <row r="418" spans="1:61" hidden="1" collapsed="1">
      <c r="A418" s="212" t="s">
        <v>493</v>
      </c>
      <c r="B418" s="943"/>
      <c r="C418" s="943"/>
      <c r="D418" s="943"/>
      <c r="E418" s="14"/>
      <c r="F418" s="13"/>
      <c r="G418" s="13"/>
      <c r="H418" s="13"/>
      <c r="I418" s="12"/>
      <c r="J418" s="39"/>
      <c r="K418" s="40"/>
      <c r="L418" s="39"/>
      <c r="M418" s="1371">
        <f t="shared" si="182"/>
        <v>0</v>
      </c>
      <c r="N418" s="39" t="str">
        <f t="shared" si="182"/>
        <v>MJ</v>
      </c>
      <c r="O418" s="39"/>
      <c r="P418" s="1370">
        <f>SUM(P413:P417)</f>
        <v>0</v>
      </c>
      <c r="Q418" s="39" t="s">
        <v>440</v>
      </c>
      <c r="R418" s="39"/>
      <c r="S418" s="1372">
        <f>SUM(S413:S417)</f>
        <v>0</v>
      </c>
      <c r="T418" s="1372">
        <f>SUM(T413:T417)</f>
        <v>0</v>
      </c>
      <c r="U418" s="39"/>
      <c r="V418" s="39"/>
      <c r="W418" s="39"/>
      <c r="X418" s="39"/>
      <c r="Y418" s="39"/>
      <c r="Z418" s="39"/>
      <c r="AA418" s="39"/>
      <c r="AB418" s="67"/>
      <c r="AC418" s="995"/>
      <c r="AD418" s="1428"/>
      <c r="AE418" s="1406"/>
      <c r="AF418" s="1406"/>
      <c r="AG418" s="1406"/>
      <c r="AH418" s="1406"/>
      <c r="AI418" s="1406"/>
      <c r="AJ418" s="1406"/>
      <c r="AK418" s="1406"/>
      <c r="AL418" s="1407"/>
      <c r="AM418" s="1407"/>
      <c r="AN418" s="995"/>
      <c r="AO418" s="995"/>
      <c r="AP418" s="995"/>
      <c r="AQ418" s="995"/>
      <c r="AR418" s="995"/>
      <c r="AS418" s="67"/>
      <c r="AT418" s="995"/>
      <c r="AU418" s="12"/>
      <c r="AV418" s="12"/>
      <c r="AW418" s="12"/>
      <c r="AX418" s="12"/>
      <c r="AY418" s="12"/>
      <c r="AZ418" s="12"/>
      <c r="BA418" s="12"/>
      <c r="BB418" s="12"/>
      <c r="BC418" s="12"/>
      <c r="BD418" s="40"/>
      <c r="BE418" s="40"/>
      <c r="BF418" s="13"/>
      <c r="BG418" s="13"/>
      <c r="BH418" s="13"/>
      <c r="BI418" s="14"/>
    </row>
    <row r="419" spans="1:61" hidden="1">
      <c r="A419" s="212" t="s">
        <v>493</v>
      </c>
      <c r="B419" s="943"/>
      <c r="C419" s="943"/>
      <c r="D419" s="943"/>
      <c r="E419" s="14"/>
      <c r="F419" s="13"/>
      <c r="G419" s="13"/>
      <c r="H419" s="13"/>
      <c r="I419" s="12"/>
      <c r="J419" s="39"/>
      <c r="K419" s="40"/>
      <c r="L419" s="39"/>
      <c r="M419" s="980">
        <f t="shared" si="182"/>
        <v>0</v>
      </c>
      <c r="N419" s="909" t="str">
        <f t="shared" si="182"/>
        <v>MJ/m2</v>
      </c>
      <c r="O419" s="39"/>
      <c r="P419" s="1368"/>
      <c r="Q419" s="39"/>
      <c r="R419" s="39"/>
      <c r="S419" s="1372"/>
      <c r="T419" s="1372"/>
      <c r="U419" s="39"/>
      <c r="V419" s="39"/>
      <c r="W419" s="39"/>
      <c r="X419" s="39"/>
      <c r="Y419" s="39"/>
      <c r="Z419" s="39"/>
      <c r="AA419" s="39"/>
      <c r="AB419" s="67"/>
      <c r="AC419" s="995"/>
      <c r="AD419" s="1428"/>
      <c r="AE419" s="1406"/>
      <c r="AF419" s="1406"/>
      <c r="AG419" s="1406"/>
      <c r="AH419" s="1406"/>
      <c r="AI419" s="1406"/>
      <c r="AJ419" s="1406"/>
      <c r="AK419" s="1406"/>
      <c r="AL419" s="1407"/>
      <c r="AM419" s="1407"/>
      <c r="AN419" s="995"/>
      <c r="AO419" s="995"/>
      <c r="AP419" s="995"/>
      <c r="AQ419" s="995"/>
      <c r="AR419" s="995"/>
      <c r="AS419" s="67"/>
      <c r="AT419" s="995"/>
      <c r="AU419" s="12"/>
      <c r="AV419" s="12"/>
      <c r="AW419" s="12"/>
      <c r="AX419" s="12"/>
      <c r="AY419" s="12"/>
      <c r="AZ419" s="12"/>
      <c r="BA419" s="12"/>
      <c r="BB419" s="12"/>
      <c r="BC419" s="12"/>
      <c r="BD419" s="40"/>
      <c r="BE419" s="40"/>
      <c r="BF419" s="13"/>
      <c r="BG419" s="13"/>
      <c r="BH419" s="13"/>
      <c r="BI419" s="14"/>
    </row>
    <row r="420" spans="1:61" hidden="1" collapsed="1">
      <c r="A420" s="212" t="s">
        <v>493</v>
      </c>
      <c r="B420" s="943"/>
      <c r="C420" s="943"/>
      <c r="D420" s="943"/>
      <c r="E420" s="14"/>
      <c r="F420" s="41" t="s">
        <v>1692</v>
      </c>
      <c r="G420" s="13"/>
      <c r="H420" s="13"/>
      <c r="I420" s="12"/>
      <c r="J420" s="39"/>
      <c r="K420" s="40"/>
      <c r="L420" s="39"/>
      <c r="M420" s="980"/>
      <c r="N420" s="909"/>
      <c r="O420" s="39"/>
      <c r="P420" s="39"/>
      <c r="Q420" s="39"/>
      <c r="R420" s="39"/>
      <c r="S420" s="39"/>
      <c r="T420" s="39"/>
      <c r="U420" s="39"/>
      <c r="V420" s="39"/>
      <c r="W420" s="39"/>
      <c r="X420" s="39"/>
      <c r="Y420" s="39"/>
      <c r="Z420" s="39"/>
      <c r="AA420" s="39"/>
      <c r="AB420" s="67"/>
      <c r="AC420" s="995"/>
      <c r="AD420" s="1428"/>
      <c r="AE420" s="1406"/>
      <c r="AF420" s="1406"/>
      <c r="AG420" s="1406"/>
      <c r="AH420" s="1406"/>
      <c r="AI420" s="1406"/>
      <c r="AJ420" s="1406"/>
      <c r="AK420" s="1406"/>
      <c r="AL420" s="1407"/>
      <c r="AM420" s="1407"/>
      <c r="AN420" s="995"/>
      <c r="AO420" s="995"/>
      <c r="AP420" s="995"/>
      <c r="AQ420" s="995"/>
      <c r="AR420" s="995"/>
      <c r="AS420" s="67"/>
      <c r="AT420" s="995"/>
      <c r="AU420" s="12"/>
      <c r="AV420" s="12"/>
      <c r="AW420" s="12"/>
      <c r="AX420" s="12"/>
      <c r="AY420" s="12"/>
      <c r="AZ420" s="12"/>
      <c r="BA420" s="12"/>
      <c r="BB420" s="12"/>
      <c r="BC420" s="12"/>
      <c r="BD420" s="40"/>
      <c r="BE420" s="40"/>
      <c r="BF420" s="13"/>
      <c r="BG420" s="13"/>
      <c r="BH420" s="13"/>
      <c r="BI420" s="14"/>
    </row>
    <row r="421" spans="1:61" hidden="1" collapsed="1">
      <c r="A421" s="212" t="s">
        <v>493</v>
      </c>
      <c r="B421" s="943"/>
      <c r="C421" s="943"/>
      <c r="D421" s="943"/>
      <c r="E421" s="14"/>
      <c r="F421" s="892" t="s">
        <v>434</v>
      </c>
      <c r="G421" s="892"/>
      <c r="H421" s="892"/>
      <c r="I421" s="892"/>
      <c r="J421" s="892"/>
      <c r="K421" s="892"/>
      <c r="L421" s="892"/>
      <c r="M421" s="892" t="s">
        <v>1698</v>
      </c>
      <c r="N421" s="892"/>
      <c r="O421" s="892"/>
      <c r="P421" s="892" t="s">
        <v>1693</v>
      </c>
      <c r="Q421" s="892"/>
      <c r="R421" s="892"/>
      <c r="S421" s="892" t="s">
        <v>1697</v>
      </c>
      <c r="T421" s="892"/>
      <c r="U421" s="39"/>
      <c r="V421" s="39"/>
      <c r="W421" s="39"/>
      <c r="X421" s="39"/>
      <c r="Y421" s="39"/>
      <c r="Z421" s="39"/>
      <c r="AA421" s="39"/>
      <c r="AB421" s="67"/>
      <c r="AC421" s="995"/>
      <c r="AD421" s="1428"/>
      <c r="AE421" s="1406"/>
      <c r="AF421" s="1406"/>
      <c r="AG421" s="1406"/>
      <c r="AH421" s="1406"/>
      <c r="AI421" s="1406"/>
      <c r="AJ421" s="1406"/>
      <c r="AK421" s="1406"/>
      <c r="AL421" s="1407"/>
      <c r="AM421" s="1407"/>
      <c r="AN421" s="995"/>
      <c r="AO421" s="995"/>
      <c r="AP421" s="995"/>
      <c r="AQ421" s="995"/>
      <c r="AR421" s="995"/>
      <c r="AS421" s="67"/>
      <c r="AT421" s="995"/>
      <c r="AU421" s="12"/>
      <c r="AV421" s="12"/>
      <c r="AW421" s="12"/>
      <c r="AX421" s="12"/>
      <c r="AY421" s="12"/>
      <c r="AZ421" s="12"/>
      <c r="BA421" s="12"/>
      <c r="BB421" s="12"/>
      <c r="BC421" s="12"/>
      <c r="BD421" s="40"/>
      <c r="BE421" s="40"/>
      <c r="BF421" s="13"/>
      <c r="BG421" s="13"/>
      <c r="BH421" s="13"/>
      <c r="BI421" s="14"/>
    </row>
    <row r="422" spans="1:61" hidden="1" collapsed="1">
      <c r="A422" s="212" t="s">
        <v>493</v>
      </c>
      <c r="B422" s="943"/>
      <c r="C422" s="943"/>
      <c r="D422" s="943"/>
      <c r="E422" s="14"/>
      <c r="F422" s="46" t="s">
        <v>1696</v>
      </c>
      <c r="G422" s="186"/>
      <c r="H422" s="1366"/>
      <c r="I422" s="12"/>
      <c r="J422" s="186"/>
      <c r="K422" s="218" t="s">
        <v>1699</v>
      </c>
      <c r="L422" s="39"/>
      <c r="M422" s="1369">
        <f>AG35</f>
        <v>9.0734999277903778</v>
      </c>
      <c r="N422" s="1366"/>
      <c r="O422" s="39"/>
      <c r="P422" s="1369">
        <f>P418</f>
        <v>0</v>
      </c>
      <c r="Q422" s="1366" t="s">
        <v>440</v>
      </c>
      <c r="R422" s="39"/>
      <c r="S422" s="1367">
        <f>IFERROR(P422/$P$424,0%)</f>
        <v>0</v>
      </c>
      <c r="T422" s="892"/>
      <c r="U422" s="39"/>
      <c r="V422" s="39"/>
      <c r="W422" s="39"/>
      <c r="X422" s="39"/>
      <c r="Y422" s="39"/>
      <c r="Z422" s="39"/>
      <c r="AA422" s="39"/>
      <c r="AB422" s="67"/>
      <c r="AC422" s="995"/>
      <c r="AD422" s="1428"/>
      <c r="AE422" s="1406"/>
      <c r="AF422" s="1406"/>
      <c r="AG422" s="1406"/>
      <c r="AH422" s="1406"/>
      <c r="AI422" s="1406"/>
      <c r="AJ422" s="1406"/>
      <c r="AK422" s="1406"/>
      <c r="AL422" s="1407"/>
      <c r="AM422" s="1407"/>
      <c r="AN422" s="995"/>
      <c r="AO422" s="995"/>
      <c r="AP422" s="995"/>
      <c r="AQ422" s="995"/>
      <c r="AR422" s="995"/>
      <c r="AS422" s="67"/>
      <c r="AT422" s="995"/>
      <c r="AU422" s="12"/>
      <c r="AV422" s="12"/>
      <c r="AW422" s="12"/>
      <c r="AX422" s="12"/>
      <c r="AY422" s="12"/>
      <c r="AZ422" s="12"/>
      <c r="BA422" s="12"/>
      <c r="BB422" s="12"/>
      <c r="BC422" s="12"/>
      <c r="BD422" s="40"/>
      <c r="BE422" s="40"/>
      <c r="BF422" s="13"/>
      <c r="BG422" s="13"/>
      <c r="BH422" s="13"/>
      <c r="BI422" s="14"/>
    </row>
    <row r="423" spans="1:61" hidden="1" collapsed="1">
      <c r="A423" s="212" t="s">
        <v>493</v>
      </c>
      <c r="B423" s="943"/>
      <c r="C423" s="943"/>
      <c r="D423" s="943"/>
      <c r="E423" s="14"/>
      <c r="F423" s="46" t="s">
        <v>1695</v>
      </c>
      <c r="G423" s="186"/>
      <c r="H423" s="1366"/>
      <c r="I423" s="12"/>
      <c r="J423" s="186"/>
      <c r="K423" s="218" t="s">
        <v>1700</v>
      </c>
      <c r="L423" s="39"/>
      <c r="M423" s="1369">
        <f>AH272</f>
        <v>0</v>
      </c>
      <c r="N423" s="1366"/>
      <c r="O423" s="39"/>
      <c r="P423" s="1369">
        <f>J272</f>
        <v>0</v>
      </c>
      <c r="Q423" s="1366" t="s">
        <v>440</v>
      </c>
      <c r="R423" s="39"/>
      <c r="S423" s="1367">
        <f t="shared" ref="S423:S424" si="186">IFERROR(P423/$P$424,0%)</f>
        <v>0</v>
      </c>
      <c r="T423" s="892"/>
      <c r="U423" s="39"/>
      <c r="V423" s="39"/>
      <c r="W423" s="39"/>
      <c r="X423" s="39"/>
      <c r="Y423" s="39"/>
      <c r="Z423" s="39"/>
      <c r="AA423" s="39"/>
      <c r="AB423" s="67"/>
      <c r="AC423" s="995"/>
      <c r="AD423" s="1428"/>
      <c r="AE423" s="1406"/>
      <c r="AF423" s="1406"/>
      <c r="AG423" s="1406"/>
      <c r="AH423" s="1406"/>
      <c r="AI423" s="1406"/>
      <c r="AJ423" s="1406"/>
      <c r="AK423" s="1406"/>
      <c r="AL423" s="1407"/>
      <c r="AM423" s="1407"/>
      <c r="AN423" s="995"/>
      <c r="AO423" s="995"/>
      <c r="AP423" s="995"/>
      <c r="AQ423" s="995"/>
      <c r="AR423" s="995"/>
      <c r="AS423" s="67"/>
      <c r="AT423" s="995"/>
      <c r="AU423" s="12"/>
      <c r="AV423" s="12"/>
      <c r="AW423" s="12"/>
      <c r="AX423" s="12"/>
      <c r="AY423" s="12"/>
      <c r="AZ423" s="12"/>
      <c r="BA423" s="12"/>
      <c r="BB423" s="12"/>
      <c r="BC423" s="12"/>
      <c r="BD423" s="40"/>
      <c r="BE423" s="40"/>
      <c r="BF423" s="13"/>
      <c r="BG423" s="13"/>
      <c r="BH423" s="13"/>
      <c r="BI423" s="14"/>
    </row>
    <row r="424" spans="1:61" hidden="1" collapsed="1">
      <c r="A424" s="212" t="s">
        <v>493</v>
      </c>
      <c r="B424" s="943"/>
      <c r="C424" s="943"/>
      <c r="D424" s="943"/>
      <c r="E424" s="14"/>
      <c r="F424" s="453" t="s">
        <v>1702</v>
      </c>
      <c r="G424" s="13"/>
      <c r="H424" s="13"/>
      <c r="I424" s="12"/>
      <c r="J424" s="39"/>
      <c r="K424" s="40" t="s">
        <v>1701</v>
      </c>
      <c r="L424" s="39"/>
      <c r="M424" s="1370">
        <f>AG220</f>
        <v>9.9536653965742641</v>
      </c>
      <c r="N424" s="39"/>
      <c r="O424" s="39"/>
      <c r="P424" s="1370">
        <f>SUM(P422:P423)</f>
        <v>0</v>
      </c>
      <c r="Q424" s="39" t="s">
        <v>440</v>
      </c>
      <c r="R424" s="39"/>
      <c r="S424" s="1372">
        <f t="shared" si="186"/>
        <v>0</v>
      </c>
      <c r="T424" s="892"/>
      <c r="U424" s="39"/>
      <c r="V424" s="39"/>
      <c r="W424" s="39"/>
      <c r="X424" s="39"/>
      <c r="Y424" s="39"/>
      <c r="Z424" s="39"/>
      <c r="AA424" s="39"/>
      <c r="AB424" s="67"/>
      <c r="AC424" s="995"/>
      <c r="AD424" s="1428"/>
      <c r="AE424" s="1406"/>
      <c r="AF424" s="1406"/>
      <c r="AG424" s="1406"/>
      <c r="AH424" s="1406"/>
      <c r="AI424" s="1406"/>
      <c r="AJ424" s="1406"/>
      <c r="AK424" s="1406"/>
      <c r="AL424" s="1407"/>
      <c r="AM424" s="1407"/>
      <c r="AN424" s="995"/>
      <c r="AO424" s="995"/>
      <c r="AP424" s="995"/>
      <c r="AQ424" s="995"/>
      <c r="AR424" s="995"/>
      <c r="AS424" s="67"/>
      <c r="AT424" s="995"/>
      <c r="AU424" s="12"/>
      <c r="AV424" s="12"/>
      <c r="AW424" s="12"/>
      <c r="AX424" s="12"/>
      <c r="AY424" s="12"/>
      <c r="AZ424" s="12"/>
      <c r="BA424" s="12"/>
      <c r="BB424" s="12"/>
      <c r="BC424" s="12"/>
      <c r="BD424" s="40"/>
      <c r="BE424" s="40"/>
      <c r="BF424" s="13"/>
      <c r="BG424" s="13"/>
      <c r="BH424" s="13"/>
      <c r="BI424" s="14"/>
    </row>
  </sheetData>
  <sheetProtection sheet="1" objects="1" scenarios="1" formatRows="0"/>
  <autoFilter ref="B62:C221" xr:uid="{922B2D3A-1A8F-4D90-80AB-155C85D1CC9C}">
    <filterColumn colId="1">
      <filters>
        <filter val="NEN 7120"/>
      </filters>
    </filterColumn>
  </autoFilter>
  <mergeCells count="105">
    <mergeCell ref="E3:F3"/>
    <mergeCell ref="G22:K22"/>
    <mergeCell ref="P22:Q22"/>
    <mergeCell ref="G23:K23"/>
    <mergeCell ref="P23:Q23"/>
    <mergeCell ref="G24:K24"/>
    <mergeCell ref="P24:Q24"/>
    <mergeCell ref="J65:K65"/>
    <mergeCell ref="J66:K66"/>
    <mergeCell ref="J67:K67"/>
    <mergeCell ref="J68:K68"/>
    <mergeCell ref="J69:K69"/>
    <mergeCell ref="J70:K70"/>
    <mergeCell ref="G25:K25"/>
    <mergeCell ref="P25:Q25"/>
    <mergeCell ref="G26:K26"/>
    <mergeCell ref="P26:Q26"/>
    <mergeCell ref="G27:K27"/>
    <mergeCell ref="P27:Q27"/>
    <mergeCell ref="J82:K82"/>
    <mergeCell ref="J88:K88"/>
    <mergeCell ref="J89:K89"/>
    <mergeCell ref="J90:K90"/>
    <mergeCell ref="J91:K91"/>
    <mergeCell ref="J92:K92"/>
    <mergeCell ref="J71:K71"/>
    <mergeCell ref="J72:K72"/>
    <mergeCell ref="J73:K73"/>
    <mergeCell ref="J74:K74"/>
    <mergeCell ref="J80:K80"/>
    <mergeCell ref="J81:K81"/>
    <mergeCell ref="J100:K100"/>
    <mergeCell ref="J102:K102"/>
    <mergeCell ref="J103:K103"/>
    <mergeCell ref="J109:K109"/>
    <mergeCell ref="J110:K110"/>
    <mergeCell ref="J111:K111"/>
    <mergeCell ref="J93:K93"/>
    <mergeCell ref="J94:K94"/>
    <mergeCell ref="J95:K95"/>
    <mergeCell ref="J96:K96"/>
    <mergeCell ref="J97:K97"/>
    <mergeCell ref="J98:K98"/>
    <mergeCell ref="J118:K118"/>
    <mergeCell ref="J119:K119"/>
    <mergeCell ref="J120:K120"/>
    <mergeCell ref="J126:K126"/>
    <mergeCell ref="J128:K128"/>
    <mergeCell ref="J129:K129"/>
    <mergeCell ref="J112:K112"/>
    <mergeCell ref="J113:K113"/>
    <mergeCell ref="J114:K114"/>
    <mergeCell ref="J115:K115"/>
    <mergeCell ref="J116:K116"/>
    <mergeCell ref="J117:K117"/>
    <mergeCell ref="J141:K141"/>
    <mergeCell ref="J142:K142"/>
    <mergeCell ref="J143:K143"/>
    <mergeCell ref="J144:K144"/>
    <mergeCell ref="J145:K145"/>
    <mergeCell ref="J146:K146"/>
    <mergeCell ref="J130:K130"/>
    <mergeCell ref="J131:K131"/>
    <mergeCell ref="J132:K132"/>
    <mergeCell ref="J138:K138"/>
    <mergeCell ref="J139:K139"/>
    <mergeCell ref="J140:K140"/>
    <mergeCell ref="J158:K158"/>
    <mergeCell ref="J159:K159"/>
    <mergeCell ref="J160:K160"/>
    <mergeCell ref="J161:K161"/>
    <mergeCell ref="J163:K163"/>
    <mergeCell ref="J164:K164"/>
    <mergeCell ref="J147:K147"/>
    <mergeCell ref="J153:K153"/>
    <mergeCell ref="J154:K154"/>
    <mergeCell ref="J155:K155"/>
    <mergeCell ref="J156:K156"/>
    <mergeCell ref="J157:K157"/>
    <mergeCell ref="J177:K177"/>
    <mergeCell ref="J183:K183"/>
    <mergeCell ref="J184:K184"/>
    <mergeCell ref="J185:K185"/>
    <mergeCell ref="J186:K186"/>
    <mergeCell ref="J187:K187"/>
    <mergeCell ref="J165:K165"/>
    <mergeCell ref="J171:K171"/>
    <mergeCell ref="J173:K173"/>
    <mergeCell ref="J174:K174"/>
    <mergeCell ref="J175:K175"/>
    <mergeCell ref="J176:K176"/>
    <mergeCell ref="L306:M306"/>
    <mergeCell ref="Y306:Z306"/>
    <mergeCell ref="J199:K199"/>
    <mergeCell ref="AE222:AE223"/>
    <mergeCell ref="AG222:AH223"/>
    <mergeCell ref="AJ222:AL223"/>
    <mergeCell ref="AN222:AP223"/>
    <mergeCell ref="AG273:AH273"/>
    <mergeCell ref="J188:K188"/>
    <mergeCell ref="J189:K189"/>
    <mergeCell ref="J195:K195"/>
    <mergeCell ref="J196:K196"/>
    <mergeCell ref="J197:K197"/>
    <mergeCell ref="J198:K198"/>
  </mergeCells>
  <conditionalFormatting sqref="A63:AC180 AS4:AS28 AS63:BI180">
    <cfRule type="expression" dxfId="174" priority="15">
      <formula>$B4&lt;&gt;$P$23</formula>
    </cfRule>
  </conditionalFormatting>
  <conditionalFormatting sqref="B33:K34">
    <cfRule type="expression" dxfId="173" priority="12">
      <formula>$C33&lt;&gt;$C$35</formula>
    </cfRule>
  </conditionalFormatting>
  <conditionalFormatting sqref="F36:H36">
    <cfRule type="expression" dxfId="172" priority="1">
      <formula>$C36&lt;&gt;$P$22</formula>
    </cfRule>
  </conditionalFormatting>
  <conditionalFormatting sqref="G209:H220 J209:K220 G236:H247 J236:K247 M236:M247">
    <cfRule type="expression" dxfId="171" priority="20">
      <formula>G209&lt;&gt;""</formula>
    </cfRule>
  </conditionalFormatting>
  <conditionalFormatting sqref="G256:H267 J256:K267 G269:H269 J269:K269">
    <cfRule type="expression" dxfId="170" priority="18">
      <formula>G256&lt;&gt;""</formula>
    </cfRule>
  </conditionalFormatting>
  <conditionalFormatting sqref="J76 M76 X76 Z76 J84 M84 X84 Z84 J105 M105 X105 Z105 J122 M122 X122 Z122 J134 M134 X134 Z134 J149 M149 X149 Z149 J167 M167 X167 Z167 J179 M179 X179 Z179 J191 M191 X191 Z191 J201 M201 X201 Z201">
    <cfRule type="expression" dxfId="169" priority="23">
      <formula>AND(J76=FALSE,$B76=$P$23)</formula>
    </cfRule>
  </conditionalFormatting>
  <conditionalFormatting sqref="J307:J318 P307:P318 S307:S318 AA307:AA318 P320 S320 AA320">
    <cfRule type="expression" dxfId="168" priority="22">
      <formula>J307&lt;&gt;$J$320</formula>
    </cfRule>
  </conditionalFormatting>
  <conditionalFormatting sqref="J329:J340 Q329:Q340">
    <cfRule type="expression" dxfId="167" priority="26">
      <formula>AND($J44&lt;&gt;"",$J44&gt;0)</formula>
    </cfRule>
  </conditionalFormatting>
  <conditionalFormatting sqref="K320:L320">
    <cfRule type="expression" dxfId="166" priority="21">
      <formula>K320&lt;&gt;$J$35</formula>
    </cfRule>
  </conditionalFormatting>
  <conditionalFormatting sqref="M44:M55 P44:P55 S44:S55">
    <cfRule type="expression" dxfId="165" priority="24">
      <formula>AND($J44&lt;&gt;"",$J44&gt;0,M44&lt;&gt;"")</formula>
    </cfRule>
  </conditionalFormatting>
  <conditionalFormatting sqref="M372:M383">
    <cfRule type="expression" dxfId="164" priority="30">
      <formula>M372&lt;&gt;$AG$220</formula>
    </cfRule>
  </conditionalFormatting>
  <conditionalFormatting sqref="M209:N220">
    <cfRule type="expression" dxfId="163" priority="19">
      <formula>M209&lt;&gt;""</formula>
    </cfRule>
  </conditionalFormatting>
  <conditionalFormatting sqref="M256:N267 M269:N269">
    <cfRule type="expression" dxfId="162" priority="17">
      <formula>M256&lt;&gt;""</formula>
    </cfRule>
  </conditionalFormatting>
  <conditionalFormatting sqref="M350:N361">
    <cfRule type="expression" dxfId="161" priority="25">
      <formula>AND($J44&lt;&gt;"",$J44&gt;0)</formula>
    </cfRule>
  </conditionalFormatting>
  <conditionalFormatting sqref="P23">
    <cfRule type="expression" dxfId="160" priority="31">
      <formula>ISERROR(MATCH($P$23,$AV$52:$AV$55,0)=TRUE)</formula>
    </cfRule>
  </conditionalFormatting>
  <conditionalFormatting sqref="P24">
    <cfRule type="expression" dxfId="159" priority="7">
      <formula>ISERROR(MATCH(P24,GPR_Versies,0))=TRUE</formula>
    </cfRule>
  </conditionalFormatting>
  <conditionalFormatting sqref="P25">
    <cfRule type="expression" dxfId="158" priority="9">
      <formula>ISERROR(MATCH(P25,GPR_scope,0))=TRUE</formula>
    </cfRule>
  </conditionalFormatting>
  <conditionalFormatting sqref="P26">
    <cfRule type="expression" dxfId="157" priority="10">
      <formula>AND(P26&lt;&gt;"",ISERROR(MATCH(P26,GPR_scope_W_U,0))=TRUE)</formula>
    </cfRule>
  </conditionalFormatting>
  <conditionalFormatting sqref="P27">
    <cfRule type="expression" dxfId="156" priority="27">
      <formula>ISERROR(MATCH(P27,$AZ$33:$AZ$35,0))=TRUE</formula>
    </cfRule>
  </conditionalFormatting>
  <conditionalFormatting sqref="P65:P67 V65:V67 V82 P88 V88 P90 V90 P92 V92 P109 V109 P111 V111 P113 V113 P130:P132 V130:V132 P139:P141 V139:V141 P153 V153 P155 V155 P157 V157 P175:P177 V176:V177">
    <cfRule type="expression" dxfId="155" priority="3">
      <formula>$BA65&lt;&gt;1</formula>
    </cfRule>
  </conditionalFormatting>
  <conditionalFormatting sqref="P65:P67 V65:V67 V82 P88 V88 P90 V90 P92 V92 P109 V109 P111 V111:V113 P113 P130:P132 V130:V132 P139:P141 V139:V141 P153 V153 P155 V155 P157 V157 P175:P177 V176:V177">
    <cfRule type="expression" dxfId="154" priority="16">
      <formula>$BA65=1</formula>
    </cfRule>
  </conditionalFormatting>
  <conditionalFormatting sqref="P209:Q220 S209:T220">
    <cfRule type="expression" dxfId="153" priority="5">
      <formula>P209&lt;&gt;""</formula>
    </cfRule>
  </conditionalFormatting>
  <conditionalFormatting sqref="R23">
    <cfRule type="expression" dxfId="152" priority="29">
      <formula>ISERROR(MATCH(P23,$AV$52:$AV$55,0))=TRUE</formula>
    </cfRule>
  </conditionalFormatting>
  <conditionalFormatting sqref="R24">
    <cfRule type="expression" dxfId="151" priority="8">
      <formula>ISERROR(MATCH(P24,GPR_Versies,0))=TRUE</formula>
    </cfRule>
  </conditionalFormatting>
  <conditionalFormatting sqref="R27">
    <cfRule type="expression" dxfId="150" priority="28">
      <formula>ISERROR(MATCH(P27,$AZ$33:$AZ$35,0))=TRUE</formula>
    </cfRule>
  </conditionalFormatting>
  <conditionalFormatting sqref="V209:W220">
    <cfRule type="expression" dxfId="149" priority="4">
      <formula>V209&lt;&gt;""</formula>
    </cfRule>
  </conditionalFormatting>
  <conditionalFormatting sqref="AE273:AH274">
    <cfRule type="expression" dxfId="148" priority="11">
      <formula>$P$24=GPR4.3</formula>
    </cfRule>
  </conditionalFormatting>
  <conditionalFormatting sqref="AG273">
    <cfRule type="expression" dxfId="147" priority="14">
      <formula>AND(AG273&lt;&gt;"",ISERROR(MATCH(AG273,Gebruiksfuncties,0))=TRUE)</formula>
    </cfRule>
  </conditionalFormatting>
  <conditionalFormatting sqref="AG43:AH43">
    <cfRule type="expression" dxfId="146" priority="13">
      <formula>$J43=0</formula>
    </cfRule>
  </conditionalFormatting>
  <conditionalFormatting sqref="AJ43">
    <cfRule type="expression" dxfId="145" priority="2">
      <formula>$J43=0</formula>
    </cfRule>
  </conditionalFormatting>
  <conditionalFormatting sqref="AS30:AS56">
    <cfRule type="expression" dxfId="144" priority="6">
      <formula>$B30&lt;&gt;$P$23</formula>
    </cfRule>
  </conditionalFormatting>
  <dataValidations count="47">
    <dataValidation allowBlank="1" showInputMessage="1" showErrorMessage="1" promptTitle="EP2-eisen Bbl" prompt="EP2-eisen gelden per 1-1-2021 en per gebruiksfunctie. Voor een gebouw is de eis het naar gebruiksoppervlakte gewogen gemiddelde van de eis per functie._x000a__x000a_https://wetten.overheid.nl/BWBR0041297/2024-01-01/0#Hoofdstuk4_Afdeling4.4_Paragraaf4.4.1. _x000a_" sqref="A36" xr:uid="{95BAAA27-8475-4AD7-AF08-BBE800F6A0B5}"/>
    <dataValidation allowBlank="1" showInputMessage="1" showErrorMessage="1" promptTitle="EP2-eisen Bbl" prompt="Zie https://wetten.overheid.nl/BWBR0041297/2024-01-01/0#Hoofdstuk4_Afdeling4.4_Paragraaf4.4.1" sqref="AK43" xr:uid="{E8BF46D5-D923-454A-B6F2-E1CC0C857EF3}"/>
    <dataValidation type="list" allowBlank="1" showInputMessage="1" showErrorMessage="1" sqref="P26:Q26" xr:uid="{42E53B8D-BE96-4528-8CE4-F9B041D97294}">
      <formula1>_xlfn.ANCHORARRAY(GPR_scope_W_U_keuzelijst)</formula1>
    </dataValidation>
    <dataValidation type="list" allowBlank="1" showInputMessage="1" showErrorMessage="1" sqref="P25:Q25" xr:uid="{17EA9305-FB5A-4D53-AE10-ABA33A5C85E4}">
      <formula1>_xlfn.ANCHORARRAY(GPR_scope_keuzelijst)</formula1>
    </dataValidation>
    <dataValidation type="list" allowBlank="1" showInputMessage="1" showErrorMessage="1" sqref="P24:Q24" xr:uid="{9EB0214F-7254-49EB-B823-1CB9392BA6DC}">
      <formula1>_xlfn.ANCHORARRAY(GPR_versie_keuzelijst)</formula1>
    </dataValidation>
    <dataValidation allowBlank="1" showInputMessage="1" showErrorMessage="1" promptTitle="Versie GPR Gebouw" prompt="Kies een versie van GPR Gebouw. De keuze heeft gevolgen voor de inijking (verband tussen berekend energiegebruik en score in GPR ). Ook wordt hiermee bepaald wat de mogelijke 'uitvoer' is van deze rekensheet, aansluitend bij de mogelijkheden in GPR Gebouw" sqref="L24" xr:uid="{94B81A06-9B4F-40EA-B354-1D568A205C3A}"/>
    <dataValidation allowBlank="1" showInputMessage="1" showErrorMessage="1" promptTitle="Bepalingsmethode" prompt="Kies hier met welke bepalingsmethode de EP-berekening is gemaakt. Keuze voor de methode heeft gevolgen voor de inijking van de score (het verband tussen berekend energiegebruik en de score in GPR Gebouw). " sqref="L22" xr:uid="{CF23485F-517D-48F8-95B5-E230C2624CA8}"/>
    <dataValidation type="list" allowBlank="1" showInputMessage="1" showErrorMessage="1" sqref="P23:Q23" xr:uid="{F97615B1-5319-4787-9ABF-8DF357AD3D8C}">
      <formula1>_xlfn.ANCHORARRAY($AV$52)</formula1>
    </dataValidation>
    <dataValidation type="list" allowBlank="1" showInputMessage="1" showErrorMessage="1" sqref="P27:Q27" xr:uid="{7EA35E84-7CE8-499C-B401-8153AF0AAF15}">
      <formula1>_xlfn.ANCHORARRAY($AZ$33)</formula1>
    </dataValidation>
    <dataValidation allowBlank="1" showInputMessage="1" showErrorMessage="1" promptTitle="Primair energiegebruik" prompt="Neem het berekend primair energiegebruik uit de energieprestatieberekening hier over. Let op: Er is geen automatische koppeling met de hieronder in te voeren niet-primaire gebruiken / meterstanden tbv de DPG/Klimaatmonitor._x000a_" sqref="A33" xr:uid="{D32166E7-1297-402B-A029-264E3364DA67}"/>
    <dataValidation allowBlank="1" showInputMessage="1" showErrorMessage="1" promptTitle="Oppervlakte" prompt="Voor EP2 en CO2 is dit gebruiksoppervlakte (Ag of GO), voor MPG en DPG is dit bruto vloeroppervlakte (BVO)" sqref="AD39 AD233:AD256 AD208:AD209 AE233:AR255 AD225:AE225 AD274 AD272 AD227:AR230" xr:uid="{EF8DE30D-EA18-486A-883B-64291954770B}"/>
    <dataValidation allowBlank="1" showInputMessage="1" showErrorMessage="1" promptTitle="MPG - klimaatverandering" prompt="Resultaat van het milieueffect 'klimaatverandering'/ 'global warming potential' overnemen uit een MPG-berekening. " sqref="A274:A275" xr:uid="{87E7FE84-3713-4859-A770-0BE364C176FE}"/>
    <dataValidation allowBlank="1" showInputMessage="1" showErrorMessage="1" promptTitle="Duurzaamheidsprestatie Gebouw" prompt="De DuurzaamheidsPrestatie Gebouw (DPG) is een integrale evaluatie van de energieprestatie (subthema 1.1) en milieuprestatie (subthema 2.1/2.1.1). Hiertoe zijn op zowel het energie- als het materiaalgebruik de levensloopbeoordeling (LCA) toegepast." sqref="AD212 AD259" xr:uid="{8ABBCB8C-9522-4056-B4C7-61D70A7AD678}"/>
    <dataValidation allowBlank="1" showInputMessage="1" showErrorMessage="1" promptTitle="DPG-index" prompt="De DPG-index is de som van de mileu-effecten (in euro/m2 BVO) van energie-gebruik (EP2*) en materiaal-gebruik (MPG)." sqref="AD218 AD265" xr:uid="{190D1805-317C-4F01-81BB-D51914CA6A3E}"/>
    <dataValidation allowBlank="1" showInputMessage="1" showErrorMessage="1" promptTitle="Grenswaarde DPG = 10" prompt="Grenswaarde wordt bepaald door het energie- en materiaalgebruik bij GPR score van 10 op de subthema's energieprestatie en materiaalprestatie." sqref="AD214 AD261" xr:uid="{FD9657C8-6252-475F-A678-F31002994C66}"/>
    <dataValidation allowBlank="1" showInputMessage="1" showErrorMessage="1" promptTitle="Grenswaarde DPG = 6" prompt="Grenswaarde wordt bepaald door het energie- en materiaalgebruik bij GPR score van 6 op de subthema's energieprestatie en materiaalprestatie." sqref="AD213 AD260" xr:uid="{957FDFB6-D133-4741-9225-E2F784D8755D}"/>
    <dataValidation allowBlank="1" showInputMessage="1" showErrorMessage="1" promptTitle="DPG-score" prompt="Dit is de resulterende DPG-score." sqref="AD220 AD267 AD269" xr:uid="{0B5D70E4-1DF0-4999-ACBD-9555F74DBE71}"/>
    <dataValidation allowBlank="1" showInputMessage="1" showErrorMessage="1" promptTitle="Milieuprestatie Gebouw (MPG)" prompt="Voor een correcte berekening van de DPG-score moet de MPG van het gebouw worden ingevuld. _x000a_Daaronder wordt ook de score uitgerekend op subthema '2.1 Milieuprestatie (MPG)' voor GPR Gebouw 4.3 / subthema '2.1.1 Bescherming milieu' voor GPR Gebouw 4.4" sqref="A271" xr:uid="{1EAB3071-A67F-42D1-92CC-EDE4F60C428F}"/>
    <dataValidation allowBlank="1" showInputMessage="1" showErrorMessage="1" promptTitle="Niet-gebouwgebonden" prompt="Het energiegebruik voor niet-gebouwgebonden elektrische installaties (televisie, beeldschermen e.d.) wordt in het Bouwbesluit en in GPR Gebouw buiten beschouwing gelaten." sqref="A66" xr:uid="{1A7241D2-B2EE-4243-B4D8-0DCC7E42381C}"/>
    <dataValidation allowBlank="1" showInputMessage="1" showErrorMessage="1" promptTitle="Bronmethode" prompt="Bronmethode legt de grenzen van de inijking vast. _x000a_GPR 4.3: nieuwbouw 2006 en EPC/EP2=0_x000a_GPR 4.4: nieuwbouw 2006 en NOM_x000a_" sqref="E303" xr:uid="{55062D7C-E20C-43EC-B91C-CC76FBCD0A6E}"/>
    <dataValidation allowBlank="1" showInputMessage="1" showErrorMessage="1" promptTitle="Zon, WKK of wind" prompt="Het onderscheid tussen opgewekte stroom door PV, wind of WKK is niet eenvoudig uit de berekeningen te halen en daarom samengevoegd bij: opwekking pv / wkk." sqref="J204:J207 J224 J226:K229 S204:S207" xr:uid="{7E359C21-9788-4FC6-943F-74D4B6973D46}"/>
    <dataValidation type="decimal" allowBlank="1" showInputMessage="1" showErrorMessage="1" sqref="M155:M156 J44:J56 M70 M114" xr:uid="{89FE2BD5-0D70-48B1-A08F-CFAD385D4748}">
      <formula1>0</formula1>
      <formula2>1000000</formula2>
    </dataValidation>
    <dataValidation allowBlank="1" showInputMessage="1" showErrorMessage="1" promptTitle="Grenswaarde bij GPR = 10" prompt="Deze grenswaarde is het naar gebruiksoppervlakte gewogen gemiddelde van de grenswaarde bij GPR = 10 voor de verschillende gebruiksfuncties. In GPR 4.3 is dat EP2=0, in GPR 4.4 niveau nul-op-de-meter." sqref="AD34" xr:uid="{274B64AC-D2E3-46AE-A790-AA199BB0F939}"/>
    <dataValidation allowBlank="1" showInputMessage="1" showErrorMessage="1" promptTitle="Grenswaarde bij GPR = 6" prompt="Deze grenswaarde is het naar gebruiksoppervlakte gewogen gemiddelde van de grenswaarde bij GPR = 6 voor de verschillende gebruiksfuncties. Waarde wordt bepaald door niveau nieuwbouw 2006 (GPR 4.3 en GPR 4.4)." sqref="AD33" xr:uid="{EC7E34BD-CC67-4D69-96EB-BF7CC96A26A4}"/>
    <dataValidation allowBlank="1" showInputMessage="1" showErrorMessage="1" promptTitle="Score op subthema 1.1" prompt="Dit is de resulterende score op subthema 1.1. _x000a__x000a_Als onderstaande energiegebruiken en gebruiksoppervlakten worden overgenomen voor de desbetreffende functie, volgt in GPR Gebouw deze score. " sqref="AD35:AD36" xr:uid="{48BC1025-B840-4F08-9758-9BBB8B6AAAB8}"/>
    <dataValidation allowBlank="1" showInputMessage="1" showErrorMessage="1" promptTitle="Geen DPG" prompt="Deze functie komt niet voor in GPR Gebouw. Er is geen MPG-referentie voor beschikbaar en er kan daarom geen DPG-score van worden bepaald. " sqref="A55 A50:A51" xr:uid="{58FFFAD8-5FF3-4190-A225-09C6375BB4A1}"/>
    <dataValidation allowBlank="1" showInputMessage="1" showErrorMessage="1" promptTitle="Finaal energiegebruik" prompt="Het finaal energiegebruik / 'meterstanden' wordt gebruikt voor het berekenen van de DPG. Hier worden de milieueffecten van het energiegebruik in meegenomen._x000a__x000a_Dit invoerblok is alleen nodig als er een DPG berekend moet worden. " sqref="A64 A73" xr:uid="{58A700F3-4EF9-4338-A643-ACC473E83183}"/>
    <dataValidation allowBlank="1" showInputMessage="1" showErrorMessage="1" promptTitle="Softwarepakket" prompt="Kies hier met welk software pakket de EP-berekening is gemaakt. De invoer sluit zo goed mogelijk aan bij het gekozen pakket. De keuze voor het pakket heeft geen gevolgen voor de GPR-score. " sqref="L23" xr:uid="{8AC398E3-A1B9-42A7-BD0A-1754C62334EF}"/>
    <dataValidation allowBlank="1" showInputMessage="1" showErrorMessage="1" promptTitle="Bepalingsmethode - doel" prompt="Kies hier de uitvoer van dit rekensheet. Afhankelijk van de versie van GPR Gebouw zijn één of meer EP-methoden te kiezen. Deze keuze heeft geen gevolgen voor de score in GPR Gebouw." sqref="L27" xr:uid="{D4C353B4-2A14-4C83-8D67-AB9D24DCE114}"/>
    <dataValidation allowBlank="1" showErrorMessage="1" sqref="L25:L26" xr:uid="{2ACC7CFD-7E40-4C4C-AFCE-183404C4CAFA}"/>
    <dataValidation allowBlank="1" showInputMessage="1" showErrorMessage="1" promptTitle="CO2-emissiereductie" prompt="Hier wordt de CO2-emissiereductie berekend die in subthema 1.2 moet worden aangevinkt. In het invoerveld 'totale CO2-emissie (kg/jaar)' bij het overnemen van resultaten uit een externe berekening moet '0' worden ingevuld." sqref="AD207 AD224:AE224" xr:uid="{D27B4320-61D4-43D2-8770-46D084514369}"/>
    <dataValidation allowBlank="1" showInputMessage="1" showErrorMessage="1" promptTitle="Grenswaarde" prompt="Grenswaarde wordt bepaald door het energiegebruik bij GPR score van 6 en de emissiekentallen uit NTA8800." sqref="AD39 AD208 AD272 AD233:AR255 AD225:AE225 AD227:AR230" xr:uid="{154213B1-ECBC-4D16-981D-8591EF5A8D92}"/>
    <dataValidation allowBlank="1" showInputMessage="1" showErrorMessage="1" promptTitle="Reductie" prompt="Reductie wordt berekend tov de grenswaarde. Negatieve reductie betekent een hogere emissie dan de grenswaarde (gebouwen die slechter scoren dan nieuwbouw 2006)." sqref="AD209 AD256 AD274" xr:uid="{F8E7D01E-7832-4447-847A-668EF2D469CE}"/>
    <dataValidation allowBlank="1" showInputMessage="1" showErrorMessage="1" error="_x000a__x000a_" sqref="J39 J33:J34 J275:K275 J272:K272 M273 J274:J275" xr:uid="{2457CB58-4FB0-435E-A5EF-5D8BEFF21D84}"/>
    <dataValidation type="list" allowBlank="1" showInputMessage="1" showErrorMessage="1" sqref="P22" xr:uid="{F7E0C995-8461-4138-BBE7-762DB7B22064}">
      <formula1>EP_methode</formula1>
    </dataValidation>
    <dataValidation allowBlank="1" showInputMessage="1" showErrorMessage="1" promptTitle="VABI maatwerkrapportage" prompt="Let op: Getallen uit een VABI-rapportage (word- of pdf-document) hebben meestal betrekking op een maatwerkadvies. Omdat daarbij is gerekend met niet-standaard uitgangspunten kunnen deze getallen niet gebruikt worden voor GPR Gebouw." sqref="A63 A107" xr:uid="{FC1DECDC-9FE1-4FB1-B345-154C2C1EB215}"/>
    <dataValidation allowBlank="1" showInputMessage="1" showErrorMessage="1" promptTitle="CO2-emissie" prompt="Neem de berekende CO2-emissie uit de energieprestatieberekening hier over. Let op: Er is geen automatische koppeling met de hieronder in te voeren niet-primaire gebruiken / meterstanden tbv de DPG/Klimaatmonitor._x000a_" sqref="A39" xr:uid="{E269D077-5041-4862-B965-F62C3D2D2CD2}"/>
    <dataValidation allowBlank="1" showInputMessage="1" showErrorMessage="1" promptTitle="Reductie van CO2-emissie" prompt="Reductie wordt berekend ten opzichte van het referntieniveau dat correspondeert met de nieuwbouweisen 2006. In GPR Gebouw geeft dat een score van 6,0. _x000a_Let op: een negatief geatl hier betekent een reductie van CO2-emissie." sqref="A40" xr:uid="{8B7B9300-B7FA-48D7-92B2-69767A6E14F9}"/>
    <dataValidation type="list" allowBlank="1" showInputMessage="1" showErrorMessage="1" sqref="J65:K67 J109:K109 J111:K111 J113:K113 J139:K141 J157:K157 J155:K155 J153:K153 J68:J74 J80:J82 J91 J100 J102:J103 J110 J112 J114:J120 J93:J98 J138 J142:J147 J171 J163:J165 J173:J177 J154:J156 J128:J132 J158:J161 J88:K88 J92:K92 J90:K90 J89 J126 J195:J199" xr:uid="{27687710-5377-479F-B1EF-A6DC015FCB50}">
      <formula1>energiedragers_EP_lijst</formula1>
    </dataValidation>
    <dataValidation type="list" allowBlank="1" showInputMessage="1" showErrorMessage="1" sqref="AG273" xr:uid="{8BED2D14-B35F-4DC0-A004-A2374127FA3C}">
      <formula1>Gebruiksfuncties</formula1>
    </dataValidation>
    <dataValidation allowBlank="1" showInputMessage="1" showErrorMessage="1" promptTitle="Specifieke energieprestatie" prompt="In NEN 7120 moet de specifieke energieprestatie in MJ/m2 naar boven worden afgerond om hele getallen. Dat is hier niet gedaan, waardoor er een klein verschil kan optreden." sqref="A105" xr:uid="{62FCF19C-A970-4C40-8B5A-544ADDEEA671}"/>
    <dataValidation allowBlank="1" showInputMessage="1" showErrorMessage="1" promptTitle="NEN7120, eerste en tweede trap" prompt="Bij warmte: eerste trap is met forfaitair rendement van 100%, tweede trap met werkelijk rendement. Uniec2 laat in 2e trap berekening een extern warmtegebruik zien dat correspondeert met een EOR van 100%." sqref="O109" xr:uid="{D2AD2B1C-6E85-40AC-800E-74C0D2BAC6C8}"/>
    <dataValidation allowBlank="1" showInputMessage="1" showErrorMessage="1" promptTitle="Eenheid" prompt="Let op de eenheid: Hier in kg/GJ. In Uniec3 gegeven in kg/kWh." sqref="U153" xr:uid="{74204AA8-E39A-4469-8D03-25DE837BE678}"/>
    <dataValidation allowBlank="1" showInputMessage="1" showErrorMessage="1" promptTitle="Specifieke energieprestatie" prompt="In NEN 7120 moet de specifieke energieprestatie in MJ/m2 naar boven worden afgerond om hele getallen. _x000a_In NTA 800 naar boven op 0,01 kWh/m2. Dat is hier niet gedaan, waardoor er een klein verschil kan optreden." sqref="A35" xr:uid="{0A890EA9-8563-485C-851F-0B1BA483B822}"/>
    <dataValidation allowBlank="1" showInputMessage="1" showErrorMessage="1" promptTitle="Uniec2, externe koudelevering" prompt="Uniec2 geeft geen finaal energiegebruik voor externe koudelevering. Controleer dus goed of deze wel of niet aanwezig is. " sqref="A132" xr:uid="{AFAE7389-BC83-4FF8-ACEA-6797A1AA34D9}"/>
    <dataValidation allowBlank="1" showInputMessage="1" showErrorMessage="1" promptTitle="Uniec2, externe warmtelevering" prompt="Uniec2 rekent voor externe warmtelevering de CO2-uitstoot uit met een PEF van 1, en met 87,7 kg/GJ. Als gegevens van het net bekend zijn, moeten die gebruikt worden." sqref="A131" xr:uid="{66210B1D-5024-4AF5-9496-072292F14E75}"/>
    <dataValidation allowBlank="1" showInputMessage="1" showErrorMessage="1" promptTitle="Uniec2, biomassa" prompt="NEN 7120 kent vanaf NEN 7120+C2:2012/A1:2017 onderscheid in soorten biomassa: voldoet aan activiteitenbesluit (CO2 = 0), voldoet aan Bijlage O (CO2 = 0,5*0,109 kg/MJ) en overig (CO2 = 0,109 kg/MJ). De PEF is dan 0 / 0,5 / 1." sqref="A130" xr:uid="{D68278FE-163A-42BD-BE20-7E69BFD99ED8}"/>
  </dataValidations>
  <hyperlinks>
    <hyperlink ref="A1" location="'Overzicht GPR Hulpmiddelen'!A1" tooltip="naar startscherm" display="&lt;" xr:uid="{C92135F3-A1D4-409B-94FC-AB5AA73D9AC7}"/>
  </hyperlinks>
  <printOptions horizontalCentered="1"/>
  <pageMargins left="0.70866141732283472" right="0.70866141732283472" top="0.74803149606299213" bottom="0.74803149606299213" header="0.31496062992125984" footer="0.31496062992125984"/>
  <pageSetup paperSize="9" scale="21" orientation="portrait" horizontalDpi="4294967293" r:id="rId1"/>
  <headerFooter>
    <oddFooter>&amp;L&amp;Z&amp;F&amp;RDatum afdruk &amp;D &amp;T</oddFooter>
  </headerFooter>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F7E70704-E0D3-40FC-8DB2-53800949B369}">
          <x14:formula1>
            <xm:f>tabellen_EMD!$C$252:$C$256</xm:f>
          </x14:formula1>
          <xm:sqref>J183:K189</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3CB8B-F93C-40AD-8505-00AA186F4679}">
  <sheetPr codeName="Blad24" filterMode="1">
    <tabColor rgb="FFFF0000"/>
    <pageSetUpPr autoPageBreaks="0" fitToPage="1"/>
  </sheetPr>
  <dimension ref="A1:BI424"/>
  <sheetViews>
    <sheetView showGridLines="0" showRowColHeaders="0" zoomScale="90" zoomScaleNormal="90" zoomScaleSheetLayoutView="90" workbookViewId="0">
      <pane xSplit="4" ySplit="3" topLeftCell="E4" activePane="bottomRight" state="frozen"/>
      <selection pane="topRight" activeCell="E1" sqref="E1"/>
      <selection pane="bottomLeft" activeCell="A4" sqref="A4"/>
      <selection pane="bottomRight" activeCell="G26" sqref="G26:K26"/>
    </sheetView>
  </sheetViews>
  <sheetFormatPr defaultColWidth="10.7265625" defaultRowHeight="17.5"/>
  <cols>
    <col min="1" max="1" width="10.7265625" style="29" customWidth="1"/>
    <col min="2" max="3" width="23.1796875" style="30" hidden="1" customWidth="1"/>
    <col min="4" max="4" width="2.7265625" style="30" hidden="1" customWidth="1"/>
    <col min="5" max="5" width="2.7265625" style="29" customWidth="1"/>
    <col min="6" max="6" width="35.54296875" style="30" customWidth="1"/>
    <col min="7" max="8" width="13.26953125" style="29" customWidth="1"/>
    <col min="9" max="9" width="2.7265625" style="29" customWidth="1"/>
    <col min="10" max="10" width="13.26953125" style="30" customWidth="1"/>
    <col min="11" max="11" width="13.26953125" style="29" customWidth="1"/>
    <col min="12" max="12" width="3.7265625" style="29" customWidth="1"/>
    <col min="13" max="14" width="13.26953125" style="29" customWidth="1"/>
    <col min="15" max="15" width="3.7265625" style="29" customWidth="1"/>
    <col min="16" max="17" width="13.26953125" style="29" customWidth="1"/>
    <col min="18" max="18" width="3.7265625" style="29" customWidth="1"/>
    <col min="19" max="20" width="13.26953125" style="29" customWidth="1"/>
    <col min="21" max="21" width="3.7265625" style="29" customWidth="1"/>
    <col min="22" max="24" width="13.26953125" style="29" customWidth="1"/>
    <col min="25" max="25" width="3.7265625" style="29" customWidth="1"/>
    <col min="26" max="27" width="13.26953125" style="29" customWidth="1"/>
    <col min="28" max="28" width="2.7265625" style="230" customWidth="1"/>
    <col min="29" max="29" width="5.26953125" style="29" customWidth="1"/>
    <col min="30" max="30" width="5.26953125" style="1431" customWidth="1"/>
    <col min="31" max="31" width="36.54296875" style="1403" customWidth="1"/>
    <col min="32" max="34" width="13.26953125" style="1403" customWidth="1"/>
    <col min="35" max="35" width="2.7265625" style="1403" customWidth="1"/>
    <col min="36" max="37" width="13.26953125" style="1403" customWidth="1"/>
    <col min="38" max="38" width="13.26953125" style="1404" customWidth="1"/>
    <col min="39" max="39" width="2.7265625" style="1404" customWidth="1"/>
    <col min="40" max="42" width="13.26953125" style="29" customWidth="1"/>
    <col min="43" max="43" width="2.7265625" style="29" customWidth="1"/>
    <col min="44" max="44" width="8.453125" style="29" customWidth="1"/>
    <col min="45" max="45" width="2.7265625" style="230" customWidth="1"/>
    <col min="46" max="46" width="8.453125" style="29" customWidth="1"/>
    <col min="47" max="53" width="10.7265625" style="29" hidden="1" customWidth="1"/>
    <col min="54" max="54" width="14.54296875" style="29" hidden="1" customWidth="1"/>
    <col min="55" max="55" width="14.7265625" style="29" hidden="1" customWidth="1"/>
    <col min="56" max="61" width="10.7265625" style="29" hidden="1" customWidth="1"/>
    <col min="62" max="16384" width="10.7265625" style="29"/>
  </cols>
  <sheetData>
    <row r="1" spans="1:61" s="18" customFormat="1" ht="33" customHeight="1">
      <c r="A1" s="192" t="s">
        <v>12</v>
      </c>
      <c r="B1" s="212" t="s">
        <v>493</v>
      </c>
      <c r="C1" s="212" t="s">
        <v>493</v>
      </c>
      <c r="D1" s="941"/>
      <c r="E1" s="177"/>
      <c r="F1" s="175"/>
      <c r="G1" s="31"/>
      <c r="H1" s="31"/>
      <c r="I1" s="21"/>
      <c r="J1" s="21"/>
      <c r="K1" s="21"/>
      <c r="L1" s="21"/>
      <c r="M1" s="507"/>
      <c r="N1" s="21"/>
      <c r="O1" s="21"/>
      <c r="P1" s="21"/>
      <c r="AB1" s="177"/>
      <c r="AC1" s="177"/>
      <c r="AD1" s="1430"/>
      <c r="AE1" s="1401"/>
      <c r="AF1" s="1401"/>
      <c r="AG1" s="1401"/>
      <c r="AH1" s="1401"/>
      <c r="AI1" s="1401"/>
      <c r="AJ1" s="1401"/>
      <c r="AK1" s="1401"/>
      <c r="AL1" s="1401"/>
      <c r="AM1" s="1401"/>
      <c r="AN1" s="1380"/>
      <c r="AO1" s="1380"/>
      <c r="AP1" s="1380"/>
      <c r="AQ1" s="1380"/>
      <c r="AR1" s="1380"/>
      <c r="AS1" s="177"/>
      <c r="AT1" s="1380"/>
    </row>
    <row r="2" spans="1:61" s="19" customFormat="1" ht="21">
      <c r="A2" s="87"/>
      <c r="B2" s="942"/>
      <c r="C2" s="942"/>
      <c r="D2" s="942"/>
      <c r="E2" s="28" t="str">
        <f>_xlfn.CONCAT("Van ",P22," naar GPR 4")</f>
        <v>Van NTA 8800 naar GPR 4</v>
      </c>
      <c r="F2" s="32"/>
      <c r="G2" s="180" t="str">
        <f>"Van "&amp;$P$23&amp;" naar "&amp; AY23</f>
        <v>Van Uniec 3 finaal naar GPR 4.4 | NTA 8800</v>
      </c>
      <c r="H2" s="181"/>
      <c r="I2" s="182"/>
      <c r="J2" s="180"/>
      <c r="K2" s="32"/>
      <c r="L2" s="27"/>
      <c r="M2" s="28"/>
      <c r="N2" s="28"/>
      <c r="O2" s="27"/>
      <c r="P2" s="27"/>
      <c r="Q2" s="28"/>
      <c r="R2" s="33"/>
      <c r="S2" s="33"/>
      <c r="T2" s="33"/>
      <c r="U2" s="28"/>
      <c r="V2" s="28"/>
      <c r="W2" s="28"/>
      <c r="X2" s="28"/>
      <c r="Y2" s="28"/>
      <c r="Z2" s="28"/>
      <c r="AA2" s="28"/>
      <c r="AB2" s="28"/>
      <c r="AC2" s="994"/>
      <c r="AD2" s="28" t="s">
        <v>1708</v>
      </c>
      <c r="AE2" s="1402"/>
      <c r="AF2" s="1402"/>
      <c r="AG2" s="1402"/>
      <c r="AH2" s="1402"/>
      <c r="AI2" s="1402"/>
      <c r="AJ2" s="1402"/>
      <c r="AK2" s="1402"/>
      <c r="AL2" s="1402"/>
      <c r="AM2" s="1402"/>
      <c r="AN2" s="1402"/>
      <c r="AO2" s="1402"/>
      <c r="AP2" s="1402"/>
      <c r="AQ2" s="1402"/>
      <c r="AR2" s="1402"/>
      <c r="AS2" s="28"/>
      <c r="AT2" s="994"/>
      <c r="AU2" s="28"/>
      <c r="AV2" s="28"/>
      <c r="AW2" s="28"/>
      <c r="AX2" s="28"/>
      <c r="AY2" s="28"/>
      <c r="AZ2" s="28"/>
      <c r="BA2" s="28"/>
      <c r="BB2" s="28"/>
      <c r="BC2" s="28"/>
      <c r="BD2" s="28"/>
      <c r="BE2" s="28"/>
      <c r="BF2" s="28"/>
      <c r="BG2" s="28"/>
      <c r="BH2" s="28"/>
      <c r="BI2" s="28"/>
    </row>
    <row r="3" spans="1:61">
      <c r="E3" s="1687">
        <v>45363</v>
      </c>
      <c r="F3" s="1688"/>
      <c r="G3" s="30"/>
      <c r="J3" s="29"/>
      <c r="AV3" s="898" t="s">
        <v>1400</v>
      </c>
    </row>
    <row r="4" spans="1:61" s="18" customFormat="1" ht="5.25" customHeight="1">
      <c r="B4" s="763"/>
      <c r="C4" s="763"/>
      <c r="D4" s="763"/>
      <c r="E4" s="14"/>
      <c r="F4" s="67"/>
      <c r="G4" s="67"/>
      <c r="H4" s="67"/>
      <c r="I4" s="14"/>
      <c r="J4" s="67"/>
      <c r="K4" s="14"/>
      <c r="L4" s="14"/>
      <c r="M4" s="14"/>
      <c r="N4" s="14"/>
      <c r="O4" s="14"/>
      <c r="P4" s="14"/>
      <c r="Q4" s="14"/>
      <c r="R4" s="14"/>
      <c r="S4" s="14"/>
      <c r="T4" s="14"/>
      <c r="U4" s="14"/>
      <c r="V4" s="14"/>
      <c r="W4" s="14"/>
      <c r="X4" s="14"/>
      <c r="Y4" s="14"/>
      <c r="Z4" s="14"/>
      <c r="AA4" s="14"/>
      <c r="AB4" s="67"/>
      <c r="AC4" s="995"/>
      <c r="AD4" s="1405"/>
      <c r="AE4" s="1405"/>
      <c r="AF4" s="1405"/>
      <c r="AG4" s="1405"/>
      <c r="AH4" s="1405"/>
      <c r="AI4" s="1405"/>
      <c r="AJ4" s="1405"/>
      <c r="AK4" s="1405"/>
      <c r="AL4" s="1405"/>
      <c r="AM4" s="1405"/>
      <c r="AN4" s="1405"/>
      <c r="AO4" s="1405"/>
      <c r="AP4" s="1405"/>
      <c r="AQ4" s="1405"/>
      <c r="AR4" s="1405"/>
      <c r="AS4" s="67"/>
      <c r="AT4" s="995"/>
      <c r="AU4" s="14"/>
      <c r="AV4" s="14"/>
      <c r="AW4" s="14"/>
      <c r="AX4" s="14"/>
      <c r="AY4" s="14"/>
      <c r="AZ4" s="14"/>
      <c r="BA4" s="14"/>
      <c r="BB4" s="14"/>
      <c r="BC4" s="14"/>
      <c r="BD4" s="14"/>
      <c r="BE4" s="14"/>
      <c r="BF4" s="14"/>
      <c r="BG4" s="14"/>
      <c r="BH4" s="14"/>
      <c r="BI4" s="14"/>
    </row>
    <row r="5" spans="1:61" hidden="1">
      <c r="A5" s="212" t="s">
        <v>493</v>
      </c>
      <c r="B5" s="898"/>
      <c r="C5" s="898"/>
      <c r="D5" s="898"/>
      <c r="E5" s="891"/>
      <c r="F5" s="987" t="s">
        <v>1615</v>
      </c>
      <c r="G5" s="1382"/>
      <c r="H5" s="1391" t="s">
        <v>1619</v>
      </c>
      <c r="I5" s="1382"/>
      <c r="J5" s="1382"/>
      <c r="K5" s="1382"/>
      <c r="L5" s="1382"/>
      <c r="M5" s="987"/>
      <c r="N5" s="987"/>
      <c r="O5" s="987"/>
      <c r="P5" s="1391" t="s">
        <v>1617</v>
      </c>
      <c r="Q5" s="1391" t="s">
        <v>1619</v>
      </c>
      <c r="R5" s="12"/>
      <c r="S5" s="12"/>
      <c r="T5" s="12"/>
      <c r="U5" s="12"/>
      <c r="V5" s="12"/>
      <c r="W5" s="12"/>
      <c r="X5" s="12"/>
      <c r="Y5" s="12"/>
      <c r="Z5" s="12"/>
      <c r="AA5" s="12"/>
      <c r="AB5" s="891"/>
      <c r="AC5" s="996"/>
      <c r="AD5" s="1405"/>
      <c r="AE5" s="1405"/>
      <c r="AF5" s="1405"/>
      <c r="AG5" s="1405"/>
      <c r="AH5" s="1405"/>
      <c r="AI5" s="1405"/>
      <c r="AJ5" s="1405"/>
      <c r="AK5" s="1405"/>
      <c r="AL5" s="1405"/>
      <c r="AM5" s="1405"/>
      <c r="AN5" s="1405"/>
      <c r="AO5" s="1405"/>
      <c r="AP5" s="1405"/>
      <c r="AQ5" s="1405"/>
      <c r="AR5" s="1405"/>
      <c r="AS5" s="67"/>
      <c r="AT5" s="996"/>
      <c r="AU5" s="12"/>
      <c r="AV5" s="12"/>
      <c r="AW5" s="12"/>
      <c r="AX5" s="12"/>
      <c r="AY5" s="14"/>
      <c r="AZ5" s="14"/>
      <c r="BA5" s="14"/>
      <c r="BB5" s="14"/>
      <c r="BC5" s="14"/>
      <c r="BD5" s="14"/>
      <c r="BE5" s="14"/>
      <c r="BF5" s="14"/>
      <c r="BG5" s="14"/>
      <c r="BH5" s="14"/>
      <c r="BI5" s="14"/>
    </row>
    <row r="6" spans="1:61" hidden="1">
      <c r="A6" s="212" t="s">
        <v>493</v>
      </c>
      <c r="B6" s="898"/>
      <c r="C6" s="898"/>
      <c r="D6" s="898"/>
      <c r="E6" s="891"/>
      <c r="F6" s="1383" t="s">
        <v>1620</v>
      </c>
      <c r="G6" s="1384">
        <f>AG35</f>
        <v>9.4731158336000014</v>
      </c>
      <c r="H6" s="1384"/>
      <c r="I6" s="1382"/>
      <c r="J6" s="1382"/>
      <c r="K6" s="1382"/>
      <c r="L6" s="1382"/>
      <c r="M6" s="1387" t="str">
        <f>F183</f>
        <v>aardgas</v>
      </c>
      <c r="N6" s="1387"/>
      <c r="O6" s="1387"/>
      <c r="P6" s="1384" t="str">
        <f>_xlfn.CONCAT(FIXED(W183,0)," ",X183)</f>
        <v>0 m3</v>
      </c>
      <c r="Q6" s="1384" t="str">
        <f>_xlfn.CONCAT(FIXED($G$269,0)," ",$G$225)</f>
        <v>0 m3</v>
      </c>
      <c r="R6" s="12"/>
      <c r="S6" s="12"/>
      <c r="T6" s="12"/>
      <c r="U6" s="12"/>
      <c r="V6" s="12"/>
      <c r="W6" s="12"/>
      <c r="X6" s="12"/>
      <c r="Y6" s="12"/>
      <c r="Z6" s="12"/>
      <c r="AA6" s="12"/>
      <c r="AB6" s="891"/>
      <c r="AC6" s="996"/>
      <c r="AD6" s="1405"/>
      <c r="AE6" s="1405"/>
      <c r="AF6" s="1405"/>
      <c r="AG6" s="1405"/>
      <c r="AH6" s="1405"/>
      <c r="AI6" s="1405"/>
      <c r="AJ6" s="1405"/>
      <c r="AK6" s="1405"/>
      <c r="AL6" s="1405"/>
      <c r="AM6" s="1405"/>
      <c r="AN6" s="1405"/>
      <c r="AO6" s="1405"/>
      <c r="AP6" s="1405"/>
      <c r="AQ6" s="1405"/>
      <c r="AR6" s="1405"/>
      <c r="AS6" s="67"/>
      <c r="AT6" s="996"/>
      <c r="AU6" s="12"/>
      <c r="AV6" s="12"/>
      <c r="AW6" s="12"/>
      <c r="AX6" s="12"/>
      <c r="AY6" s="14"/>
      <c r="AZ6" s="14"/>
      <c r="BA6" s="14"/>
      <c r="BB6" s="14"/>
      <c r="BC6" s="14"/>
      <c r="BD6" s="14"/>
      <c r="BE6" s="14"/>
      <c r="BF6" s="14"/>
      <c r="BG6" s="14"/>
      <c r="BH6" s="14"/>
      <c r="BI6" s="14"/>
    </row>
    <row r="7" spans="1:61" hidden="1">
      <c r="A7" s="212" t="s">
        <v>493</v>
      </c>
      <c r="B7" s="898"/>
      <c r="C7" s="898"/>
      <c r="D7" s="898"/>
      <c r="E7" s="891"/>
      <c r="F7" s="1383" t="s">
        <v>1397</v>
      </c>
      <c r="G7" s="1385" t="str">
        <f>_xlfn.CONCAT(FIXED(J35,0)," ",K35)</f>
        <v>0 kWh/m2 Ag</v>
      </c>
      <c r="H7" s="1385" t="str">
        <f>_xlfn.CONCAT(FIXED(SUM(P44:P55),0)," ",Q44)</f>
        <v>0 kWh</v>
      </c>
      <c r="I7" s="1382"/>
      <c r="J7" s="1382"/>
      <c r="K7" s="1382"/>
      <c r="L7" s="1382"/>
      <c r="M7" s="1389" t="str">
        <f>F184</f>
        <v>elektriciteit</v>
      </c>
      <c r="N7" s="1389"/>
      <c r="O7" s="1389"/>
      <c r="P7" s="1385" t="str">
        <f>_xlfn.CONCAT(FIXED(W184,0)," ",X184)</f>
        <v>0 kWh</v>
      </c>
      <c r="Q7" s="1385" t="str">
        <f>_xlfn.CONCAT(FIXED($H$269,0)," ",$H$225)</f>
        <v>0 kWh</v>
      </c>
      <c r="R7" s="12"/>
      <c r="S7" s="12"/>
      <c r="T7" s="12"/>
      <c r="U7" s="12"/>
      <c r="V7" s="12"/>
      <c r="W7" s="12"/>
      <c r="X7" s="12"/>
      <c r="Y7" s="12"/>
      <c r="Z7" s="12"/>
      <c r="AA7" s="12"/>
      <c r="AB7" s="891"/>
      <c r="AC7" s="996"/>
      <c r="AD7" s="1405"/>
      <c r="AE7" s="1405"/>
      <c r="AF7" s="1405"/>
      <c r="AG7" s="1405"/>
      <c r="AH7" s="1405"/>
      <c r="AI7" s="1405"/>
      <c r="AJ7" s="1405"/>
      <c r="AK7" s="1405"/>
      <c r="AL7" s="1405"/>
      <c r="AM7" s="1405"/>
      <c r="AN7" s="1405"/>
      <c r="AO7" s="1405"/>
      <c r="AP7" s="1405"/>
      <c r="AQ7" s="1405"/>
      <c r="AR7" s="1405"/>
      <c r="AS7" s="67"/>
      <c r="AT7" s="996"/>
      <c r="AU7" s="12"/>
      <c r="AV7" s="12"/>
      <c r="AW7" s="12"/>
      <c r="AX7" s="12"/>
      <c r="AY7" s="14"/>
      <c r="AZ7" s="14"/>
      <c r="BA7" s="14"/>
      <c r="BB7" s="14"/>
      <c r="BC7" s="14"/>
      <c r="BD7" s="14"/>
      <c r="BE7" s="14"/>
      <c r="BF7" s="14"/>
      <c r="BG7" s="14"/>
      <c r="BH7" s="14"/>
      <c r="BI7" s="14"/>
    </row>
    <row r="8" spans="1:61" hidden="1">
      <c r="A8" s="212" t="s">
        <v>493</v>
      </c>
      <c r="B8" s="898"/>
      <c r="C8" s="898"/>
      <c r="D8" s="898"/>
      <c r="E8" s="891"/>
      <c r="F8" s="1383" t="s">
        <v>543</v>
      </c>
      <c r="G8" s="1386">
        <f>J40</f>
        <v>1</v>
      </c>
      <c r="H8" s="1385" t="str">
        <f>_xlfn.CONCAT(FIXED(SUM(S44:S55),0)," ",T44)</f>
        <v>0 kg</v>
      </c>
      <c r="I8" s="1382"/>
      <c r="J8" s="1382"/>
      <c r="K8" s="1382"/>
      <c r="L8" s="1382"/>
      <c r="M8" s="1390" t="str">
        <f>F185</f>
        <v>elektriciteit opgewekt</v>
      </c>
      <c r="N8" s="1390"/>
      <c r="O8" s="1390"/>
      <c r="P8" s="1386" t="str">
        <f>_xlfn.CONCAT(FIXED(W185,0)," ",X185)</f>
        <v>0 kWh</v>
      </c>
      <c r="Q8" s="1386" t="str">
        <f>_xlfn.CONCAT(FIXED($J$269,0)," ",$J$225)</f>
        <v>0 kWh</v>
      </c>
      <c r="R8" s="12"/>
      <c r="S8" s="12"/>
      <c r="T8" s="12"/>
      <c r="U8" s="12"/>
      <c r="V8" s="12"/>
      <c r="W8" s="12"/>
      <c r="X8" s="12"/>
      <c r="Y8" s="12"/>
      <c r="Z8" s="12"/>
      <c r="AA8" s="12"/>
      <c r="AB8" s="891"/>
      <c r="AC8" s="996"/>
      <c r="AD8" s="1405"/>
      <c r="AE8" s="1405"/>
      <c r="AF8" s="1405"/>
      <c r="AG8" s="1405"/>
      <c r="AH8" s="1405"/>
      <c r="AI8" s="1405"/>
      <c r="AJ8" s="1405"/>
      <c r="AK8" s="1405"/>
      <c r="AL8" s="1405"/>
      <c r="AM8" s="1405"/>
      <c r="AN8" s="1405"/>
      <c r="AO8" s="1405"/>
      <c r="AP8" s="1405"/>
      <c r="AQ8" s="1405"/>
      <c r="AR8" s="1405"/>
      <c r="AS8" s="67"/>
      <c r="AT8" s="996"/>
      <c r="AU8" s="12"/>
      <c r="AV8" s="12"/>
      <c r="AW8" s="12"/>
      <c r="AX8" s="12"/>
      <c r="AY8" s="14"/>
      <c r="AZ8" s="14"/>
      <c r="BA8" s="14"/>
      <c r="BB8" s="14"/>
      <c r="BC8" s="14"/>
      <c r="BD8" s="14"/>
      <c r="BE8" s="14"/>
      <c r="BF8" s="14"/>
      <c r="BG8" s="14"/>
      <c r="BH8" s="14"/>
      <c r="BI8" s="14"/>
    </row>
    <row r="9" spans="1:61" hidden="1">
      <c r="A9" s="212" t="s">
        <v>493</v>
      </c>
      <c r="B9" s="898"/>
      <c r="C9" s="898"/>
      <c r="D9" s="898"/>
      <c r="E9" s="891"/>
      <c r="F9" s="1383" t="s">
        <v>1618</v>
      </c>
      <c r="G9" s="1385" t="str">
        <f>_xlfn.CONCAT(FIXED(AH272,2)," | ",FIXED(AH274,0)," pnt")</f>
        <v>0.00 | -210 pnt</v>
      </c>
      <c r="H9" s="1384">
        <f>AH219</f>
        <v>0</v>
      </c>
      <c r="I9" s="1382"/>
      <c r="J9" s="1382"/>
      <c r="K9" s="1382"/>
      <c r="L9" s="1382"/>
      <c r="M9" s="1387" t="str">
        <f>F186</f>
        <v>elektriciteit geëxporteerd</v>
      </c>
      <c r="N9" s="1387"/>
      <c r="O9" s="1387"/>
      <c r="P9" s="1384" t="str">
        <f>_xlfn.CONCAT(FIXED(W186,0)," ",X186)</f>
        <v>0 kWh</v>
      </c>
      <c r="Q9" s="1384" t="str">
        <f>_xlfn.CONCAT(FIXED($K$269,0)," ",$K$225)</f>
        <v>0 GJ</v>
      </c>
      <c r="R9" s="12"/>
      <c r="S9" s="12"/>
      <c r="T9" s="12"/>
      <c r="U9" s="12"/>
      <c r="V9" s="12"/>
      <c r="W9" s="12"/>
      <c r="X9" s="12"/>
      <c r="Y9" s="12"/>
      <c r="Z9" s="12"/>
      <c r="AA9" s="12"/>
      <c r="AB9" s="891"/>
      <c r="AC9" s="996"/>
      <c r="AD9" s="1405"/>
      <c r="AE9" s="1405"/>
      <c r="AF9" s="1405"/>
      <c r="AG9" s="1405"/>
      <c r="AH9" s="1405"/>
      <c r="AI9" s="1405"/>
      <c r="AJ9" s="1405"/>
      <c r="AK9" s="1405"/>
      <c r="AL9" s="1405"/>
      <c r="AM9" s="1405"/>
      <c r="AN9" s="1405"/>
      <c r="AO9" s="1405"/>
      <c r="AP9" s="1405"/>
      <c r="AQ9" s="1405"/>
      <c r="AR9" s="1405"/>
      <c r="AS9" s="67"/>
      <c r="AT9" s="996"/>
      <c r="AU9" s="12"/>
      <c r="AV9" s="12"/>
      <c r="AW9" s="12"/>
      <c r="AX9" s="12"/>
      <c r="AY9" s="14"/>
      <c r="AZ9" s="14"/>
      <c r="BA9" s="14"/>
      <c r="BB9" s="14"/>
      <c r="BC9" s="14"/>
      <c r="BD9" s="14"/>
      <c r="BE9" s="14"/>
      <c r="BF9" s="14"/>
      <c r="BG9" s="14"/>
      <c r="BH9" s="14"/>
      <c r="BI9" s="14"/>
    </row>
    <row r="10" spans="1:61" hidden="1">
      <c r="A10" s="212" t="s">
        <v>493</v>
      </c>
      <c r="B10" s="898"/>
      <c r="C10" s="898"/>
      <c r="D10" s="898"/>
      <c r="E10" s="891"/>
      <c r="F10" s="1383" t="s">
        <v>1616</v>
      </c>
      <c r="G10" s="1384">
        <f>AG220</f>
        <v>9.9532093528295782</v>
      </c>
      <c r="H10" s="1384"/>
      <c r="I10" s="1382"/>
      <c r="J10" s="1382"/>
      <c r="K10" s="1382"/>
      <c r="L10" s="1382"/>
      <c r="M10" s="1387" t="str">
        <f>F187</f>
        <v>externe warmte</v>
      </c>
      <c r="N10" s="1387"/>
      <c r="O10" s="1387"/>
      <c r="P10" s="1384" t="str">
        <f>_xlfn.CONCAT(FIXED(W187,0)," ",X187)</f>
        <v>0 GJ</v>
      </c>
      <c r="Q10" s="1384" t="str">
        <f>_xlfn.CONCAT(FIXED($M$269,0)," ",$M$225)</f>
        <v>0 kWh</v>
      </c>
      <c r="R10" s="12"/>
      <c r="S10" s="12"/>
      <c r="T10" s="12"/>
      <c r="U10" s="12"/>
      <c r="V10" s="12"/>
      <c r="W10" s="12"/>
      <c r="X10" s="12"/>
      <c r="Y10" s="12"/>
      <c r="Z10" s="12"/>
      <c r="AA10" s="12"/>
      <c r="AB10" s="891"/>
      <c r="AC10" s="996"/>
      <c r="AD10" s="1405"/>
      <c r="AE10" s="1405"/>
      <c r="AF10" s="1405"/>
      <c r="AG10" s="1405"/>
      <c r="AH10" s="1405"/>
      <c r="AI10" s="1405"/>
      <c r="AJ10" s="1405"/>
      <c r="AK10" s="1405"/>
      <c r="AL10" s="1405"/>
      <c r="AM10" s="1405"/>
      <c r="AN10" s="1405"/>
      <c r="AO10" s="1405"/>
      <c r="AP10" s="1405"/>
      <c r="AQ10" s="1405"/>
      <c r="AR10" s="1405"/>
      <c r="AS10" s="67"/>
      <c r="AT10" s="996"/>
      <c r="AU10" s="12"/>
      <c r="AV10" s="12"/>
      <c r="AW10" s="12"/>
      <c r="AX10" s="12"/>
      <c r="AY10" s="14"/>
      <c r="AZ10" s="14"/>
      <c r="BA10" s="14"/>
      <c r="BB10" s="14"/>
      <c r="BC10" s="14"/>
      <c r="BD10" s="14"/>
      <c r="BE10" s="14"/>
      <c r="BF10" s="14"/>
      <c r="BG10" s="14"/>
      <c r="BH10" s="14"/>
      <c r="BI10" s="14"/>
    </row>
    <row r="11" spans="1:61" hidden="1">
      <c r="A11" s="212" t="s">
        <v>493</v>
      </c>
      <c r="B11" s="898"/>
      <c r="C11" s="898"/>
      <c r="D11" s="898"/>
      <c r="E11" s="891"/>
      <c r="F11" s="1383" t="s">
        <v>484</v>
      </c>
      <c r="G11" s="1387" t="str">
        <f>_xlfn.CONCAT("E:",FIXED(AG216,2),"+M:",FIXED(AG217,2),"=",FIXED(AG218,2)," euro/m2")</f>
        <v>E:0.00+M:0.00=0.00 euro/m2</v>
      </c>
      <c r="H11" s="1387"/>
      <c r="I11" s="1382"/>
      <c r="J11" s="1382"/>
      <c r="K11" s="1382"/>
      <c r="L11" s="1382"/>
      <c r="M11" s="1387" t="str">
        <f>F189</f>
        <v>hout / biomassa</v>
      </c>
      <c r="N11" s="1387"/>
      <c r="O11" s="1387"/>
      <c r="P11" s="1384" t="str">
        <f>_xlfn.CONCAT(FIXED(W189,0)," ",X189)</f>
        <v>0 kg</v>
      </c>
      <c r="Q11" s="1384" t="str">
        <f>_xlfn.CONCAT(FIXED($M$269,0)," ",$M$225)</f>
        <v>0 kWh</v>
      </c>
      <c r="R11" s="12"/>
      <c r="S11" s="12"/>
      <c r="T11" s="12"/>
      <c r="U11" s="12"/>
      <c r="V11" s="12"/>
      <c r="W11" s="12"/>
      <c r="X11" s="12"/>
      <c r="Y11" s="12"/>
      <c r="Z11" s="12"/>
      <c r="AA11" s="12"/>
      <c r="AB11" s="891"/>
      <c r="AC11" s="996"/>
      <c r="AD11" s="1405"/>
      <c r="AE11" s="1405"/>
      <c r="AF11" s="1405"/>
      <c r="AG11" s="1405"/>
      <c r="AH11" s="1405"/>
      <c r="AI11" s="1405"/>
      <c r="AJ11" s="1405"/>
      <c r="AK11" s="1405"/>
      <c r="AL11" s="1405"/>
      <c r="AM11" s="1405"/>
      <c r="AN11" s="1405"/>
      <c r="AO11" s="1405"/>
      <c r="AP11" s="1405"/>
      <c r="AQ11" s="1405"/>
      <c r="AR11" s="1405"/>
      <c r="AS11" s="67"/>
      <c r="AT11" s="996"/>
      <c r="AU11" s="12"/>
      <c r="AV11" s="12"/>
      <c r="AW11" s="12"/>
      <c r="AX11" s="12"/>
      <c r="AY11" s="14"/>
      <c r="AZ11" s="14"/>
      <c r="BA11" s="14"/>
      <c r="BB11" s="14"/>
      <c r="BC11" s="14"/>
      <c r="BD11" s="14"/>
      <c r="BE11" s="14"/>
      <c r="BF11" s="14"/>
      <c r="BG11" s="14"/>
      <c r="BH11" s="14"/>
      <c r="BI11" s="14"/>
    </row>
    <row r="12" spans="1:61" hidden="1">
      <c r="A12" s="212" t="s">
        <v>493</v>
      </c>
      <c r="B12" s="898"/>
      <c r="C12" s="898"/>
      <c r="D12" s="898"/>
      <c r="E12" s="891"/>
      <c r="F12" s="1383" t="s">
        <v>510</v>
      </c>
      <c r="G12" s="1387" t="str">
        <f>_xlfn.CONCAT("E:",FIXED(AG208,2),"+M:",FIXED(AG209,2),"=",FIXED(AG210,2)," kg/m2")</f>
        <v>E:0.00+M:0.00=0.00 kg/m2</v>
      </c>
      <c r="H12" s="1387"/>
      <c r="I12" s="1388"/>
      <c r="J12" s="1388"/>
      <c r="K12" s="1388"/>
      <c r="L12" s="1388"/>
      <c r="M12" s="1388"/>
      <c r="N12" s="14"/>
      <c r="O12" s="14"/>
      <c r="P12" s="155"/>
      <c r="Q12" s="12"/>
      <c r="R12" s="12"/>
      <c r="S12" s="12"/>
      <c r="T12" s="12"/>
      <c r="U12" s="12"/>
      <c r="V12" s="12"/>
      <c r="W12" s="12"/>
      <c r="X12" s="12"/>
      <c r="Y12" s="12"/>
      <c r="Z12" s="12"/>
      <c r="AA12" s="12"/>
      <c r="AB12" s="891"/>
      <c r="AC12" s="996"/>
      <c r="AD12" s="1405"/>
      <c r="AE12" s="1405"/>
      <c r="AF12" s="1405"/>
      <c r="AG12" s="1405"/>
      <c r="AH12" s="1405"/>
      <c r="AI12" s="1405"/>
      <c r="AJ12" s="1405"/>
      <c r="AK12" s="1405"/>
      <c r="AL12" s="1405"/>
      <c r="AM12" s="1405"/>
      <c r="AN12" s="1405"/>
      <c r="AO12" s="1405"/>
      <c r="AP12" s="1405"/>
      <c r="AQ12" s="1405"/>
      <c r="AR12" s="1405"/>
      <c r="AS12" s="67"/>
      <c r="AT12" s="996"/>
      <c r="AU12" s="12"/>
      <c r="AV12" s="12"/>
      <c r="AW12" s="12"/>
      <c r="AX12" s="12"/>
      <c r="AY12" s="14"/>
      <c r="AZ12" s="14"/>
      <c r="BA12" s="14"/>
      <c r="BB12" s="14"/>
      <c r="BC12" s="14"/>
      <c r="BD12" s="14"/>
      <c r="BE12" s="14"/>
      <c r="BF12" s="14"/>
      <c r="BG12" s="14"/>
      <c r="BH12" s="14"/>
      <c r="BI12" s="14"/>
    </row>
    <row r="13" spans="1:61" hidden="1">
      <c r="A13" s="212" t="s">
        <v>493</v>
      </c>
      <c r="B13" s="898"/>
      <c r="C13" s="898"/>
      <c r="D13" s="898"/>
      <c r="E13" s="891"/>
      <c r="F13" s="891"/>
      <c r="G13" s="891"/>
      <c r="H13" s="891"/>
      <c r="I13" s="891"/>
      <c r="J13" s="891"/>
      <c r="K13" s="891"/>
      <c r="L13" s="891"/>
      <c r="M13" s="14"/>
      <c r="N13" s="14"/>
      <c r="O13" s="14"/>
      <c r="P13" s="155"/>
      <c r="Q13" s="12"/>
      <c r="R13" s="12"/>
      <c r="S13" s="12"/>
      <c r="T13" s="12"/>
      <c r="U13" s="12"/>
      <c r="V13" s="12"/>
      <c r="W13" s="12"/>
      <c r="X13" s="12"/>
      <c r="Y13" s="12"/>
      <c r="Z13" s="12"/>
      <c r="AA13" s="12"/>
      <c r="AB13" s="891"/>
      <c r="AC13" s="996"/>
      <c r="AD13" s="1405"/>
      <c r="AE13" s="1405"/>
      <c r="AF13" s="1405"/>
      <c r="AG13" s="1405"/>
      <c r="AH13" s="1405"/>
      <c r="AI13" s="1405"/>
      <c r="AJ13" s="1405"/>
      <c r="AK13" s="1405"/>
      <c r="AL13" s="1405"/>
      <c r="AM13" s="1405"/>
      <c r="AN13" s="1405"/>
      <c r="AO13" s="1405"/>
      <c r="AP13" s="1405"/>
      <c r="AQ13" s="1405"/>
      <c r="AR13" s="1405"/>
      <c r="AS13" s="67"/>
      <c r="AT13" s="996"/>
      <c r="AU13" s="12"/>
      <c r="AV13" s="12"/>
      <c r="AW13" s="12"/>
      <c r="AX13" s="12"/>
      <c r="AY13" s="14"/>
      <c r="AZ13" s="14"/>
      <c r="BA13" s="14"/>
      <c r="BB13" s="14"/>
      <c r="BC13" s="14"/>
      <c r="BD13" s="14"/>
      <c r="BE13" s="14"/>
      <c r="BF13" s="14"/>
      <c r="BG13" s="14"/>
      <c r="BH13" s="14"/>
      <c r="BI13" s="14"/>
    </row>
    <row r="14" spans="1:61">
      <c r="A14" s="212"/>
      <c r="B14" s="898"/>
      <c r="C14" s="898"/>
      <c r="D14" s="898"/>
      <c r="E14" s="891"/>
      <c r="F14" s="1455" t="s">
        <v>1713</v>
      </c>
      <c r="G14" s="1456"/>
      <c r="H14" s="1456"/>
      <c r="I14" s="1456"/>
      <c r="J14" s="1456"/>
      <c r="K14" s="1456"/>
      <c r="L14" s="1456"/>
      <c r="M14" s="1457"/>
      <c r="N14" s="1457"/>
      <c r="O14" s="1457"/>
      <c r="P14" s="1458"/>
      <c r="Q14" s="1459"/>
      <c r="R14" s="12"/>
      <c r="S14" s="12"/>
      <c r="T14" s="12"/>
      <c r="U14" s="12"/>
      <c r="V14" s="12"/>
      <c r="W14" s="12"/>
      <c r="X14" s="12"/>
      <c r="Y14" s="12"/>
      <c r="Z14" s="12"/>
      <c r="AA14" s="12"/>
      <c r="AB14" s="891"/>
      <c r="AC14" s="996"/>
      <c r="AD14" s="1405"/>
      <c r="AE14" s="1405"/>
      <c r="AF14" s="1405"/>
      <c r="AG14" s="1405"/>
      <c r="AH14" s="1405"/>
      <c r="AI14" s="1405"/>
      <c r="AJ14" s="1405"/>
      <c r="AK14" s="1405"/>
      <c r="AL14" s="1405"/>
      <c r="AM14" s="1405"/>
      <c r="AN14" s="1405"/>
      <c r="AO14" s="1405"/>
      <c r="AP14" s="1405"/>
      <c r="AQ14" s="1405"/>
      <c r="AR14" s="1405"/>
      <c r="AS14" s="67"/>
      <c r="AT14" s="996"/>
      <c r="AU14" s="12"/>
      <c r="AV14" s="12"/>
      <c r="AW14" s="12"/>
      <c r="AX14" s="12"/>
      <c r="AY14" s="14"/>
      <c r="AZ14" s="14"/>
      <c r="BA14" s="14"/>
      <c r="BB14" s="14"/>
      <c r="BC14" s="14"/>
      <c r="BD14" s="14"/>
      <c r="BE14" s="14"/>
      <c r="BF14" s="14"/>
      <c r="BG14" s="14"/>
      <c r="BH14" s="14"/>
      <c r="BI14" s="14"/>
    </row>
    <row r="15" spans="1:61">
      <c r="A15" s="212"/>
      <c r="B15" s="898"/>
      <c r="C15" s="898"/>
      <c r="D15" s="898"/>
      <c r="E15" s="891"/>
      <c r="F15" s="1460" t="s">
        <v>1715</v>
      </c>
      <c r="G15" s="1461"/>
      <c r="H15" s="1461"/>
      <c r="I15" s="1461"/>
      <c r="J15" s="1461"/>
      <c r="K15" s="1461"/>
      <c r="L15" s="1461"/>
      <c r="M15" s="1462"/>
      <c r="N15" s="1462"/>
      <c r="O15" s="1462"/>
      <c r="P15" s="1463"/>
      <c r="Q15" s="1464"/>
      <c r="R15" s="12"/>
      <c r="S15" s="12"/>
      <c r="T15" s="12"/>
      <c r="U15" s="12"/>
      <c r="V15" s="12"/>
      <c r="W15" s="12"/>
      <c r="X15" s="12"/>
      <c r="Y15" s="12"/>
      <c r="Z15" s="12"/>
      <c r="AA15" s="12"/>
      <c r="AB15" s="891"/>
      <c r="AC15" s="996"/>
      <c r="AD15" s="1405"/>
      <c r="AE15" s="1405"/>
      <c r="AF15" s="1405"/>
      <c r="AG15" s="1405"/>
      <c r="AH15" s="1405"/>
      <c r="AI15" s="1405"/>
      <c r="AJ15" s="1405"/>
      <c r="AK15" s="1405"/>
      <c r="AL15" s="1405"/>
      <c r="AM15" s="1405"/>
      <c r="AN15" s="1405"/>
      <c r="AO15" s="1405"/>
      <c r="AP15" s="1405"/>
      <c r="AQ15" s="1405"/>
      <c r="AR15" s="1405"/>
      <c r="AS15" s="67"/>
      <c r="AT15" s="996"/>
      <c r="AU15" s="12"/>
      <c r="AV15" s="12"/>
      <c r="AW15" s="12"/>
      <c r="AX15" s="12"/>
      <c r="AY15" s="14"/>
      <c r="AZ15" s="14"/>
      <c r="BA15" s="14"/>
      <c r="BB15" s="14"/>
      <c r="BC15" s="14"/>
      <c r="BD15" s="14"/>
      <c r="BE15" s="14"/>
      <c r="BF15" s="14"/>
      <c r="BG15" s="14"/>
      <c r="BH15" s="14"/>
      <c r="BI15" s="14"/>
    </row>
    <row r="16" spans="1:61">
      <c r="A16" s="212"/>
      <c r="B16" s="898"/>
      <c r="C16" s="898"/>
      <c r="D16" s="898"/>
      <c r="E16" s="891"/>
      <c r="F16" s="1460" t="str">
        <f>_xlfn.CONCAT("2. EP-berekeningen omzetten naar een andere EP-methode die wél ingevoerd kan worden in ",P24,".")</f>
        <v>2. EP-berekeningen omzetten naar een andere EP-methode die wél ingevoerd kan worden in GPR 4.4.</v>
      </c>
      <c r="G16" s="1461"/>
      <c r="H16" s="1461"/>
      <c r="I16" s="1461"/>
      <c r="J16" s="1461"/>
      <c r="K16" s="1461"/>
      <c r="L16" s="1461"/>
      <c r="M16" s="1462"/>
      <c r="N16" s="1462"/>
      <c r="O16" s="1462"/>
      <c r="P16" s="1463"/>
      <c r="Q16" s="1464"/>
      <c r="R16" s="12"/>
      <c r="S16" s="12"/>
      <c r="T16" s="12"/>
      <c r="U16" s="12"/>
      <c r="V16" s="12"/>
      <c r="W16" s="12"/>
      <c r="X16" s="12"/>
      <c r="Y16" s="12"/>
      <c r="Z16" s="12"/>
      <c r="AA16" s="12"/>
      <c r="AB16" s="891"/>
      <c r="AC16" s="996"/>
      <c r="AD16" s="1405"/>
      <c r="AE16" s="1405"/>
      <c r="AF16" s="1405"/>
      <c r="AG16" s="1405"/>
      <c r="AH16" s="1405"/>
      <c r="AI16" s="1405"/>
      <c r="AJ16" s="1405"/>
      <c r="AK16" s="1405"/>
      <c r="AL16" s="1405"/>
      <c r="AM16" s="1405"/>
      <c r="AN16" s="1405"/>
      <c r="AO16" s="1405"/>
      <c r="AP16" s="1405"/>
      <c r="AQ16" s="1405"/>
      <c r="AR16" s="1405"/>
      <c r="AS16" s="67"/>
      <c r="AT16" s="996"/>
      <c r="AU16" s="12"/>
      <c r="AV16" s="12"/>
      <c r="AW16" s="12"/>
      <c r="AX16" s="12"/>
      <c r="AY16" s="14"/>
      <c r="AZ16" s="14"/>
      <c r="BA16" s="14"/>
      <c r="BB16" s="14"/>
      <c r="BC16" s="14"/>
      <c r="BD16" s="14"/>
      <c r="BE16" s="14"/>
      <c r="BF16" s="14"/>
      <c r="BG16" s="14"/>
      <c r="BH16" s="14"/>
      <c r="BI16" s="14"/>
    </row>
    <row r="17" spans="1:61">
      <c r="A17" s="212"/>
      <c r="B17" s="898"/>
      <c r="C17" s="898"/>
      <c r="D17" s="898"/>
      <c r="E17" s="891"/>
      <c r="F17" s="1465" t="s">
        <v>1714</v>
      </c>
      <c r="G17" s="1466"/>
      <c r="H17" s="1466"/>
      <c r="I17" s="1466"/>
      <c r="J17" s="1466"/>
      <c r="K17" s="1466"/>
      <c r="L17" s="1466"/>
      <c r="M17" s="1467"/>
      <c r="N17" s="1467"/>
      <c r="O17" s="1467"/>
      <c r="P17" s="1468"/>
      <c r="Q17" s="1469"/>
      <c r="R17" s="12"/>
      <c r="S17" s="12"/>
      <c r="T17" s="12"/>
      <c r="U17" s="12"/>
      <c r="V17" s="12"/>
      <c r="W17" s="12"/>
      <c r="X17" s="12"/>
      <c r="Y17" s="12"/>
      <c r="Z17" s="12"/>
      <c r="AA17" s="12"/>
      <c r="AB17" s="891"/>
      <c r="AC17" s="996"/>
      <c r="AD17" s="1405"/>
      <c r="AE17" s="1405"/>
      <c r="AF17" s="1405"/>
      <c r="AG17" s="1405"/>
      <c r="AH17" s="1405"/>
      <c r="AI17" s="1405"/>
      <c r="AJ17" s="1405"/>
      <c r="AK17" s="1405"/>
      <c r="AL17" s="1405"/>
      <c r="AM17" s="1405"/>
      <c r="AN17" s="1405"/>
      <c r="AO17" s="1405"/>
      <c r="AP17" s="1405"/>
      <c r="AQ17" s="1405"/>
      <c r="AR17" s="1405"/>
      <c r="AS17" s="67"/>
      <c r="AT17" s="996"/>
      <c r="AU17" s="12"/>
      <c r="AV17" s="12"/>
      <c r="AW17" s="12"/>
      <c r="AX17" s="12"/>
      <c r="AY17" s="14"/>
      <c r="AZ17" s="14"/>
      <c r="BA17" s="14"/>
      <c r="BB17" s="14"/>
      <c r="BC17" s="14"/>
      <c r="BD17" s="14"/>
      <c r="BE17" s="14"/>
      <c r="BF17" s="14"/>
      <c r="BG17" s="14"/>
      <c r="BH17" s="14"/>
      <c r="BI17" s="14"/>
    </row>
    <row r="18" spans="1:61" ht="5.25" customHeight="1">
      <c r="A18" s="212"/>
      <c r="B18" s="898"/>
      <c r="C18" s="898"/>
      <c r="D18" s="898"/>
      <c r="E18" s="891"/>
      <c r="F18" s="891"/>
      <c r="G18" s="891"/>
      <c r="H18" s="891"/>
      <c r="I18" s="891"/>
      <c r="J18" s="891"/>
      <c r="K18" s="891"/>
      <c r="L18" s="891"/>
      <c r="M18" s="14"/>
      <c r="N18" s="14"/>
      <c r="O18" s="14"/>
      <c r="P18" s="155"/>
      <c r="Q18" s="12"/>
      <c r="R18" s="12"/>
      <c r="S18" s="12"/>
      <c r="T18" s="12"/>
      <c r="U18" s="12"/>
      <c r="V18" s="12"/>
      <c r="W18" s="12"/>
      <c r="X18" s="12"/>
      <c r="Y18" s="12"/>
      <c r="Z18" s="12"/>
      <c r="AA18" s="12"/>
      <c r="AB18" s="891"/>
      <c r="AC18" s="996"/>
      <c r="AD18" s="1405"/>
      <c r="AE18" s="1405"/>
      <c r="AF18" s="1405"/>
      <c r="AG18" s="1405"/>
      <c r="AH18" s="1405"/>
      <c r="AI18" s="1405"/>
      <c r="AJ18" s="1405"/>
      <c r="AK18" s="1405"/>
      <c r="AL18" s="1405"/>
      <c r="AM18" s="1405"/>
      <c r="AN18" s="1405"/>
      <c r="AO18" s="1405"/>
      <c r="AP18" s="1405"/>
      <c r="AQ18" s="1405"/>
      <c r="AR18" s="1405"/>
      <c r="AS18" s="67"/>
      <c r="AT18" s="996"/>
      <c r="AU18" s="12"/>
      <c r="AV18" s="12"/>
      <c r="AW18" s="12"/>
      <c r="AX18" s="12"/>
      <c r="AY18" s="14"/>
      <c r="AZ18" s="14"/>
      <c r="BA18" s="14"/>
      <c r="BB18" s="14"/>
      <c r="BC18" s="14"/>
      <c r="BD18" s="14"/>
      <c r="BE18" s="14"/>
      <c r="BF18" s="14"/>
      <c r="BG18" s="14"/>
      <c r="BH18" s="14"/>
      <c r="BI18" s="14"/>
    </row>
    <row r="19" spans="1:61">
      <c r="A19" s="212"/>
      <c r="B19" s="898"/>
      <c r="C19" s="898"/>
      <c r="D19" s="898"/>
      <c r="E19" s="891"/>
      <c r="F19" s="1455" t="s">
        <v>1716</v>
      </c>
      <c r="G19" s="1456"/>
      <c r="H19" s="1456"/>
      <c r="I19" s="1456"/>
      <c r="J19" s="1456"/>
      <c r="K19" s="1456"/>
      <c r="L19" s="1456"/>
      <c r="M19" s="1457"/>
      <c r="N19" s="1457"/>
      <c r="O19" s="1457"/>
      <c r="P19" s="1458"/>
      <c r="Q19" s="1459"/>
      <c r="R19" s="12"/>
      <c r="S19" s="12"/>
      <c r="T19" s="12"/>
      <c r="U19" s="12"/>
      <c r="V19" s="12"/>
      <c r="W19" s="12"/>
      <c r="X19" s="12"/>
      <c r="Y19" s="12"/>
      <c r="Z19" s="12"/>
      <c r="AA19" s="12"/>
      <c r="AB19" s="891"/>
      <c r="AC19" s="996"/>
      <c r="AD19" s="1405"/>
      <c r="AE19" s="1405"/>
      <c r="AF19" s="1405"/>
      <c r="AG19" s="1405"/>
      <c r="AH19" s="1405"/>
      <c r="AI19" s="1405"/>
      <c r="AJ19" s="1405"/>
      <c r="AK19" s="1405"/>
      <c r="AL19" s="1405"/>
      <c r="AM19" s="1405"/>
      <c r="AN19" s="1405"/>
      <c r="AO19" s="1405"/>
      <c r="AP19" s="1405"/>
      <c r="AQ19" s="1405"/>
      <c r="AR19" s="1405"/>
      <c r="AS19" s="67"/>
      <c r="AT19" s="996"/>
      <c r="AU19" s="12"/>
      <c r="AV19" s="12"/>
      <c r="AW19" s="12"/>
      <c r="AX19" s="12"/>
      <c r="AY19" s="14"/>
      <c r="AZ19" s="14"/>
      <c r="BA19" s="14"/>
      <c r="BB19" s="14"/>
      <c r="BC19" s="14"/>
      <c r="BD19" s="14"/>
      <c r="BE19" s="14"/>
      <c r="BF19" s="14"/>
      <c r="BG19" s="14"/>
      <c r="BH19" s="14"/>
      <c r="BI19" s="14"/>
    </row>
    <row r="20" spans="1:61">
      <c r="A20" s="212"/>
      <c r="B20" s="898"/>
      <c r="C20" s="898"/>
      <c r="D20" s="898"/>
      <c r="E20" s="891"/>
      <c r="F20" s="891"/>
      <c r="G20" s="891"/>
      <c r="H20" s="891"/>
      <c r="I20" s="891"/>
      <c r="J20" s="891"/>
      <c r="K20" s="891"/>
      <c r="L20" s="891"/>
      <c r="M20" s="14"/>
      <c r="N20" s="14"/>
      <c r="O20" s="14"/>
      <c r="P20" s="155"/>
      <c r="Q20" s="12"/>
      <c r="R20" s="12"/>
      <c r="S20" s="12"/>
      <c r="T20" s="12"/>
      <c r="U20" s="12"/>
      <c r="V20" s="12"/>
      <c r="W20" s="12"/>
      <c r="X20" s="12"/>
      <c r="Y20" s="12"/>
      <c r="Z20" s="12"/>
      <c r="AA20" s="12"/>
      <c r="AB20" s="891"/>
      <c r="AC20" s="996"/>
      <c r="AD20" s="1405"/>
      <c r="AE20" s="1405"/>
      <c r="AF20" s="1405"/>
      <c r="AG20" s="1405"/>
      <c r="AH20" s="1405"/>
      <c r="AI20" s="1405"/>
      <c r="AJ20" s="1405"/>
      <c r="AK20" s="1405"/>
      <c r="AL20" s="1405"/>
      <c r="AM20" s="1405"/>
      <c r="AN20" s="1405"/>
      <c r="AO20" s="1405"/>
      <c r="AP20" s="1405"/>
      <c r="AQ20" s="1405"/>
      <c r="AR20" s="1405"/>
      <c r="AS20" s="67"/>
      <c r="AT20" s="996"/>
      <c r="AU20" s="12"/>
      <c r="AV20" s="12"/>
      <c r="AW20" s="12"/>
      <c r="AX20" s="12"/>
      <c r="AY20" s="14"/>
      <c r="AZ20" s="14"/>
      <c r="BA20" s="14"/>
      <c r="BB20" s="14"/>
      <c r="BC20" s="14"/>
      <c r="BD20" s="14"/>
      <c r="BE20" s="14"/>
      <c r="BF20" s="14"/>
      <c r="BG20" s="14"/>
      <c r="BH20" s="14"/>
      <c r="BI20" s="14"/>
    </row>
    <row r="21" spans="1:61" s="19" customFormat="1">
      <c r="B21" s="30"/>
      <c r="C21" s="30"/>
      <c r="D21" s="30"/>
      <c r="E21" s="14"/>
      <c r="F21" s="68" t="s">
        <v>3</v>
      </c>
      <c r="G21" s="15"/>
      <c r="H21" s="15"/>
      <c r="I21" s="15"/>
      <c r="J21" s="15"/>
      <c r="K21" s="14"/>
      <c r="L21" s="14"/>
      <c r="M21" s="15" t="s">
        <v>489</v>
      </c>
      <c r="N21" s="15"/>
      <c r="O21" s="15"/>
      <c r="P21" s="14"/>
      <c r="Q21" s="14"/>
      <c r="R21" s="14"/>
      <c r="S21" s="14"/>
      <c r="T21" s="14"/>
      <c r="U21" s="14"/>
      <c r="V21" s="14"/>
      <c r="W21" s="14"/>
      <c r="X21" s="14"/>
      <c r="Y21" s="14"/>
      <c r="Z21" s="14"/>
      <c r="AA21" s="14"/>
      <c r="AB21" s="67"/>
      <c r="AC21" s="995"/>
      <c r="AD21" s="1405"/>
      <c r="AE21" s="1405"/>
      <c r="AF21" s="1405"/>
      <c r="AG21" s="1405"/>
      <c r="AH21" s="1405"/>
      <c r="AI21" s="1405"/>
      <c r="AJ21" s="1405"/>
      <c r="AK21" s="1405"/>
      <c r="AL21" s="1405"/>
      <c r="AM21" s="1405"/>
      <c r="AN21" s="1405"/>
      <c r="AO21" s="1405"/>
      <c r="AP21" s="1405"/>
      <c r="AQ21" s="1405"/>
      <c r="AR21" s="1405"/>
      <c r="AS21" s="67"/>
      <c r="AT21" s="995"/>
      <c r="AU21" s="14"/>
      <c r="AV21" s="14" t="s">
        <v>1403</v>
      </c>
      <c r="AW21" s="14"/>
      <c r="AX21" s="14"/>
      <c r="AY21" s="14"/>
      <c r="AZ21" s="14"/>
      <c r="BA21" s="14"/>
      <c r="BB21" s="14"/>
      <c r="BC21" s="14"/>
      <c r="BD21" s="14"/>
      <c r="BE21" s="14"/>
      <c r="BF21" s="14"/>
      <c r="BG21" s="14"/>
      <c r="BH21" s="14"/>
      <c r="BI21" s="14"/>
    </row>
    <row r="22" spans="1:61" s="19" customFormat="1" ht="17.25" customHeight="1">
      <c r="B22" s="30"/>
      <c r="C22" s="30"/>
      <c r="D22" s="30"/>
      <c r="E22" s="14"/>
      <c r="F22" s="22" t="s">
        <v>4</v>
      </c>
      <c r="G22" s="1691" t="str">
        <f>IF('Overzicht GPR Hulpmiddelen'!D6="","",'Overzicht GPR Hulpmiddelen'!D6)</f>
        <v/>
      </c>
      <c r="H22" s="1691"/>
      <c r="I22" s="1691"/>
      <c r="J22" s="1691"/>
      <c r="K22" s="1700"/>
      <c r="L22" s="213" t="s">
        <v>396</v>
      </c>
      <c r="M22" s="22" t="s">
        <v>492</v>
      </c>
      <c r="N22" s="22"/>
      <c r="O22" s="22"/>
      <c r="P22" s="1705" t="s">
        <v>401</v>
      </c>
      <c r="Q22" s="1698"/>
      <c r="R22" s="14"/>
      <c r="S22" s="14"/>
      <c r="T22" s="14"/>
      <c r="U22" s="14"/>
      <c r="V22" s="14"/>
      <c r="W22" s="14"/>
      <c r="X22" s="14"/>
      <c r="Y22" s="14"/>
      <c r="Z22" s="14"/>
      <c r="AA22" s="14"/>
      <c r="AB22" s="67"/>
      <c r="AC22" s="995"/>
      <c r="AD22" s="1405"/>
      <c r="AE22" s="1405"/>
      <c r="AF22" s="1405"/>
      <c r="AG22" s="1405"/>
      <c r="AH22" s="1405"/>
      <c r="AI22" s="1405"/>
      <c r="AJ22" s="1405"/>
      <c r="AK22" s="1405"/>
      <c r="AL22" s="1405"/>
      <c r="AM22" s="1405"/>
      <c r="AN22" s="1405"/>
      <c r="AO22" s="1405"/>
      <c r="AP22" s="1405"/>
      <c r="AQ22" s="1405"/>
      <c r="AR22" s="1405"/>
      <c r="AS22" s="67"/>
      <c r="AT22" s="995"/>
      <c r="AU22" s="14"/>
      <c r="AV22" s="1360" t="s">
        <v>494</v>
      </c>
      <c r="AW22" s="22"/>
      <c r="AX22" s="22"/>
      <c r="AY22" s="1335" t="str">
        <f>P24&amp;" | "&amp;P22</f>
        <v>GPR 4.4 | NTA 8800</v>
      </c>
      <c r="AZ22" s="1336"/>
      <c r="BA22" s="1336"/>
      <c r="BB22" s="1337"/>
      <c r="BC22" s="14"/>
      <c r="BD22" s="14"/>
      <c r="BE22" s="14"/>
      <c r="BF22" s="14"/>
      <c r="BG22" s="14"/>
      <c r="BH22" s="14"/>
      <c r="BI22" s="14"/>
    </row>
    <row r="23" spans="1:61" s="19" customFormat="1">
      <c r="B23" s="30"/>
      <c r="C23" s="30"/>
      <c r="D23" s="30"/>
      <c r="E23" s="14"/>
      <c r="F23" s="22" t="s">
        <v>5</v>
      </c>
      <c r="G23" s="1691" t="str">
        <f>IF('Overzicht GPR Hulpmiddelen'!D7="","",'Overzicht GPR Hulpmiddelen'!D7)</f>
        <v/>
      </c>
      <c r="H23" s="1691"/>
      <c r="I23" s="1691"/>
      <c r="J23" s="1691"/>
      <c r="K23" s="1700"/>
      <c r="L23" s="213" t="s">
        <v>396</v>
      </c>
      <c r="M23" s="22" t="s">
        <v>490</v>
      </c>
      <c r="N23" s="22"/>
      <c r="O23" s="22"/>
      <c r="P23" s="1702" t="s">
        <v>1512</v>
      </c>
      <c r="Q23" s="1701"/>
      <c r="R23" s="916" t="s">
        <v>1458</v>
      </c>
      <c r="S23" s="14"/>
      <c r="T23" s="14"/>
      <c r="U23" s="14"/>
      <c r="V23" s="14"/>
      <c r="W23" s="14"/>
      <c r="X23" s="14"/>
      <c r="Y23" s="14"/>
      <c r="Z23" s="14"/>
      <c r="AA23" s="14"/>
      <c r="AB23" s="67"/>
      <c r="AC23" s="995"/>
      <c r="AD23" s="1405"/>
      <c r="AE23" s="1405"/>
      <c r="AF23" s="1405"/>
      <c r="AG23" s="1405"/>
      <c r="AH23" s="1405"/>
      <c r="AI23" s="1405"/>
      <c r="AJ23" s="1405"/>
      <c r="AK23" s="1405"/>
      <c r="AL23" s="1405"/>
      <c r="AM23" s="1405"/>
      <c r="AN23" s="1405"/>
      <c r="AO23" s="1405"/>
      <c r="AP23" s="1405"/>
      <c r="AQ23" s="1405"/>
      <c r="AR23" s="1405"/>
      <c r="AS23" s="67"/>
      <c r="AT23" s="995"/>
      <c r="AU23" s="14"/>
      <c r="AV23" s="1360" t="s">
        <v>495</v>
      </c>
      <c r="AW23" s="22"/>
      <c r="AX23" s="22"/>
      <c r="AY23" s="1335" t="str">
        <f>_xlfn.CONCAT(P24," | ",P27)</f>
        <v>GPR 4.4 | NTA 8800</v>
      </c>
      <c r="AZ23" s="1336"/>
      <c r="BA23" s="1336"/>
      <c r="BB23" s="1337"/>
      <c r="BC23" s="14"/>
      <c r="BD23" s="14"/>
      <c r="BE23" s="14"/>
      <c r="BF23" s="14"/>
      <c r="BG23" s="14"/>
      <c r="BH23" s="14"/>
      <c r="BI23" s="14"/>
    </row>
    <row r="24" spans="1:61" s="19" customFormat="1">
      <c r="D24" s="30"/>
      <c r="E24" s="14"/>
      <c r="F24" s="22" t="s">
        <v>6</v>
      </c>
      <c r="G24" s="1691" t="str">
        <f>IF('Overzicht GPR Hulpmiddelen'!D8="","",'Overzicht GPR Hulpmiddelen'!D8)</f>
        <v/>
      </c>
      <c r="H24" s="1691"/>
      <c r="I24" s="1691"/>
      <c r="J24" s="1691"/>
      <c r="K24" s="1700"/>
      <c r="L24" s="213" t="s">
        <v>396</v>
      </c>
      <c r="M24" s="22" t="s">
        <v>392</v>
      </c>
      <c r="N24" s="22"/>
      <c r="O24" s="22"/>
      <c r="P24" s="1685" t="s">
        <v>395</v>
      </c>
      <c r="Q24" s="1701"/>
      <c r="R24" s="916" t="s">
        <v>1455</v>
      </c>
      <c r="S24" s="14"/>
      <c r="T24" s="14"/>
      <c r="U24" s="14"/>
      <c r="V24" s="14"/>
      <c r="W24" s="14"/>
      <c r="X24" s="14"/>
      <c r="Y24" s="14"/>
      <c r="Z24" s="14"/>
      <c r="AA24" s="14"/>
      <c r="AB24" s="67"/>
      <c r="AC24" s="995"/>
      <c r="AD24" s="1405"/>
      <c r="AE24" s="1405"/>
      <c r="AF24" s="1405"/>
      <c r="AG24" s="1405"/>
      <c r="AH24" s="1405"/>
      <c r="AI24" s="1405"/>
      <c r="AJ24" s="1405"/>
      <c r="AK24" s="1405"/>
      <c r="AL24" s="1405"/>
      <c r="AM24" s="1405"/>
      <c r="AN24" s="1405"/>
      <c r="AO24" s="1405"/>
      <c r="AP24" s="1405"/>
      <c r="AQ24" s="1405"/>
      <c r="AR24" s="1405"/>
      <c r="AS24" s="67"/>
      <c r="AT24" s="995"/>
      <c r="AU24" s="14"/>
      <c r="AV24" s="1360" t="s">
        <v>1655</v>
      </c>
      <c r="AW24" s="22"/>
      <c r="AX24" s="22"/>
      <c r="AY24" s="1335" t="str">
        <f>_xlfn.CONCAT(P24," | ",P25," | ",P26)</f>
        <v>GPR 4.4 | nieuwbouw | woningbouw</v>
      </c>
      <c r="AZ24" s="1336"/>
      <c r="BA24" s="1336"/>
      <c r="BB24" s="1337"/>
      <c r="BC24" s="14"/>
      <c r="BD24" s="14"/>
      <c r="BE24" s="14"/>
      <c r="BF24" s="14"/>
      <c r="BG24" s="14"/>
      <c r="BH24" s="14"/>
      <c r="BI24" s="14"/>
    </row>
    <row r="25" spans="1:61" s="19" customFormat="1">
      <c r="D25" s="30"/>
      <c r="E25" s="14"/>
      <c r="F25" s="22" t="s">
        <v>7</v>
      </c>
      <c r="G25" s="1699" t="str">
        <f>IF('Overzicht GPR Hulpmiddelen'!D9="","",'Overzicht GPR Hulpmiddelen'!D9)</f>
        <v/>
      </c>
      <c r="H25" s="1699"/>
      <c r="I25" s="1699"/>
      <c r="J25" s="1699"/>
      <c r="K25" s="1700"/>
      <c r="L25" s="213"/>
      <c r="M25" s="22" t="s">
        <v>1386</v>
      </c>
      <c r="N25" s="22"/>
      <c r="O25" s="22"/>
      <c r="P25" s="1685" t="s">
        <v>1389</v>
      </c>
      <c r="Q25" s="1701"/>
      <c r="R25" s="14"/>
      <c r="S25" s="14"/>
      <c r="T25" s="14"/>
      <c r="U25" s="14"/>
      <c r="V25" s="14"/>
      <c r="W25" s="14"/>
      <c r="X25" s="14"/>
      <c r="Y25" s="14"/>
      <c r="Z25" s="14"/>
      <c r="AA25" s="14"/>
      <c r="AB25" s="67"/>
      <c r="AC25" s="995"/>
      <c r="AD25" s="1405"/>
      <c r="AE25" s="1405"/>
      <c r="AF25" s="1405"/>
      <c r="AG25" s="1405"/>
      <c r="AH25" s="1405"/>
      <c r="AI25" s="1405"/>
      <c r="AJ25" s="1405"/>
      <c r="AK25" s="1405"/>
      <c r="AL25" s="1405"/>
      <c r="AM25" s="1405"/>
      <c r="AN25" s="1405"/>
      <c r="AO25" s="1405"/>
      <c r="AP25" s="1405"/>
      <c r="AQ25" s="1405"/>
      <c r="AR25" s="1405"/>
      <c r="AS25" s="67"/>
      <c r="AT25" s="995"/>
      <c r="AU25" s="14"/>
      <c r="AV25" s="1360" t="s">
        <v>1634</v>
      </c>
      <c r="AW25" s="22"/>
      <c r="AX25" s="22"/>
      <c r="AY25" s="1335" t="str">
        <f>_xlfn.CONCAT(P24," | ",P25," | ",P26," | ",P27)</f>
        <v>GPR 4.4 | nieuwbouw | woningbouw | NTA 8800</v>
      </c>
      <c r="AZ25" s="1336"/>
      <c r="BA25" s="1336"/>
      <c r="BB25" s="1337"/>
      <c r="BC25" s="14"/>
      <c r="BD25" s="14"/>
      <c r="BE25" s="14"/>
      <c r="BF25" s="14"/>
      <c r="BG25" s="14"/>
      <c r="BH25" s="14"/>
      <c r="BI25" s="14"/>
    </row>
    <row r="26" spans="1:61" s="19" customFormat="1">
      <c r="D26" s="30"/>
      <c r="E26" s="14"/>
      <c r="F26" s="22" t="s">
        <v>488</v>
      </c>
      <c r="G26" s="1685"/>
      <c r="H26" s="1685"/>
      <c r="I26" s="1685"/>
      <c r="J26" s="1685"/>
      <c r="K26" s="1700"/>
      <c r="L26" s="213"/>
      <c r="M26" s="22" t="s">
        <v>1665</v>
      </c>
      <c r="N26" s="22"/>
      <c r="O26" s="22"/>
      <c r="P26" s="1702" t="s">
        <v>486</v>
      </c>
      <c r="Q26" s="1701"/>
      <c r="R26" s="14"/>
      <c r="S26" s="14"/>
      <c r="T26" s="14"/>
      <c r="U26" s="14"/>
      <c r="V26" s="14"/>
      <c r="W26" s="14"/>
      <c r="X26" s="14"/>
      <c r="Y26" s="14"/>
      <c r="Z26" s="14"/>
      <c r="AA26" s="14"/>
      <c r="AB26" s="67"/>
      <c r="AC26" s="995"/>
      <c r="AD26" s="1405"/>
      <c r="AE26" s="1405"/>
      <c r="AF26" s="1405"/>
      <c r="AG26" s="1405"/>
      <c r="AH26" s="1405"/>
      <c r="AI26" s="1405"/>
      <c r="AJ26" s="1405"/>
      <c r="AK26" s="1405"/>
      <c r="AL26" s="1405"/>
      <c r="AM26" s="1405"/>
      <c r="AN26" s="1405"/>
      <c r="AO26" s="1405"/>
      <c r="AP26" s="1405"/>
      <c r="AQ26" s="1405"/>
      <c r="AR26" s="1405"/>
      <c r="AS26" s="67"/>
      <c r="AT26" s="995"/>
      <c r="AU26" s="14"/>
      <c r="AV26" s="14"/>
      <c r="AW26" s="14"/>
      <c r="AX26" s="14"/>
      <c r="AY26" s="14"/>
      <c r="AZ26" s="14"/>
      <c r="BA26" s="14"/>
      <c r="BB26" s="14"/>
      <c r="BC26" s="14"/>
      <c r="BD26" s="14"/>
      <c r="BE26" s="14"/>
      <c r="BF26" s="14"/>
      <c r="BG26" s="14"/>
      <c r="BH26" s="14"/>
      <c r="BI26" s="14"/>
    </row>
    <row r="27" spans="1:61" s="19" customFormat="1">
      <c r="D27" s="30"/>
      <c r="E27" s="14"/>
      <c r="F27" s="22" t="s">
        <v>1525</v>
      </c>
      <c r="G27" s="1685"/>
      <c r="H27" s="1685"/>
      <c r="I27" s="1685"/>
      <c r="J27" s="1685"/>
      <c r="K27" s="1700"/>
      <c r="L27" s="213" t="s">
        <v>396</v>
      </c>
      <c r="M27" s="22" t="s">
        <v>1526</v>
      </c>
      <c r="N27" s="22"/>
      <c r="O27" s="22"/>
      <c r="P27" s="1703" t="s">
        <v>401</v>
      </c>
      <c r="Q27" s="1704"/>
      <c r="R27" s="983" t="str">
        <f>_xlfn.CONCAT("Kies een passende bepalingsmethode, die beschikbaar is in ",P24)</f>
        <v>Kies een passende bepalingsmethode, die beschikbaar is in GPR 4.4</v>
      </c>
      <c r="S27" s="14"/>
      <c r="T27" s="14"/>
      <c r="U27" s="14"/>
      <c r="V27" s="14"/>
      <c r="W27" s="14"/>
      <c r="X27" s="14"/>
      <c r="Y27" s="14"/>
      <c r="Z27" s="14"/>
      <c r="AA27" s="14"/>
      <c r="AB27" s="67"/>
      <c r="AC27" s="995"/>
      <c r="AD27" s="1405"/>
      <c r="AE27" s="1405"/>
      <c r="AF27" s="1405"/>
      <c r="AG27" s="1405"/>
      <c r="AH27" s="1405"/>
      <c r="AI27" s="1405"/>
      <c r="AJ27" s="1405"/>
      <c r="AK27" s="1405"/>
      <c r="AL27" s="1405"/>
      <c r="AM27" s="1405"/>
      <c r="AN27" s="1405"/>
      <c r="AO27" s="1405"/>
      <c r="AP27" s="1405"/>
      <c r="AQ27" s="1405"/>
      <c r="AR27" s="1405"/>
      <c r="AS27" s="67"/>
      <c r="AT27" s="995"/>
      <c r="AU27" s="14"/>
      <c r="AV27" s="14"/>
      <c r="AW27" s="14"/>
      <c r="AX27" s="14"/>
      <c r="AY27" s="14"/>
      <c r="AZ27" s="14"/>
      <c r="BA27" s="14"/>
      <c r="BB27" s="14"/>
      <c r="BC27" s="14"/>
      <c r="BD27" s="14"/>
      <c r="BE27" s="14"/>
      <c r="BF27" s="14"/>
      <c r="BG27" s="14"/>
      <c r="BH27" s="14"/>
      <c r="BI27" s="14"/>
    </row>
    <row r="28" spans="1:61">
      <c r="A28" s="212"/>
      <c r="B28" s="898"/>
      <c r="C28" s="898"/>
      <c r="D28" s="898"/>
      <c r="E28" s="891"/>
      <c r="F28" s="891"/>
      <c r="G28" s="891"/>
      <c r="H28" s="891"/>
      <c r="I28" s="891"/>
      <c r="J28" s="891"/>
      <c r="K28" s="891"/>
      <c r="L28" s="891"/>
      <c r="M28" s="14"/>
      <c r="N28" s="14"/>
      <c r="O28" s="14"/>
      <c r="P28" s="155"/>
      <c r="Q28" s="12"/>
      <c r="R28" s="12"/>
      <c r="S28" s="12"/>
      <c r="T28" s="12"/>
      <c r="U28" s="12"/>
      <c r="V28" s="12"/>
      <c r="W28" s="12"/>
      <c r="X28" s="12"/>
      <c r="Y28" s="12"/>
      <c r="Z28" s="12"/>
      <c r="AA28" s="12"/>
      <c r="AB28" s="891"/>
      <c r="AC28" s="996"/>
      <c r="AD28" s="1405"/>
      <c r="AE28" s="1405"/>
      <c r="AF28" s="1405"/>
      <c r="AG28" s="1405"/>
      <c r="AH28" s="1405"/>
      <c r="AI28" s="1405"/>
      <c r="AJ28" s="1405"/>
      <c r="AK28" s="1405"/>
      <c r="AL28" s="1405"/>
      <c r="AM28" s="1405"/>
      <c r="AN28" s="1405"/>
      <c r="AO28" s="1405"/>
      <c r="AP28" s="1405"/>
      <c r="AQ28" s="1405"/>
      <c r="AR28" s="1405"/>
      <c r="AS28" s="67"/>
      <c r="AT28" s="996"/>
      <c r="AU28" s="12"/>
      <c r="AV28" s="12"/>
      <c r="AW28" s="12"/>
      <c r="AX28" s="12"/>
      <c r="AY28" s="14"/>
      <c r="AZ28" s="14"/>
      <c r="BA28" s="14"/>
      <c r="BB28" s="14"/>
      <c r="BC28" s="14"/>
      <c r="BD28" s="14"/>
      <c r="BE28" s="14"/>
      <c r="BF28" s="14"/>
      <c r="BG28" s="14"/>
      <c r="BH28" s="14"/>
      <c r="BI28" s="14"/>
    </row>
    <row r="29" spans="1:61" s="896" customFormat="1" ht="25.5" customHeight="1">
      <c r="A29" s="86"/>
      <c r="B29" s="30"/>
      <c r="C29" s="30"/>
      <c r="D29" s="943"/>
      <c r="E29" s="897"/>
      <c r="F29" s="893" t="s">
        <v>1405</v>
      </c>
      <c r="G29" s="912"/>
      <c r="H29" s="913"/>
      <c r="I29" s="894"/>
      <c r="J29" s="912"/>
      <c r="K29" s="914"/>
      <c r="L29" s="895"/>
      <c r="M29" s="893"/>
      <c r="N29" s="893"/>
      <c r="O29" s="895"/>
      <c r="P29" s="895"/>
      <c r="Q29" s="893"/>
      <c r="R29" s="893"/>
      <c r="S29" s="893"/>
      <c r="T29" s="893"/>
      <c r="U29" s="893"/>
      <c r="V29" s="893"/>
      <c r="W29" s="893"/>
      <c r="X29" s="893"/>
      <c r="Y29" s="893"/>
      <c r="Z29" s="893"/>
      <c r="AA29" s="893"/>
      <c r="AB29" s="893"/>
      <c r="AC29" s="893"/>
      <c r="AD29" s="893"/>
      <c r="AE29" s="893"/>
      <c r="AF29" s="893"/>
      <c r="AG29" s="893"/>
      <c r="AH29" s="893"/>
      <c r="AI29" s="893"/>
      <c r="AJ29" s="893"/>
      <c r="AK29" s="893"/>
      <c r="AL29" s="893"/>
      <c r="AM29" s="893"/>
      <c r="AN29" s="893"/>
      <c r="AO29" s="893"/>
      <c r="AP29" s="893"/>
      <c r="AQ29" s="893"/>
      <c r="AR29" s="893"/>
      <c r="AS29" s="893"/>
      <c r="AT29" s="1381"/>
      <c r="AU29" s="893"/>
      <c r="AV29" s="893"/>
      <c r="AW29" s="893"/>
      <c r="AX29" s="893"/>
      <c r="AY29" s="893"/>
      <c r="AZ29" s="893"/>
      <c r="BA29" s="893"/>
      <c r="BB29" s="893"/>
      <c r="BC29" s="893"/>
      <c r="BD29" s="893"/>
      <c r="BE29" s="893"/>
      <c r="BF29" s="893"/>
      <c r="BG29" s="893"/>
      <c r="BH29" s="893"/>
      <c r="BI29" s="893"/>
    </row>
    <row r="30" spans="1:61" collapsed="1">
      <c r="A30" s="86"/>
      <c r="D30" s="943"/>
      <c r="E30" s="14"/>
      <c r="F30" s="13"/>
      <c r="G30" s="13"/>
      <c r="H30" s="13"/>
      <c r="I30" s="12"/>
      <c r="J30" s="39"/>
      <c r="K30" s="40"/>
      <c r="L30" s="39"/>
      <c r="M30" s="39"/>
      <c r="N30" s="39"/>
      <c r="O30" s="39"/>
      <c r="P30" s="12"/>
      <c r="Q30" s="12"/>
      <c r="R30" s="12"/>
      <c r="S30" s="12"/>
      <c r="T30" s="12"/>
      <c r="U30" s="12"/>
      <c r="V30" s="12"/>
      <c r="W30" s="12"/>
      <c r="X30" s="12"/>
      <c r="Y30" s="12"/>
      <c r="Z30" s="12"/>
      <c r="AA30" s="12"/>
      <c r="AB30" s="67"/>
      <c r="AC30" s="995"/>
      <c r="AD30" s="1405"/>
      <c r="AE30" s="1405"/>
      <c r="AF30" s="1405"/>
      <c r="AG30" s="1405"/>
      <c r="AH30" s="1405"/>
      <c r="AI30" s="1405"/>
      <c r="AJ30" s="1405"/>
      <c r="AK30" s="1405"/>
      <c r="AL30" s="1405"/>
      <c r="AM30" s="1405"/>
      <c r="AN30" s="1405"/>
      <c r="AO30" s="1405"/>
      <c r="AP30" s="1405"/>
      <c r="AQ30" s="1405"/>
      <c r="AR30" s="1405"/>
      <c r="AS30" s="67"/>
      <c r="AT30" s="995"/>
      <c r="AU30" s="12"/>
      <c r="AV30" s="12"/>
      <c r="AW30" s="12"/>
      <c r="AX30" s="12"/>
      <c r="AY30" s="12"/>
      <c r="AZ30" s="12"/>
      <c r="BA30" s="12"/>
      <c r="BB30" s="12"/>
      <c r="BC30" s="12"/>
      <c r="BD30" s="40"/>
      <c r="BE30" s="40"/>
      <c r="BF30" s="13"/>
      <c r="BG30" s="13"/>
      <c r="BH30" s="13"/>
      <c r="BI30" s="14"/>
    </row>
    <row r="31" spans="1:61">
      <c r="A31" s="18"/>
      <c r="B31" s="763"/>
      <c r="C31" s="763"/>
      <c r="D31" s="763"/>
      <c r="E31" s="14"/>
      <c r="F31" s="15" t="str">
        <f>_xlfn.CONCAT("Overnemen uit EP-berekening '",$P$23,"'")</f>
        <v>Overnemen uit EP-berekening 'Uniec 3 finaal'</v>
      </c>
      <c r="G31" s="16"/>
      <c r="H31" s="16"/>
      <c r="I31" s="16"/>
      <c r="J31" s="148"/>
      <c r="K31" s="14"/>
      <c r="L31" s="39"/>
      <c r="M31" s="12"/>
      <c r="N31" s="12"/>
      <c r="O31" s="12"/>
      <c r="P31" s="12"/>
      <c r="Q31" s="12"/>
      <c r="R31" s="12"/>
      <c r="S31" s="12"/>
      <c r="T31" s="12"/>
      <c r="U31" s="12"/>
      <c r="V31" s="12"/>
      <c r="W31" s="12"/>
      <c r="X31" s="12"/>
      <c r="Y31" s="12"/>
      <c r="Z31" s="12"/>
      <c r="AA31" s="12"/>
      <c r="AB31" s="67"/>
      <c r="AC31" s="995"/>
      <c r="AD31" s="1432"/>
      <c r="AE31" s="1409" t="str">
        <f>_xlfn.CONCAT("Informatief: score in ",$P$24," ",$P$25)</f>
        <v>Informatief: score in GPR 4.4 nieuwbouw</v>
      </c>
      <c r="AF31" s="1408"/>
      <c r="AG31" s="1408"/>
      <c r="AH31" s="1388"/>
      <c r="AI31" s="1388"/>
      <c r="AJ31" s="1388"/>
      <c r="AK31" s="1405"/>
      <c r="AL31" s="1405"/>
      <c r="AM31" s="1405"/>
      <c r="AN31" s="1405"/>
      <c r="AO31" s="1405"/>
      <c r="AP31" s="1405"/>
      <c r="AQ31" s="1405"/>
      <c r="AR31" s="1405"/>
      <c r="AS31" s="67"/>
      <c r="AT31" s="995"/>
      <c r="AU31" s="12"/>
      <c r="AV31" s="15" t="s">
        <v>1656</v>
      </c>
      <c r="AW31" s="12"/>
      <c r="AX31" s="12"/>
      <c r="AY31" s="12"/>
      <c r="AZ31" s="12"/>
      <c r="BA31" s="12"/>
      <c r="BB31" s="12"/>
      <c r="BC31" s="12"/>
      <c r="BD31" s="40"/>
      <c r="BE31" s="40"/>
      <c r="BF31" s="13"/>
      <c r="BG31" s="13"/>
      <c r="BH31" s="13"/>
      <c r="BI31" s="14"/>
    </row>
    <row r="32" spans="1:61">
      <c r="A32" s="18"/>
      <c r="B32" s="763"/>
      <c r="C32" s="763"/>
      <c r="D32" s="763"/>
      <c r="E32" s="14"/>
      <c r="F32" s="452" t="s">
        <v>1398</v>
      </c>
      <c r="G32" s="16"/>
      <c r="H32" s="16"/>
      <c r="I32" s="16"/>
      <c r="J32" s="148"/>
      <c r="K32" s="14"/>
      <c r="L32" s="39"/>
      <c r="M32" s="12"/>
      <c r="N32" s="12"/>
      <c r="O32" s="12"/>
      <c r="P32" s="12"/>
      <c r="Q32" s="12"/>
      <c r="R32" s="12"/>
      <c r="S32" s="12"/>
      <c r="T32" s="12"/>
      <c r="U32" s="12"/>
      <c r="V32" s="12"/>
      <c r="W32" s="12"/>
      <c r="X32" s="12"/>
      <c r="Y32" s="12"/>
      <c r="Z32" s="12"/>
      <c r="AA32" s="12"/>
      <c r="AB32" s="67"/>
      <c r="AC32" s="995"/>
      <c r="AD32" s="891"/>
      <c r="AE32" s="1410" t="s">
        <v>1397</v>
      </c>
      <c r="AF32" s="1410"/>
      <c r="AG32" s="1410"/>
      <c r="AH32" s="1410"/>
      <c r="AI32" s="1410"/>
      <c r="AJ32" s="1410"/>
      <c r="AK32" s="1405"/>
      <c r="AL32" s="1405"/>
      <c r="AM32" s="1405"/>
      <c r="AN32" s="1405"/>
      <c r="AO32" s="1405"/>
      <c r="AP32" s="1405"/>
      <c r="AQ32" s="1405"/>
      <c r="AR32" s="1405"/>
      <c r="AS32" s="67"/>
      <c r="AT32" s="995"/>
      <c r="AU32" s="12"/>
      <c r="AV32" s="452" t="s">
        <v>1657</v>
      </c>
      <c r="AW32" s="452"/>
      <c r="AX32" s="452" t="s">
        <v>1658</v>
      </c>
      <c r="AY32" s="452"/>
      <c r="AZ32" s="452" t="s">
        <v>1659</v>
      </c>
      <c r="BA32" s="452"/>
      <c r="BB32" s="12"/>
      <c r="BC32" s="12"/>
      <c r="BD32" s="40"/>
      <c r="BE32" s="40"/>
      <c r="BF32" s="13"/>
      <c r="BG32" s="13"/>
      <c r="BH32" s="13"/>
      <c r="BI32" s="14"/>
    </row>
    <row r="33" spans="1:61">
      <c r="A33" s="139" t="s">
        <v>396</v>
      </c>
      <c r="B33" s="943"/>
      <c r="C33" s="47" t="str">
        <f>BA52</f>
        <v>VABI NTA 8800</v>
      </c>
      <c r="D33" s="943"/>
      <c r="E33" s="14"/>
      <c r="F33" s="47" t="str">
        <f>BC52</f>
        <v>VABI NTA 8800. EP2: Primair fossiel energieverbruik</v>
      </c>
      <c r="G33" s="23"/>
      <c r="H33" s="23"/>
      <c r="I33" s="16"/>
      <c r="J33" s="25">
        <v>50</v>
      </c>
      <c r="K33" s="47" t="str">
        <f>BD52</f>
        <v>kWh/m2</v>
      </c>
      <c r="L33" s="39"/>
      <c r="M33" s="12"/>
      <c r="N33" s="12"/>
      <c r="O33" s="12"/>
      <c r="P33" s="12"/>
      <c r="Q33" s="12"/>
      <c r="R33" s="12"/>
      <c r="S33" s="12"/>
      <c r="T33" s="12"/>
      <c r="U33" s="12"/>
      <c r="V33" s="12"/>
      <c r="W33" s="12"/>
      <c r="X33" s="12"/>
      <c r="Y33" s="12"/>
      <c r="Z33" s="12"/>
      <c r="AA33" s="12"/>
      <c r="AB33" s="67"/>
      <c r="AC33" s="995"/>
      <c r="AD33" s="891" t="s">
        <v>396</v>
      </c>
      <c r="AE33" s="903" t="str">
        <f>_xlfn.CONCAT("grenswaarde GPR 6 bij bronmethode (",$P$22," )")</f>
        <v>grenswaarde GPR 6 bij bronmethode (NTA 8800 )</v>
      </c>
      <c r="AF33" s="1474"/>
      <c r="AG33" s="1475">
        <f>F320</f>
        <v>225</v>
      </c>
      <c r="AH33" s="1476" t="str">
        <f>INDEX(EP_Methode_BRON_per_GPR_Versie_Eenheid,MATCH(P$22,EP_Methode_BRON_per_GPR_Versie,0))&amp;"/m2 Ag"</f>
        <v>kWh/m2 Ag</v>
      </c>
      <c r="AI33" s="1410"/>
      <c r="AJ33" s="1410"/>
      <c r="AK33" s="1405"/>
      <c r="AL33" s="1405"/>
      <c r="AM33" s="1405"/>
      <c r="AN33" s="1405"/>
      <c r="AO33" s="1405"/>
      <c r="AP33" s="1405"/>
      <c r="AQ33" s="1405"/>
      <c r="AR33" s="1405"/>
      <c r="AS33" s="67"/>
      <c r="AT33" s="995"/>
      <c r="AU33" s="12"/>
      <c r="AV33" s="22" t="str">
        <f>NEN_7120</f>
        <v>NEN 7120</v>
      </c>
      <c r="AW33" s="22"/>
      <c r="AX33" s="22">
        <f>VLOOKUP(EP_versie_scope_functie,EP_Methode_DOEL_per_GPR_Versie,MATCH(AV33,EP_Methode_DOEL_per_GPR_Versie_titel,0),FALSE)</f>
        <v>1</v>
      </c>
      <c r="AY33" s="22"/>
      <c r="AZ33" s="305" t="str" cm="1">
        <f t="array" ref="AZ33:AZ34">_xlfn._xlws.FILTER(AV33:AV35,AX33:AX35)</f>
        <v>NEN 7120</v>
      </c>
      <c r="BA33" s="12"/>
      <c r="BB33" s="12"/>
      <c r="BC33" s="12"/>
      <c r="BD33" s="40"/>
      <c r="BE33" s="40"/>
      <c r="BF33" s="13"/>
      <c r="BG33" s="13"/>
      <c r="BH33" s="13"/>
      <c r="BI33" s="14"/>
    </row>
    <row r="34" spans="1:61">
      <c r="A34" s="86"/>
      <c r="B34" s="943"/>
      <c r="C34" s="47" t="str">
        <f>BA53</f>
        <v>Uniec 3</v>
      </c>
      <c r="D34" s="943"/>
      <c r="E34" s="14"/>
      <c r="F34" s="47" t="str">
        <f>BC53</f>
        <v>Uniec 3: Jaarlijkse karakteristieke energiegebruik Eptot</v>
      </c>
      <c r="G34" s="23"/>
      <c r="H34" s="23"/>
      <c r="I34" s="16"/>
      <c r="J34" s="25"/>
      <c r="K34" s="47" t="str">
        <f>BD53</f>
        <v>kWh</v>
      </c>
      <c r="L34" s="39"/>
      <c r="M34" s="12"/>
      <c r="N34" s="12"/>
      <c r="O34" s="12"/>
      <c r="P34" s="12"/>
      <c r="Q34" s="12"/>
      <c r="R34" s="12"/>
      <c r="S34" s="12"/>
      <c r="T34" s="12"/>
      <c r="U34" s="12"/>
      <c r="V34" s="12"/>
      <c r="W34" s="12"/>
      <c r="X34" s="12"/>
      <c r="Y34" s="12"/>
      <c r="Z34" s="12"/>
      <c r="AA34" s="12"/>
      <c r="AB34" s="67"/>
      <c r="AC34" s="995"/>
      <c r="AD34" s="891" t="s">
        <v>396</v>
      </c>
      <c r="AE34" s="903" t="str">
        <f>_xlfn.CONCAT("grenswaarde GPR 10 bij bronmethode (",$P$22," )")</f>
        <v>grenswaarde GPR 10 bij bronmethode (NTA 8800 )</v>
      </c>
      <c r="AF34" s="1474"/>
      <c r="AG34" s="1475">
        <f>G320</f>
        <v>-26.666666666666668</v>
      </c>
      <c r="AH34" s="1476" t="str">
        <f>INDEX(EP_Methode_BRON_per_GPR_Versie_Eenheid,MATCH(P$22,EP_Methode_BRON_per_GPR_Versie,0))&amp;"/m2 Ag"</f>
        <v>kWh/m2 Ag</v>
      </c>
      <c r="AI34" s="1410"/>
      <c r="AJ34" s="1410"/>
      <c r="AK34" s="1405"/>
      <c r="AL34" s="1405"/>
      <c r="AM34" s="1405"/>
      <c r="AN34" s="1405"/>
      <c r="AO34" s="1405"/>
      <c r="AP34" s="1405"/>
      <c r="AQ34" s="1405"/>
      <c r="AR34" s="1405"/>
      <c r="AS34" s="67"/>
      <c r="AT34" s="995"/>
      <c r="AU34" s="12"/>
      <c r="AV34" s="22" t="str">
        <f>NTA_8800</f>
        <v>NTA 8800</v>
      </c>
      <c r="AW34" s="22"/>
      <c r="AX34" s="22">
        <f>VLOOKUP(EP_versie_scope_functie,EP_Methode_DOEL_per_GPR_Versie,MATCH(AV34,EP_Methode_DOEL_per_GPR_Versie_titel,0),FALSE)</f>
        <v>1</v>
      </c>
      <c r="AY34" s="22"/>
      <c r="AZ34" s="304" t="str">
        <v>NTA 8800</v>
      </c>
      <c r="BA34" s="12"/>
      <c r="BB34" s="12"/>
      <c r="BC34" s="12"/>
      <c r="BD34" s="40"/>
      <c r="BE34" s="40"/>
      <c r="BF34" s="13"/>
      <c r="BG34" s="13"/>
      <c r="BH34" s="13"/>
      <c r="BI34" s="14"/>
    </row>
    <row r="35" spans="1:61">
      <c r="A35" s="139" t="s">
        <v>396</v>
      </c>
      <c r="B35" s="943"/>
      <c r="C35" s="47" t="str">
        <f>VLOOKUP(P23,$AV$52:$AX$55,COLUMNS($AV$51:$AX$51),FALSE)</f>
        <v>Uniec 3</v>
      </c>
      <c r="D35" s="943"/>
      <c r="E35" s="14"/>
      <c r="F35" s="22" t="str">
        <f>VLOOKUP($C35,$BA$52:$BE$55,COLUMNS($BA$51:$BE$51),FALSE)</f>
        <v>Primaire fossiele energie Ewe;P;tot</v>
      </c>
      <c r="G35" s="23"/>
      <c r="H35" s="23"/>
      <c r="I35" s="16"/>
      <c r="J35" s="23">
        <f>IFERROR(SUMIFS(J33:J34,$C$33:$C$34,$C$35)/IF(VLOOKUP($C35,$BA$52:$BF$55,COLUMNS($BA$51:$BF$51),FALSE)=0,$J$59,1),"")</f>
        <v>0</v>
      </c>
      <c r="K35" s="22" t="str">
        <f>_xlfn.CONCAT(INDEX(EP_methode_eenheid,1,MATCH($P$22,EP_methode,0)),"/m2 Ag")</f>
        <v>kWh/m2 Ag</v>
      </c>
      <c r="L35" s="39"/>
      <c r="M35" s="12"/>
      <c r="N35" s="12"/>
      <c r="O35" s="12"/>
      <c r="P35" s="12"/>
      <c r="Q35" s="12"/>
      <c r="R35" s="12"/>
      <c r="S35" s="12"/>
      <c r="T35" s="12"/>
      <c r="U35" s="12"/>
      <c r="V35" s="12"/>
      <c r="W35" s="12"/>
      <c r="X35" s="12"/>
      <c r="Y35" s="12"/>
      <c r="Z35" s="12"/>
      <c r="AA35" s="12"/>
      <c r="AB35" s="67"/>
      <c r="AC35" s="995"/>
      <c r="AD35" s="891" t="s">
        <v>396</v>
      </c>
      <c r="AE35" s="1383" t="s">
        <v>1645</v>
      </c>
      <c r="AF35" s="1444"/>
      <c r="AG35" s="1446">
        <f>J320</f>
        <v>9.4731158336000014</v>
      </c>
      <c r="AH35" s="1387" t="s">
        <v>132</v>
      </c>
      <c r="AI35" s="1410"/>
      <c r="AJ35" s="1410"/>
      <c r="AK35" s="1405"/>
      <c r="AL35" s="1405"/>
      <c r="AM35" s="1405"/>
      <c r="AN35" s="1405"/>
      <c r="AO35" s="1405"/>
      <c r="AP35" s="1405"/>
      <c r="AQ35" s="1405"/>
      <c r="AR35" s="1405"/>
      <c r="AS35" s="67"/>
      <c r="AT35" s="995"/>
      <c r="AU35" s="12"/>
      <c r="AV35" s="22" t="str">
        <f>ISSO_75.3</f>
        <v>ISSO 75.3</v>
      </c>
      <c r="AW35" s="22"/>
      <c r="AX35" s="22">
        <f>VLOOKUP(EP_versie_scope_functie,EP_Methode_DOEL_per_GPR_Versie,MATCH(AV35,EP_Methode_DOEL_per_GPR_Versie_titel,0),FALSE)</f>
        <v>0</v>
      </c>
      <c r="AY35" s="22"/>
      <c r="AZ35" s="306"/>
      <c r="BA35" s="12"/>
      <c r="BB35" s="12"/>
      <c r="BC35" s="12"/>
      <c r="BD35" s="40"/>
      <c r="BE35" s="40"/>
      <c r="BF35" s="13"/>
      <c r="BG35" s="13"/>
      <c r="BH35" s="13"/>
      <c r="BI35" s="14"/>
    </row>
    <row r="36" spans="1:61">
      <c r="A36" s="139" t="s">
        <v>396</v>
      </c>
      <c r="B36" s="943"/>
      <c r="C36" s="47" t="s">
        <v>401</v>
      </c>
      <c r="D36" s="943"/>
      <c r="E36" s="14"/>
      <c r="F36" s="47" t="s">
        <v>1786</v>
      </c>
      <c r="G36" s="47"/>
      <c r="H36" s="47"/>
      <c r="I36" s="16"/>
      <c r="J36" s="1051">
        <f>IF(C36&lt;&gt;P22,"-",IFERROR(1-J35/AJ58,""))</f>
        <v>1</v>
      </c>
      <c r="K36" s="22"/>
      <c r="L36" s="39"/>
      <c r="M36" s="12"/>
      <c r="N36" s="12"/>
      <c r="O36" s="12"/>
      <c r="P36" s="12"/>
      <c r="Q36" s="12"/>
      <c r="R36" s="12"/>
      <c r="S36" s="12"/>
      <c r="T36" s="12"/>
      <c r="U36" s="12"/>
      <c r="V36" s="12"/>
      <c r="W36" s="12"/>
      <c r="X36" s="12"/>
      <c r="Y36" s="12"/>
      <c r="Z36" s="12"/>
      <c r="AA36" s="12"/>
      <c r="AB36" s="67"/>
      <c r="AC36" s="995"/>
      <c r="AD36" s="891"/>
      <c r="AE36" s="1383"/>
      <c r="AF36" s="1533"/>
      <c r="AG36" s="1534"/>
      <c r="AH36" s="1387"/>
      <c r="AI36" s="1410"/>
      <c r="AJ36" s="1410"/>
      <c r="AK36" s="1405"/>
      <c r="AL36" s="1405"/>
      <c r="AM36" s="1405"/>
      <c r="AN36" s="1405"/>
      <c r="AO36" s="1405"/>
      <c r="AP36" s="1405"/>
      <c r="AQ36" s="1405"/>
      <c r="AR36" s="1405"/>
      <c r="AS36" s="67"/>
      <c r="AT36" s="995"/>
      <c r="AU36" s="12"/>
      <c r="AV36" s="22"/>
      <c r="AW36" s="22"/>
      <c r="AX36" s="22"/>
      <c r="AY36" s="22"/>
      <c r="AZ36" s="1532"/>
      <c r="BA36" s="12"/>
      <c r="BB36" s="12"/>
      <c r="BC36" s="12"/>
      <c r="BD36" s="40"/>
      <c r="BE36" s="40"/>
      <c r="BF36" s="13"/>
      <c r="BG36" s="13"/>
      <c r="BH36" s="13"/>
      <c r="BI36" s="14"/>
    </row>
    <row r="37" spans="1:61" ht="5.25" customHeight="1" collapsed="1">
      <c r="A37" s="86"/>
      <c r="B37" s="943"/>
      <c r="C37" s="943"/>
      <c r="D37" s="943"/>
      <c r="E37" s="14"/>
      <c r="F37" s="13"/>
      <c r="G37" s="13"/>
      <c r="H37" s="13"/>
      <c r="I37" s="16"/>
      <c r="J37" s="13"/>
      <c r="K37" s="13"/>
      <c r="L37" s="39"/>
      <c r="M37" s="12"/>
      <c r="N37" s="12"/>
      <c r="O37" s="12"/>
      <c r="P37" s="12"/>
      <c r="Q37" s="12"/>
      <c r="R37" s="12"/>
      <c r="S37" s="12"/>
      <c r="T37" s="12"/>
      <c r="U37" s="12"/>
      <c r="V37" s="12"/>
      <c r="W37" s="12"/>
      <c r="X37" s="12"/>
      <c r="Y37" s="12"/>
      <c r="Z37" s="12"/>
      <c r="AA37" s="12"/>
      <c r="AB37" s="67"/>
      <c r="AC37" s="995"/>
      <c r="AD37" s="1432"/>
      <c r="AE37" s="1408"/>
      <c r="AF37" s="1408"/>
      <c r="AG37" s="1388"/>
      <c r="AH37" s="1388"/>
      <c r="AI37" s="1410"/>
      <c r="AJ37" s="1410"/>
      <c r="AK37" s="1405"/>
      <c r="AL37" s="1405"/>
      <c r="AM37" s="1405"/>
      <c r="AN37" s="1405"/>
      <c r="AO37" s="1405"/>
      <c r="AP37" s="1405"/>
      <c r="AQ37" s="1405"/>
      <c r="AR37" s="1405"/>
      <c r="AS37" s="67"/>
      <c r="AT37" s="995"/>
      <c r="AU37" s="12"/>
      <c r="AV37" s="12"/>
      <c r="AW37" s="12"/>
      <c r="AX37" s="12"/>
      <c r="AY37" s="12"/>
      <c r="AZ37" s="12"/>
      <c r="BA37" s="12"/>
      <c r="BB37" s="12"/>
      <c r="BC37" s="12"/>
      <c r="BD37" s="40"/>
      <c r="BE37" s="40"/>
      <c r="BF37" s="13"/>
      <c r="BG37" s="13"/>
      <c r="BH37" s="13"/>
      <c r="BI37" s="13"/>
    </row>
    <row r="38" spans="1:61">
      <c r="A38" s="18"/>
      <c r="B38" s="763"/>
      <c r="C38" s="763"/>
      <c r="D38" s="763"/>
      <c r="E38" s="14"/>
      <c r="F38" s="452" t="s">
        <v>1399</v>
      </c>
      <c r="G38" s="16"/>
      <c r="H38" s="16"/>
      <c r="I38" s="16"/>
      <c r="J38" s="148"/>
      <c r="K38" s="14"/>
      <c r="L38" s="39"/>
      <c r="M38" s="12"/>
      <c r="N38" s="12"/>
      <c r="O38" s="12"/>
      <c r="P38" s="12"/>
      <c r="Q38" s="12"/>
      <c r="R38" s="12"/>
      <c r="S38" s="12"/>
      <c r="T38" s="12"/>
      <c r="U38" s="12"/>
      <c r="V38" s="12"/>
      <c r="W38" s="12"/>
      <c r="X38" s="12"/>
      <c r="Y38" s="12"/>
      <c r="Z38" s="12"/>
      <c r="AA38" s="12"/>
      <c r="AB38" s="67"/>
      <c r="AC38" s="995"/>
      <c r="AD38" s="891"/>
      <c r="AE38" s="1410" t="s">
        <v>571</v>
      </c>
      <c r="AF38" s="1408"/>
      <c r="AG38" s="1388"/>
      <c r="AH38" s="1388"/>
      <c r="AI38" s="1410"/>
      <c r="AJ38" s="1410"/>
      <c r="AK38" s="1405"/>
      <c r="AL38" s="1405"/>
      <c r="AM38" s="1405"/>
      <c r="AN38" s="1405"/>
      <c r="AO38" s="1405"/>
      <c r="AP38" s="1405"/>
      <c r="AQ38" s="1405"/>
      <c r="AR38" s="1405"/>
      <c r="AS38" s="67"/>
      <c r="AT38" s="995"/>
      <c r="AU38" s="12"/>
      <c r="AV38" s="12"/>
      <c r="AW38" s="12"/>
      <c r="AX38" s="12"/>
      <c r="AY38" s="12"/>
      <c r="AZ38" s="12"/>
      <c r="BA38" s="12"/>
      <c r="BB38" s="12"/>
      <c r="BC38" s="12"/>
      <c r="BD38" s="40"/>
      <c r="BE38" s="40"/>
      <c r="BF38" s="13"/>
      <c r="BG38" s="13"/>
      <c r="BH38" s="13"/>
      <c r="BI38" s="13"/>
    </row>
    <row r="39" spans="1:61">
      <c r="A39" s="139" t="s">
        <v>396</v>
      </c>
      <c r="B39" s="944"/>
      <c r="C39" s="944"/>
      <c r="D39" s="944"/>
      <c r="E39" s="14"/>
      <c r="F39" s="22" t="s">
        <v>571</v>
      </c>
      <c r="G39" s="23"/>
      <c r="H39" s="23"/>
      <c r="I39" s="16"/>
      <c r="J39" s="1102"/>
      <c r="K39" s="47" t="s">
        <v>468</v>
      </c>
      <c r="L39" s="39"/>
      <c r="M39" s="12"/>
      <c r="N39" s="12"/>
      <c r="O39" s="12"/>
      <c r="P39" s="12"/>
      <c r="Q39" s="12"/>
      <c r="R39" s="12"/>
      <c r="S39" s="12"/>
      <c r="T39" s="12"/>
      <c r="U39" s="12"/>
      <c r="V39" s="12"/>
      <c r="W39" s="12"/>
      <c r="X39" s="12"/>
      <c r="Y39" s="12"/>
      <c r="Z39" s="12"/>
      <c r="AA39" s="12"/>
      <c r="AB39" s="67"/>
      <c r="AC39" s="995"/>
      <c r="AD39" s="891" t="s">
        <v>396</v>
      </c>
      <c r="AE39" s="903" t="str">
        <f>_xlfn.CONCAT("grenswaarde GPR 6 bij bronmethode (",$P$22," )")</f>
        <v>grenswaarde GPR 6 bij bronmethode (NTA 8800 )</v>
      </c>
      <c r="AF39" s="1474"/>
      <c r="AG39" s="1475">
        <f>IF(SUM($M$44:$M$55)=0,0,SUMPRODUCT($M$44:$M$55,F$329:F$340)/SUM($M$44:$M$55))</f>
        <v>44.936660156249999</v>
      </c>
      <c r="AH39" s="1476" t="s">
        <v>427</v>
      </c>
      <c r="AI39" s="1410"/>
      <c r="AJ39" s="1410"/>
      <c r="AK39" s="1405"/>
      <c r="AL39" s="1405"/>
      <c r="AM39" s="1405"/>
      <c r="AN39" s="1405"/>
      <c r="AO39" s="1405"/>
      <c r="AP39" s="1405"/>
      <c r="AQ39" s="1405"/>
      <c r="AR39" s="1405"/>
      <c r="AS39" s="67"/>
      <c r="AT39" s="995"/>
      <c r="AU39" s="12"/>
      <c r="AV39" s="15" t="s">
        <v>1660</v>
      </c>
      <c r="AW39" s="15"/>
      <c r="AX39" s="15"/>
      <c r="AY39" s="15"/>
      <c r="AZ39" s="15"/>
      <c r="BA39" s="15"/>
      <c r="BB39" s="15"/>
      <c r="BC39" s="15"/>
      <c r="BD39" s="15"/>
      <c r="BE39" s="40"/>
      <c r="BF39" s="13"/>
      <c r="BG39" s="13"/>
      <c r="BH39" s="13"/>
      <c r="BI39" s="13"/>
    </row>
    <row r="40" spans="1:61">
      <c r="A40" s="139" t="s">
        <v>396</v>
      </c>
      <c r="B40" s="944"/>
      <c r="C40" s="944"/>
      <c r="D40" s="944"/>
      <c r="E40" s="14"/>
      <c r="F40" s="22" t="s">
        <v>1453</v>
      </c>
      <c r="G40" s="22"/>
      <c r="H40" s="22"/>
      <c r="I40" s="16"/>
      <c r="J40" s="915">
        <f>IF(AG39=0,"",1-AG40/AG39)</f>
        <v>1</v>
      </c>
      <c r="K40" s="47"/>
      <c r="L40" s="39"/>
      <c r="M40" s="12"/>
      <c r="N40" s="12"/>
      <c r="O40" s="12"/>
      <c r="P40" s="12"/>
      <c r="Q40" s="12"/>
      <c r="R40" s="12"/>
      <c r="S40" s="12"/>
      <c r="T40" s="12"/>
      <c r="U40" s="12"/>
      <c r="V40" s="12"/>
      <c r="W40" s="12"/>
      <c r="X40" s="12"/>
      <c r="Y40" s="12"/>
      <c r="Z40" s="12"/>
      <c r="AA40" s="12"/>
      <c r="AB40" s="67"/>
      <c r="AC40" s="995"/>
      <c r="AD40" s="1432"/>
      <c r="AE40" s="1383" t="s">
        <v>1401</v>
      </c>
      <c r="AF40" s="1444"/>
      <c r="AG40" s="1445">
        <f>IF($M$58=0,0,J39/$M$58)</f>
        <v>0</v>
      </c>
      <c r="AH40" s="1412" t="s">
        <v>427</v>
      </c>
      <c r="AI40" s="1410"/>
      <c r="AJ40" s="1410"/>
      <c r="AK40" s="1405"/>
      <c r="AL40" s="1405"/>
      <c r="AM40" s="1405"/>
      <c r="AN40" s="1405"/>
      <c r="AO40" s="1405"/>
      <c r="AP40" s="1405"/>
      <c r="AQ40" s="1405"/>
      <c r="AR40" s="1405"/>
      <c r="AS40" s="67"/>
      <c r="AT40" s="995"/>
      <c r="AU40" s="12"/>
      <c r="AV40" s="453" t="s">
        <v>1402</v>
      </c>
      <c r="AW40" s="890"/>
      <c r="AX40" s="970" t="s">
        <v>1489</v>
      </c>
      <c r="AY40" s="890" t="s">
        <v>1517</v>
      </c>
      <c r="AZ40" s="979" t="str">
        <f>tabellen_EMD!$H$174</f>
        <v>Resultaten per energiefunctie</v>
      </c>
      <c r="BA40" s="12"/>
      <c r="BB40" s="12"/>
      <c r="BC40" s="12"/>
      <c r="BD40" s="40"/>
      <c r="BE40" s="40"/>
      <c r="BF40" s="13"/>
      <c r="BG40" s="13"/>
      <c r="BH40" s="13"/>
      <c r="BI40" s="13"/>
    </row>
    <row r="41" spans="1:61">
      <c r="E41" s="452"/>
      <c r="F41" s="452"/>
      <c r="G41" s="452"/>
      <c r="H41" s="452"/>
      <c r="I41" s="452"/>
      <c r="J41" s="1003"/>
      <c r="K41" s="452"/>
      <c r="L41" s="452"/>
      <c r="M41" s="39"/>
      <c r="N41" s="39"/>
      <c r="O41" s="39"/>
      <c r="P41" s="39"/>
      <c r="Q41" s="39"/>
      <c r="R41" s="39"/>
      <c r="S41" s="39"/>
      <c r="T41" s="452"/>
      <c r="U41" s="12"/>
      <c r="V41" s="12"/>
      <c r="W41" s="12"/>
      <c r="X41" s="12"/>
      <c r="Y41" s="12"/>
      <c r="Z41" s="12"/>
      <c r="AA41" s="12"/>
      <c r="AB41" s="452"/>
      <c r="AC41" s="997"/>
      <c r="AD41" s="1405"/>
      <c r="AE41" s="1405"/>
      <c r="AF41" s="1405"/>
      <c r="AG41" s="1405"/>
      <c r="AH41" s="1405"/>
      <c r="AI41" s="1405"/>
      <c r="AJ41" s="1405"/>
      <c r="AK41" s="1405"/>
      <c r="AL41" s="1405"/>
      <c r="AM41" s="1405"/>
      <c r="AN41" s="1405"/>
      <c r="AO41" s="1405"/>
      <c r="AP41" s="1405"/>
      <c r="AQ41" s="1405"/>
      <c r="AR41" s="1405"/>
      <c r="AS41" s="67"/>
      <c r="AT41" s="997"/>
      <c r="AU41" s="12"/>
      <c r="AV41" s="47" t="str">
        <f>tabellen_EMD!C175</f>
        <v>Enorm</v>
      </c>
      <c r="AW41" s="47"/>
      <c r="AX41" s="47" t="str">
        <f>INDEX(tabellen_EMD!$C$174:$J$182,MATCH('NTA 8800 naar GPR4'!$AV41,tabellen_EMD!$C$174:$C$182,0),MATCH('NTA 8800 naar GPR4'!AX$40,tabellen_EMD!$C$174:$J$174,0))</f>
        <v>NEN 7120</v>
      </c>
      <c r="AY41" s="47" t="b">
        <f t="shared" ref="AY41:AY48" si="0">AX41=$P$22</f>
        <v>0</v>
      </c>
      <c r="AZ41" s="47" t="str">
        <f>INDEX(tabellen_EMD!$C$174:$J$182,MATCH('NTA 8800 naar GPR4'!$AV41,tabellen_EMD!$C$174:$C$182,0),MATCH('NTA 8800 naar GPR4'!AZ$40,tabellen_EMD!$C$174:$J$174,0))</f>
        <v>Resultaten | Primair energiegebruik</v>
      </c>
      <c r="BA41" s="47"/>
      <c r="BB41" s="47"/>
      <c r="BC41" s="47"/>
      <c r="BD41" s="47"/>
      <c r="BE41" s="47"/>
      <c r="BF41" s="13"/>
      <c r="BG41" s="13"/>
      <c r="BH41" s="13"/>
      <c r="BI41" s="13"/>
    </row>
    <row r="42" spans="1:61">
      <c r="A42" s="18"/>
      <c r="B42" s="763"/>
      <c r="C42" s="763"/>
      <c r="D42" s="763"/>
      <c r="E42" s="14"/>
      <c r="F42" s="15" t="str">
        <f>$F$31</f>
        <v>Overnemen uit EP-berekening 'Uniec 3 finaal'</v>
      </c>
      <c r="G42" s="16"/>
      <c r="H42" s="16"/>
      <c r="I42" s="16"/>
      <c r="J42" s="148"/>
      <c r="K42" s="14"/>
      <c r="L42" s="39"/>
      <c r="M42" s="15" t="str">
        <f>"Invullen in "&amp;$AY$23</f>
        <v>Invullen in GPR 4.4 | NTA 8800</v>
      </c>
      <c r="N42" s="39"/>
      <c r="O42" s="39"/>
      <c r="P42" s="39"/>
      <c r="Q42" s="12"/>
      <c r="R42" s="12"/>
      <c r="S42" s="12"/>
      <c r="T42" s="12"/>
      <c r="U42" s="12"/>
      <c r="V42" s="12"/>
      <c r="W42" s="12"/>
      <c r="X42" s="40"/>
      <c r="Y42" s="40"/>
      <c r="Z42" s="40"/>
      <c r="AA42" s="40"/>
      <c r="AB42" s="67"/>
      <c r="AC42" s="995"/>
      <c r="AD42" s="1405"/>
      <c r="AE42" s="1405"/>
      <c r="AF42" s="1405"/>
      <c r="AG42" s="1405"/>
      <c r="AH42" s="1405"/>
      <c r="AI42" s="1405"/>
      <c r="AJ42" s="1405"/>
      <c r="AK42" s="1405"/>
      <c r="AL42" s="1405"/>
      <c r="AM42" s="1405"/>
      <c r="AN42" s="1405"/>
      <c r="AO42" s="1405"/>
      <c r="AP42" s="1405"/>
      <c r="AQ42" s="1405"/>
      <c r="AR42" s="1405"/>
      <c r="AS42" s="67"/>
      <c r="AT42" s="995"/>
      <c r="AU42" s="12"/>
      <c r="AV42" s="47" t="str">
        <f>tabellen_EMD!C176</f>
        <v>Uniec 2 per functie</v>
      </c>
      <c r="AW42" s="47"/>
      <c r="AX42" s="47" t="str">
        <f>INDEX(tabellen_EMD!$C$174:$J$182,MATCH('NTA 8800 naar GPR4'!$AV42,tabellen_EMD!$C$174:$C$182,0),MATCH('NTA 8800 naar GPR4'!AX$40,tabellen_EMD!$C$174:$J$174,0))</f>
        <v>NEN 7120</v>
      </c>
      <c r="AY42" s="47" t="b">
        <f t="shared" si="0"/>
        <v>0</v>
      </c>
      <c r="AZ42" s="47" t="str">
        <f>INDEX(tabellen_EMD!$C$174:$J$182,MATCH('NTA 8800 naar GPR4'!$AV42,tabellen_EMD!$C$174:$C$182,0),MATCH('NTA 8800 naar GPR4'!AZ$40,tabellen_EMD!$C$174:$J$174,0))</f>
        <v>Jaarlijkse hoeveelheid primaire energie voor de energiefunctie</v>
      </c>
      <c r="BA42" s="47"/>
      <c r="BB42" s="47"/>
      <c r="BC42" s="47"/>
      <c r="BD42" s="47"/>
      <c r="BE42" s="47"/>
      <c r="BF42" s="13"/>
      <c r="BG42" s="13"/>
      <c r="BH42" s="13"/>
      <c r="BI42" s="13"/>
    </row>
    <row r="43" spans="1:61" s="448" customFormat="1">
      <c r="A43" s="139"/>
      <c r="B43" s="944"/>
      <c r="C43" s="944"/>
      <c r="D43" s="944"/>
      <c r="E43" s="450"/>
      <c r="F43" s="453" t="s">
        <v>1709</v>
      </c>
      <c r="G43" s="16"/>
      <c r="H43" s="16"/>
      <c r="I43" s="16"/>
      <c r="J43" s="453" t="s">
        <v>561</v>
      </c>
      <c r="K43" s="453"/>
      <c r="L43" s="453"/>
      <c r="M43" s="453" t="s">
        <v>561</v>
      </c>
      <c r="N43" s="453"/>
      <c r="O43" s="12"/>
      <c r="P43" s="453" t="s">
        <v>408</v>
      </c>
      <c r="Q43" s="453"/>
      <c r="R43" s="12"/>
      <c r="S43" s="453" t="s">
        <v>571</v>
      </c>
      <c r="T43" s="889"/>
      <c r="U43" s="12"/>
      <c r="V43" s="890"/>
      <c r="W43" s="890"/>
      <c r="X43" s="890"/>
      <c r="Y43" s="890"/>
      <c r="Z43" s="890"/>
      <c r="AA43" s="890"/>
      <c r="AB43" s="1004"/>
      <c r="AC43" s="998"/>
      <c r="AD43" s="1405"/>
      <c r="AE43" s="1413" t="str">
        <f>F43</f>
        <v xml:space="preserve">Gebruiksfunctie </v>
      </c>
      <c r="AF43" s="1408"/>
      <c r="AG43" s="1414" t="s">
        <v>516</v>
      </c>
      <c r="AH43" s="1414" t="s">
        <v>510</v>
      </c>
      <c r="AI43" s="1410"/>
      <c r="AJ43" s="1414" t="s">
        <v>1783</v>
      </c>
      <c r="AK43" s="1405" t="s">
        <v>396</v>
      </c>
      <c r="AL43" s="1405"/>
      <c r="AM43" s="1405"/>
      <c r="AN43" s="1405"/>
      <c r="AO43" s="1405"/>
      <c r="AP43" s="1405"/>
      <c r="AQ43" s="1405"/>
      <c r="AR43" s="1405"/>
      <c r="AS43" s="67"/>
      <c r="AT43" s="998"/>
      <c r="AU43" s="12"/>
      <c r="AV43" s="47" t="str">
        <f>tabellen_EMD!C177</f>
        <v>Uniec 2 finaal</v>
      </c>
      <c r="AW43" s="47"/>
      <c r="AX43" s="47" t="str">
        <f>INDEX(tabellen_EMD!$C$174:$J$182,MATCH('NTA 8800 naar GPR4'!$AV43,tabellen_EMD!$C$174:$C$182,0),MATCH('NTA 8800 naar GPR4'!AX$40,tabellen_EMD!$C$174:$J$174,0))</f>
        <v>NEN 7120</v>
      </c>
      <c r="AY43" s="47" t="b">
        <f t="shared" si="0"/>
        <v>0</v>
      </c>
      <c r="AZ43" s="47" t="str">
        <f>INDEX(tabellen_EMD!$C$174:$J$182,MATCH('NTA 8800 naar GPR4'!$AV43,tabellen_EMD!$C$174:$C$182,0),MATCH('NTA 8800 naar GPR4'!AZ$40,tabellen_EMD!$C$174:$J$174,0))</f>
        <v>Jaarlijkse hoeveelheid primaire energie voor de energiefunctie</v>
      </c>
      <c r="BA43" s="47"/>
      <c r="BB43" s="47"/>
      <c r="BC43" s="47"/>
      <c r="BD43" s="47"/>
      <c r="BE43" s="47"/>
      <c r="BF43" s="13"/>
      <c r="BG43" s="13"/>
      <c r="BH43" s="13"/>
      <c r="BI43" s="13"/>
    </row>
    <row r="44" spans="1:61">
      <c r="E44" s="14"/>
      <c r="F44" s="22" t="s">
        <v>297</v>
      </c>
      <c r="G44" s="47"/>
      <c r="H44" s="47"/>
      <c r="I44" s="16"/>
      <c r="J44" s="25"/>
      <c r="K44" s="47" t="s">
        <v>562</v>
      </c>
      <c r="L44" s="453"/>
      <c r="M44" s="24">
        <f t="shared" ref="M44:M55" si="1">IF(OR(J44="",SUM($J$44:$J$56)=0),0,SUM($J$44:$J$56)/SUM($J$44:$J$55)*J44)</f>
        <v>0</v>
      </c>
      <c r="N44" s="47" t="s">
        <v>562</v>
      </c>
      <c r="O44" s="12"/>
      <c r="P44" s="24" t="str">
        <f t="shared" ref="P44:P55" si="2">IFERROR(IF(OR($J44=0,ISNUMBER($J$35)=FALSE),"",Z307),"")</f>
        <v/>
      </c>
      <c r="Q44" s="22" t="str">
        <f t="shared" ref="Q44" si="3">IFERROR(INDEX(EP_Methode_BRON_per_GPR_Versie_Eenheid,MATCH(EP_doelmethode,GPR_Versie_En_EP_Methode,0)),"")</f>
        <v>kWh</v>
      </c>
      <c r="R44" s="12"/>
      <c r="S44" s="24" t="str">
        <f>IFERROR(Q329,"")</f>
        <v/>
      </c>
      <c r="T44" s="22" t="s">
        <v>468</v>
      </c>
      <c r="U44" s="12"/>
      <c r="V44" s="40"/>
      <c r="W44" s="40"/>
      <c r="X44" s="40"/>
      <c r="Y44" s="40"/>
      <c r="Z44" s="1338"/>
      <c r="AA44" s="40"/>
      <c r="AB44" s="67"/>
      <c r="AC44" s="995"/>
      <c r="AD44" s="1405"/>
      <c r="AE44" s="1383" t="str">
        <f t="shared" ref="AE44:AE56" si="4">F44</f>
        <v>woning</v>
      </c>
      <c r="AF44" s="1441"/>
      <c r="AG44" s="1447" t="str">
        <f>IFERROR(_xlfn.CONCAT(FIXED(P44/$M44,0)," ",Q44,"/m2"),"")</f>
        <v/>
      </c>
      <c r="AH44" s="1411" t="str">
        <f>IFERROR(_xlfn.CONCAT(FIXED(S44/$M44,1)," ",T44,"/m2"),"")</f>
        <v/>
      </c>
      <c r="AI44" s="1410"/>
      <c r="AJ44" s="1447">
        <v>30</v>
      </c>
      <c r="AK44" s="22" t="s">
        <v>1784</v>
      </c>
      <c r="AL44" s="1405"/>
      <c r="AM44" s="1405"/>
      <c r="AN44" s="1405"/>
      <c r="AO44" s="1405"/>
      <c r="AP44" s="1405"/>
      <c r="AQ44" s="1405"/>
      <c r="AR44" s="1405"/>
      <c r="AS44" s="67"/>
      <c r="AT44" s="995"/>
      <c r="AU44" s="12"/>
      <c r="AV44" s="47" t="str">
        <f>tabellen_EMD!C178</f>
        <v>VABI NTA 8800</v>
      </c>
      <c r="AW44" s="47"/>
      <c r="AX44" s="47" t="str">
        <f>INDEX(tabellen_EMD!$C$174:$J$182,MATCH('NTA 8800 naar GPR4'!$AV44,tabellen_EMD!$C$174:$C$182,0),MATCH('NTA 8800 naar GPR4'!AX$40,tabellen_EMD!$C$174:$J$174,0))</f>
        <v>NTA 8800</v>
      </c>
      <c r="AY44" s="47" t="b">
        <f t="shared" si="0"/>
        <v>1</v>
      </c>
      <c r="AZ44" s="47" t="str">
        <f>INDEX(tabellen_EMD!$C$174:$J$182,MATCH('NTA 8800 naar GPR4'!$AV44,tabellen_EMD!$C$174:$C$182,0),MATCH('NTA 8800 naar GPR4'!AZ$40,tabellen_EMD!$C$174:$J$174,0))</f>
        <v>Totale deelposten (niet primair)</v>
      </c>
      <c r="BA44" s="47"/>
      <c r="BB44" s="47"/>
      <c r="BC44" s="47"/>
      <c r="BD44" s="47"/>
      <c r="BE44" s="47"/>
      <c r="BF44" s="13"/>
      <c r="BG44" s="13"/>
      <c r="BH44" s="13"/>
      <c r="BI44" s="13"/>
    </row>
    <row r="45" spans="1:61">
      <c r="E45" s="14"/>
      <c r="F45" s="22" t="s">
        <v>298</v>
      </c>
      <c r="G45" s="47"/>
      <c r="H45" s="47"/>
      <c r="I45" s="16"/>
      <c r="J45" s="25"/>
      <c r="K45" s="47" t="s">
        <v>562</v>
      </c>
      <c r="L45" s="453"/>
      <c r="M45" s="24">
        <f t="shared" si="1"/>
        <v>0</v>
      </c>
      <c r="N45" s="47" t="s">
        <v>562</v>
      </c>
      <c r="O45" s="12"/>
      <c r="P45" s="24" t="str">
        <f t="shared" si="2"/>
        <v/>
      </c>
      <c r="Q45" s="22" t="str">
        <f t="shared" ref="Q45:Q52" si="5">IFERROR(INDEX(EP_Methode_BRON_per_GPR_Versie_Eenheid,MATCH(EP_doelmethode,GPR_Versie_En_EP_Methode,0)),"")</f>
        <v>kWh</v>
      </c>
      <c r="R45" s="12"/>
      <c r="S45" s="24" t="str">
        <f t="shared" ref="S45:S55" si="6">IFERROR(Q330,"")</f>
        <v/>
      </c>
      <c r="T45" s="22" t="s">
        <v>468</v>
      </c>
      <c r="U45" s="12"/>
      <c r="V45" s="40"/>
      <c r="W45" s="40"/>
      <c r="X45" s="40"/>
      <c r="Y45" s="40"/>
      <c r="Z45" s="40"/>
      <c r="AA45" s="40"/>
      <c r="AB45" s="67"/>
      <c r="AC45" s="995"/>
      <c r="AD45" s="1405"/>
      <c r="AE45" s="1383" t="str">
        <f t="shared" si="4"/>
        <v>woongebouw</v>
      </c>
      <c r="AF45" s="1441"/>
      <c r="AG45" s="1447" t="str">
        <f t="shared" ref="AG45:AG55" si="7">IFERROR(_xlfn.CONCAT(FIXED(P45/$M45,0)," ",Q45,"/m2"),"")</f>
        <v/>
      </c>
      <c r="AH45" s="1411" t="str">
        <f t="shared" ref="AH45:AH55" si="8">IFERROR(_xlfn.CONCAT(FIXED(S45/$M45,1)," ",T45,"/m2"),"")</f>
        <v/>
      </c>
      <c r="AI45" s="1410"/>
      <c r="AJ45" s="1447">
        <v>50</v>
      </c>
      <c r="AK45" s="22" t="s">
        <v>1784</v>
      </c>
      <c r="AL45" s="1405"/>
      <c r="AM45" s="1405"/>
      <c r="AN45" s="1405"/>
      <c r="AO45" s="1405"/>
      <c r="AP45" s="1405"/>
      <c r="AQ45" s="1405"/>
      <c r="AR45" s="1405"/>
      <c r="AS45" s="67"/>
      <c r="AT45" s="995"/>
      <c r="AU45" s="12"/>
      <c r="AV45" s="47" t="str">
        <f>tabellen_EMD!C179</f>
        <v>Uniec 3 per functie</v>
      </c>
      <c r="AW45" s="47"/>
      <c r="AX45" s="47" t="str">
        <f>INDEX(tabellen_EMD!$C$174:$J$182,MATCH('NTA 8800 naar GPR4'!$AV45,tabellen_EMD!$C$174:$C$182,0),MATCH('NTA 8800 naar GPR4'!AX$40,tabellen_EMD!$C$174:$J$174,0))</f>
        <v>NTA 8800</v>
      </c>
      <c r="AY45" s="47" t="b">
        <f t="shared" si="0"/>
        <v>1</v>
      </c>
      <c r="AZ45" s="47" t="str">
        <f>INDEX(tabellen_EMD!$C$174:$J$182,MATCH('NTA 8800 naar GPR4'!$AV45,tabellen_EMD!$C$174:$C$182,0),MATCH('NTA 8800 naar GPR4'!AZ$40,tabellen_EMD!$C$174:$J$174,0))</f>
        <v>Jaarlijkse hoeveelheid energiegebruik voor de energiefunctie</v>
      </c>
      <c r="BA45" s="47"/>
      <c r="BB45" s="47"/>
      <c r="BC45" s="47"/>
      <c r="BD45" s="47"/>
      <c r="BE45" s="47"/>
      <c r="BF45" s="13"/>
      <c r="BG45" s="13"/>
      <c r="BH45" s="13"/>
      <c r="BI45" s="13"/>
    </row>
    <row r="46" spans="1:61">
      <c r="E46" s="14"/>
      <c r="F46" s="22" t="s">
        <v>303</v>
      </c>
      <c r="G46" s="47"/>
      <c r="H46" s="47"/>
      <c r="I46" s="16"/>
      <c r="J46" s="25">
        <v>100</v>
      </c>
      <c r="K46" s="47" t="s">
        <v>562</v>
      </c>
      <c r="L46" s="453"/>
      <c r="M46" s="24">
        <f t="shared" si="1"/>
        <v>100</v>
      </c>
      <c r="N46" s="47" t="s">
        <v>562</v>
      </c>
      <c r="O46" s="12"/>
      <c r="P46" s="24">
        <f t="shared" si="2"/>
        <v>-2562.9139072847679</v>
      </c>
      <c r="Q46" s="22" t="str">
        <f t="shared" si="5"/>
        <v>kWh</v>
      </c>
      <c r="R46" s="12"/>
      <c r="S46" s="24">
        <f t="shared" si="6"/>
        <v>0</v>
      </c>
      <c r="T46" s="22" t="s">
        <v>468</v>
      </c>
      <c r="U46" s="12"/>
      <c r="V46" s="40"/>
      <c r="W46" s="40"/>
      <c r="X46" s="40"/>
      <c r="Y46" s="40"/>
      <c r="Z46" s="40"/>
      <c r="AA46" s="40"/>
      <c r="AB46" s="67"/>
      <c r="AC46" s="995"/>
      <c r="AD46" s="1405"/>
      <c r="AE46" s="1383" t="str">
        <f t="shared" si="4"/>
        <v>kantoor</v>
      </c>
      <c r="AF46" s="1441"/>
      <c r="AG46" s="1447" t="str">
        <f t="shared" si="7"/>
        <v>-26 kWh/m2</v>
      </c>
      <c r="AH46" s="1411" t="str">
        <f t="shared" si="8"/>
        <v>0.0 kg/m2</v>
      </c>
      <c r="AI46" s="1410"/>
      <c r="AJ46" s="1447">
        <v>40</v>
      </c>
      <c r="AK46" s="22" t="s">
        <v>1784</v>
      </c>
      <c r="AL46" s="1405"/>
      <c r="AM46" s="1405"/>
      <c r="AN46" s="1405"/>
      <c r="AO46" s="1405"/>
      <c r="AP46" s="1405"/>
      <c r="AQ46" s="1405"/>
      <c r="AR46" s="1405"/>
      <c r="AS46" s="67"/>
      <c r="AT46" s="995"/>
      <c r="AU46" s="40"/>
      <c r="AV46" s="47" t="str">
        <f>tabellen_EMD!C180</f>
        <v>Uniec 3 finaal</v>
      </c>
      <c r="AW46" s="47"/>
      <c r="AX46" s="47" t="str">
        <f>INDEX(tabellen_EMD!$C$174:$J$182,MATCH('NTA 8800 naar GPR4'!$AV46,tabellen_EMD!$C$174:$C$182,0),MATCH('NTA 8800 naar GPR4'!AX$40,tabellen_EMD!$C$174:$J$174,0))</f>
        <v>NTA 8800</v>
      </c>
      <c r="AY46" s="47" t="b">
        <f t="shared" si="0"/>
        <v>1</v>
      </c>
      <c r="AZ46" s="47" t="str">
        <f>INDEX(tabellen_EMD!$C$174:$J$182,MATCH('NTA 8800 naar GPR4'!$AV46,tabellen_EMD!$C$174:$C$182,0),MATCH('NTA 8800 naar GPR4'!AZ$40,tabellen_EMD!$C$174:$J$174,0))</f>
        <v>Jaarlijkse hoeveelheid energiegebruik voor de energiefunctie</v>
      </c>
      <c r="BA46" s="47"/>
      <c r="BB46" s="47"/>
      <c r="BC46" s="47"/>
      <c r="BD46" s="47"/>
      <c r="BE46" s="47"/>
      <c r="BF46" s="13"/>
      <c r="BG46" s="13"/>
      <c r="BH46" s="13"/>
      <c r="BI46" s="13"/>
    </row>
    <row r="47" spans="1:61">
      <c r="E47" s="14"/>
      <c r="F47" s="22" t="s">
        <v>299</v>
      </c>
      <c r="G47" s="47"/>
      <c r="H47" s="47"/>
      <c r="I47" s="16"/>
      <c r="J47" s="25">
        <v>100</v>
      </c>
      <c r="K47" s="47" t="s">
        <v>562</v>
      </c>
      <c r="L47" s="453"/>
      <c r="M47" s="24">
        <f t="shared" si="1"/>
        <v>100</v>
      </c>
      <c r="N47" s="47" t="s">
        <v>562</v>
      </c>
      <c r="O47" s="12"/>
      <c r="P47" s="24">
        <f t="shared" si="2"/>
        <v>1096.0264900662253</v>
      </c>
      <c r="Q47" s="22" t="str">
        <f t="shared" si="5"/>
        <v>kWh</v>
      </c>
      <c r="R47" s="12"/>
      <c r="S47" s="24">
        <f t="shared" si="6"/>
        <v>0</v>
      </c>
      <c r="T47" s="22" t="s">
        <v>468</v>
      </c>
      <c r="U47" s="12"/>
      <c r="V47" s="40"/>
      <c r="W47" s="40"/>
      <c r="X47" s="40"/>
      <c r="Y47" s="40"/>
      <c r="Z47" s="40"/>
      <c r="AA47" s="40"/>
      <c r="AB47" s="67"/>
      <c r="AC47" s="995"/>
      <c r="AD47" s="1405"/>
      <c r="AE47" s="1383" t="str">
        <f t="shared" si="4"/>
        <v>bijeenkomst overig</v>
      </c>
      <c r="AF47" s="1441"/>
      <c r="AG47" s="1447" t="str">
        <f t="shared" si="7"/>
        <v>11 kWh/m2</v>
      </c>
      <c r="AH47" s="1411" t="str">
        <f t="shared" si="8"/>
        <v>0.0 kg/m2</v>
      </c>
      <c r="AI47" s="1410"/>
      <c r="AJ47" s="1447">
        <v>60</v>
      </c>
      <c r="AK47" s="22" t="s">
        <v>1784</v>
      </c>
      <c r="AL47" s="1405"/>
      <c r="AM47" s="1405"/>
      <c r="AN47" s="1405"/>
      <c r="AO47" s="1405"/>
      <c r="AP47" s="1405"/>
      <c r="AQ47" s="1405"/>
      <c r="AR47" s="1405"/>
      <c r="AS47" s="67"/>
      <c r="AT47" s="995"/>
      <c r="AU47" s="40"/>
      <c r="AV47" s="47" t="str">
        <f>tabellen_EMD!C181</f>
        <v>VABI EPA-U</v>
      </c>
      <c r="AW47" s="47"/>
      <c r="AX47" s="47" t="str">
        <f>INDEX(tabellen_EMD!$C$174:$J$182,MATCH('NTA 8800 naar GPR4'!$AV47,tabellen_EMD!$C$174:$C$182,0),MATCH('NTA 8800 naar GPR4'!AX$40,tabellen_EMD!$C$174:$J$174,0))</f>
        <v>ISSO 75.3</v>
      </c>
      <c r="AY47" s="47" t="b">
        <f t="shared" si="0"/>
        <v>0</v>
      </c>
      <c r="AZ47" s="47" t="str">
        <f>INDEX(tabellen_EMD!$C$174:$J$182,MATCH('NTA 8800 naar GPR4'!$AV47,tabellen_EMD!$C$174:$C$182,0),MATCH('NTA 8800 naar GPR4'!AZ$40,tabellen_EMD!$C$174:$J$174,0))</f>
        <v>Energiegebruik per deelpost in de huidige situatie</v>
      </c>
      <c r="BA47" s="47"/>
      <c r="BB47" s="47"/>
      <c r="BC47" s="47"/>
      <c r="BD47" s="47"/>
      <c r="BE47" s="47"/>
      <c r="BF47" s="13"/>
      <c r="BG47" s="13"/>
      <c r="BH47" s="13"/>
      <c r="BI47" s="13"/>
    </row>
    <row r="48" spans="1:61">
      <c r="E48" s="14"/>
      <c r="F48" s="22" t="s">
        <v>422</v>
      </c>
      <c r="G48" s="47"/>
      <c r="H48" s="47"/>
      <c r="I48" s="16"/>
      <c r="J48" s="25">
        <v>100</v>
      </c>
      <c r="K48" s="47" t="s">
        <v>562</v>
      </c>
      <c r="L48" s="453"/>
      <c r="M48" s="24">
        <f t="shared" si="1"/>
        <v>100</v>
      </c>
      <c r="N48" s="47" t="s">
        <v>562</v>
      </c>
      <c r="O48" s="12"/>
      <c r="P48" s="24">
        <f t="shared" si="2"/>
        <v>1466.8874172185435</v>
      </c>
      <c r="Q48" s="22" t="str">
        <f t="shared" si="5"/>
        <v>kWh</v>
      </c>
      <c r="R48" s="12"/>
      <c r="S48" s="24">
        <f t="shared" si="6"/>
        <v>0</v>
      </c>
      <c r="T48" s="22" t="s">
        <v>468</v>
      </c>
      <c r="U48" s="12"/>
      <c r="V48" s="40"/>
      <c r="W48" s="40"/>
      <c r="X48" s="40"/>
      <c r="Y48" s="40"/>
      <c r="Z48" s="40"/>
      <c r="AA48" s="40"/>
      <c r="AB48" s="67"/>
      <c r="AC48" s="995"/>
      <c r="AD48" s="1405"/>
      <c r="AE48" s="1383" t="str">
        <f t="shared" si="4"/>
        <v>bijeenkomst kinderdagverblijf</v>
      </c>
      <c r="AF48" s="1441"/>
      <c r="AG48" s="1447" t="str">
        <f t="shared" si="7"/>
        <v>15 kWh/m2</v>
      </c>
      <c r="AH48" s="1411" t="str">
        <f t="shared" si="8"/>
        <v>0.0 kg/m2</v>
      </c>
      <c r="AI48" s="1410"/>
      <c r="AJ48" s="1447">
        <v>70</v>
      </c>
      <c r="AK48" s="22" t="s">
        <v>1784</v>
      </c>
      <c r="AL48" s="1405"/>
      <c r="AM48" s="1405"/>
      <c r="AN48" s="1405"/>
      <c r="AO48" s="1405"/>
      <c r="AP48" s="1405"/>
      <c r="AQ48" s="1405"/>
      <c r="AR48" s="1405"/>
      <c r="AS48" s="67"/>
      <c r="AT48" s="995"/>
      <c r="AU48" s="40"/>
      <c r="AV48" s="47" t="str">
        <f>tabellen_EMD!C182</f>
        <v>Energielabel utiliteit</v>
      </c>
      <c r="AW48" s="47"/>
      <c r="AX48" s="47" t="str">
        <f>INDEX(tabellen_EMD!$C$174:$J$182,MATCH('NTA 8800 naar GPR4'!$AV48,tabellen_EMD!$C$174:$C$182,0),MATCH('NTA 8800 naar GPR4'!AX$40,tabellen_EMD!$C$174:$J$174,0))</f>
        <v>ISSO 75.3</v>
      </c>
      <c r="AY48" s="47" t="b">
        <f t="shared" si="0"/>
        <v>0</v>
      </c>
      <c r="AZ48" s="47" t="str">
        <f>INDEX(tabellen_EMD!$C$174:$J$182,MATCH('NTA 8800 naar GPR4'!$AV48,tabellen_EMD!$C$174:$C$182,0),MATCH('NTA 8800 naar GPR4'!AZ$40,tabellen_EMD!$C$174:$J$174,0))</f>
        <v>Standaard energiegebruik voor dit gebouw</v>
      </c>
      <c r="BA48" s="47"/>
      <c r="BB48" s="47"/>
      <c r="BC48" s="47"/>
      <c r="BD48" s="47"/>
      <c r="BE48" s="47"/>
      <c r="BF48" s="13"/>
      <c r="BG48" s="13"/>
      <c r="BH48" s="13"/>
      <c r="BI48" s="13"/>
    </row>
    <row r="49" spans="1:61">
      <c r="E49" s="14"/>
      <c r="F49" s="22" t="s">
        <v>305</v>
      </c>
      <c r="G49" s="47"/>
      <c r="H49" s="47"/>
      <c r="I49" s="16"/>
      <c r="J49" s="25"/>
      <c r="K49" s="47" t="s">
        <v>562</v>
      </c>
      <c r="L49" s="453"/>
      <c r="M49" s="24">
        <f t="shared" si="1"/>
        <v>0</v>
      </c>
      <c r="N49" s="47" t="s">
        <v>562</v>
      </c>
      <c r="O49" s="12"/>
      <c r="P49" s="24" t="str">
        <f t="shared" si="2"/>
        <v/>
      </c>
      <c r="Q49" s="22" t="str">
        <f t="shared" si="5"/>
        <v>kWh</v>
      </c>
      <c r="R49" s="12"/>
      <c r="S49" s="24" t="str">
        <f t="shared" si="6"/>
        <v/>
      </c>
      <c r="T49" s="22" t="s">
        <v>468</v>
      </c>
      <c r="U49" s="12"/>
      <c r="V49" s="40"/>
      <c r="W49" s="40"/>
      <c r="X49" s="40"/>
      <c r="Y49" s="40"/>
      <c r="Z49" s="40"/>
      <c r="AA49" s="40"/>
      <c r="AB49" s="67"/>
      <c r="AC49" s="995"/>
      <c r="AD49" s="1405"/>
      <c r="AE49" s="1383" t="str">
        <f t="shared" si="4"/>
        <v>onderwijs</v>
      </c>
      <c r="AF49" s="1441"/>
      <c r="AG49" s="1447" t="str">
        <f t="shared" si="7"/>
        <v/>
      </c>
      <c r="AH49" s="1411" t="str">
        <f t="shared" si="8"/>
        <v/>
      </c>
      <c r="AI49" s="1410"/>
      <c r="AJ49" s="1447">
        <v>70</v>
      </c>
      <c r="AK49" s="22" t="s">
        <v>1784</v>
      </c>
      <c r="AL49" s="1405"/>
      <c r="AM49" s="1405"/>
      <c r="AN49" s="1405"/>
      <c r="AO49" s="1405"/>
      <c r="AP49" s="1405"/>
      <c r="AQ49" s="1405"/>
      <c r="AR49" s="1405"/>
      <c r="AS49" s="67"/>
      <c r="AT49" s="995"/>
      <c r="AU49" s="40"/>
      <c r="AV49" s="40"/>
      <c r="AW49" s="40"/>
      <c r="AX49" s="40"/>
      <c r="AY49" s="40"/>
      <c r="AZ49" s="40"/>
      <c r="BA49" s="40"/>
      <c r="BB49" s="40"/>
      <c r="BC49" s="40"/>
      <c r="BD49" s="40"/>
      <c r="BE49" s="40"/>
      <c r="BF49" s="13"/>
      <c r="BG49" s="13"/>
      <c r="BH49" s="13"/>
      <c r="BI49" s="13"/>
    </row>
    <row r="50" spans="1:61">
      <c r="A50" s="139" t="s">
        <v>396</v>
      </c>
      <c r="B50" s="944"/>
      <c r="C50" s="944"/>
      <c r="D50" s="944"/>
      <c r="E50" s="14"/>
      <c r="F50" s="22" t="s">
        <v>302</v>
      </c>
      <c r="G50" s="47"/>
      <c r="H50" s="47"/>
      <c r="I50" s="16"/>
      <c r="J50" s="25"/>
      <c r="K50" s="47" t="s">
        <v>562</v>
      </c>
      <c r="L50" s="453"/>
      <c r="M50" s="24">
        <f t="shared" si="1"/>
        <v>0</v>
      </c>
      <c r="N50" s="47" t="s">
        <v>562</v>
      </c>
      <c r="O50" s="12"/>
      <c r="P50" s="24" t="str">
        <f t="shared" si="2"/>
        <v/>
      </c>
      <c r="Q50" s="22" t="str">
        <f t="shared" si="5"/>
        <v>kWh</v>
      </c>
      <c r="R50" s="12"/>
      <c r="S50" s="24" t="str">
        <f t="shared" si="6"/>
        <v/>
      </c>
      <c r="T50" s="22" t="s">
        <v>468</v>
      </c>
      <c r="U50" s="12"/>
      <c r="V50" s="40"/>
      <c r="W50" s="40"/>
      <c r="X50" s="40"/>
      <c r="Y50" s="40"/>
      <c r="Z50" s="40"/>
      <c r="AA50" s="40"/>
      <c r="AB50" s="67"/>
      <c r="AC50" s="995"/>
      <c r="AD50" s="1405"/>
      <c r="AE50" s="1383" t="str">
        <f t="shared" si="4"/>
        <v>gezondheid overig</v>
      </c>
      <c r="AF50" s="1441"/>
      <c r="AG50" s="1447" t="str">
        <f t="shared" si="7"/>
        <v/>
      </c>
      <c r="AH50" s="1411" t="str">
        <f t="shared" si="8"/>
        <v/>
      </c>
      <c r="AI50" s="1410"/>
      <c r="AJ50" s="1447">
        <v>50</v>
      </c>
      <c r="AK50" s="22" t="s">
        <v>1784</v>
      </c>
      <c r="AL50" s="1405"/>
      <c r="AM50" s="1405"/>
      <c r="AN50" s="1405"/>
      <c r="AO50" s="1405"/>
      <c r="AP50" s="1405"/>
      <c r="AQ50" s="1405"/>
      <c r="AR50" s="1405"/>
      <c r="AS50" s="67"/>
      <c r="AT50" s="995"/>
      <c r="AU50" s="40"/>
      <c r="AV50" s="15" t="s">
        <v>1661</v>
      </c>
      <c r="AW50" s="15"/>
      <c r="AX50" s="15"/>
      <c r="AY50" s="15"/>
      <c r="AZ50" s="15"/>
      <c r="BA50" s="15"/>
      <c r="BB50" s="15"/>
      <c r="BC50" s="15"/>
      <c r="BD50" s="15"/>
      <c r="BE50" s="15"/>
      <c r="BF50" s="13"/>
      <c r="BG50" s="13"/>
      <c r="BH50" s="13"/>
      <c r="BI50" s="13"/>
    </row>
    <row r="51" spans="1:61">
      <c r="A51" s="139" t="s">
        <v>396</v>
      </c>
      <c r="B51" s="944"/>
      <c r="C51" s="944"/>
      <c r="D51" s="944"/>
      <c r="E51" s="14"/>
      <c r="F51" s="22" t="s">
        <v>423</v>
      </c>
      <c r="G51" s="47"/>
      <c r="H51" s="47"/>
      <c r="I51" s="16"/>
      <c r="J51" s="25"/>
      <c r="K51" s="47" t="s">
        <v>562</v>
      </c>
      <c r="L51" s="453"/>
      <c r="M51" s="24">
        <f t="shared" si="1"/>
        <v>0</v>
      </c>
      <c r="N51" s="47" t="s">
        <v>562</v>
      </c>
      <c r="O51" s="12"/>
      <c r="P51" s="24" t="str">
        <f t="shared" si="2"/>
        <v/>
      </c>
      <c r="Q51" s="22" t="str">
        <f t="shared" si="5"/>
        <v>kWh</v>
      </c>
      <c r="R51" s="12"/>
      <c r="S51" s="24" t="str">
        <f t="shared" si="6"/>
        <v/>
      </c>
      <c r="T51" s="22" t="s">
        <v>468</v>
      </c>
      <c r="U51" s="12"/>
      <c r="V51" s="40"/>
      <c r="W51" s="40"/>
      <c r="X51" s="40"/>
      <c r="Y51" s="40"/>
      <c r="Z51" s="40"/>
      <c r="AA51" s="40"/>
      <c r="AB51" s="67"/>
      <c r="AC51" s="995"/>
      <c r="AD51" s="1405"/>
      <c r="AE51" s="1383" t="str">
        <f t="shared" si="4"/>
        <v>gezondheid bedgebied</v>
      </c>
      <c r="AF51" s="1441"/>
      <c r="AG51" s="1447" t="str">
        <f t="shared" si="7"/>
        <v/>
      </c>
      <c r="AH51" s="1411" t="str">
        <f t="shared" si="8"/>
        <v/>
      </c>
      <c r="AI51" s="1410"/>
      <c r="AJ51" s="1447">
        <v>130</v>
      </c>
      <c r="AK51" s="22" t="s">
        <v>1784</v>
      </c>
      <c r="AL51" s="1405"/>
      <c r="AM51" s="1405"/>
      <c r="AN51" s="1405"/>
      <c r="AO51" s="1405"/>
      <c r="AP51" s="1405"/>
      <c r="AQ51" s="1405"/>
      <c r="AR51" s="1405"/>
      <c r="AS51" s="67"/>
      <c r="AT51" s="995"/>
      <c r="AU51" s="40"/>
      <c r="AV51" s="453" t="s">
        <v>1402</v>
      </c>
      <c r="AW51" s="453"/>
      <c r="AX51" s="453" t="str">
        <f>tabellen_EMD!G174</f>
        <v>Primaire energie</v>
      </c>
      <c r="AY51" s="453"/>
      <c r="AZ51" s="453"/>
      <c r="BA51" s="453" t="s">
        <v>1513</v>
      </c>
      <c r="BB51" s="15"/>
      <c r="BC51" s="977" t="str">
        <f>tabellen_EMD!$F$46</f>
        <v>Primaire energie</v>
      </c>
      <c r="BD51" s="979" t="str">
        <f>tabellen_EMD!$G$46</f>
        <v>Eenheid primaire energie</v>
      </c>
      <c r="BE51" s="979" t="str">
        <f>tabellen_EMD!$H$46</f>
        <v>Indicator primaire energie</v>
      </c>
      <c r="BF51" s="979" t="str">
        <f>tabellen_EMD!I46</f>
        <v>Primaire energie per m2</v>
      </c>
      <c r="BG51" s="13"/>
      <c r="BH51" s="13"/>
      <c r="BI51" s="13"/>
    </row>
    <row r="52" spans="1:61">
      <c r="E52" s="14"/>
      <c r="F52" s="22" t="s">
        <v>307</v>
      </c>
      <c r="G52" s="47"/>
      <c r="H52" s="47"/>
      <c r="I52" s="16"/>
      <c r="J52" s="25"/>
      <c r="K52" s="47" t="s">
        <v>562</v>
      </c>
      <c r="L52" s="453"/>
      <c r="M52" s="24">
        <f t="shared" si="1"/>
        <v>0</v>
      </c>
      <c r="N52" s="47" t="s">
        <v>562</v>
      </c>
      <c r="O52" s="12"/>
      <c r="P52" s="24" t="str">
        <f t="shared" si="2"/>
        <v/>
      </c>
      <c r="Q52" s="22" t="str">
        <f t="shared" si="5"/>
        <v>kWh</v>
      </c>
      <c r="R52" s="12"/>
      <c r="S52" s="24" t="str">
        <f t="shared" si="6"/>
        <v/>
      </c>
      <c r="T52" s="22" t="s">
        <v>468</v>
      </c>
      <c r="U52" s="12"/>
      <c r="V52" s="12"/>
      <c r="W52" s="12"/>
      <c r="X52" s="12"/>
      <c r="Y52" s="12"/>
      <c r="Z52" s="12"/>
      <c r="AA52" s="12"/>
      <c r="AB52" s="67"/>
      <c r="AC52" s="995"/>
      <c r="AD52" s="1405"/>
      <c r="AE52" s="1383" t="str">
        <f t="shared" si="4"/>
        <v>winkel</v>
      </c>
      <c r="AF52" s="1441"/>
      <c r="AG52" s="1447" t="str">
        <f t="shared" si="7"/>
        <v/>
      </c>
      <c r="AH52" s="1411" t="str">
        <f t="shared" si="8"/>
        <v/>
      </c>
      <c r="AI52" s="1410"/>
      <c r="AJ52" s="1447">
        <v>60</v>
      </c>
      <c r="AK52" s="22" t="s">
        <v>1784</v>
      </c>
      <c r="AL52" s="1405"/>
      <c r="AM52" s="1405"/>
      <c r="AN52" s="1405"/>
      <c r="AO52" s="1405"/>
      <c r="AP52" s="1405"/>
      <c r="AQ52" s="1405"/>
      <c r="AR52" s="1405"/>
      <c r="AS52" s="67"/>
      <c r="AT52" s="995"/>
      <c r="AU52" s="12"/>
      <c r="AV52" s="305" t="str" cm="1">
        <f t="array" ref="AV52:AV54">_xlfn._xlws.FILTER($AV$41:$AV$48,$AY$41:$AY$48,"kies een passend pakket")</f>
        <v>VABI NTA 8800</v>
      </c>
      <c r="AW52" s="47"/>
      <c r="AX52" s="47" t="str">
        <f>IFERROR(VLOOKUP($AV52,tabellen_EMD!$C$175:$K$182,MATCH(AX$51,tabellen_EMD!$C$174:$K$174,0),FALSE),"")</f>
        <v>VABI NTA 8800</v>
      </c>
      <c r="AY52" s="47"/>
      <c r="AZ52" s="453"/>
      <c r="BA52" s="305" t="str" cm="1">
        <f t="array" ref="BA52:BA54">_xlfn.UNIQUE(AX52:AX55)</f>
        <v>VABI NTA 8800</v>
      </c>
      <c r="BB52" s="15"/>
      <c r="BC52" s="47" t="str">
        <f>VLOOKUP($BA52,tabellen_EMD!$C$47:$K$52,MATCH(BC$51,tabellen_EMD!$C$46:$K$46,0),FALSE)</f>
        <v>VABI NTA 8800. EP2: Primair fossiel energieverbruik</v>
      </c>
      <c r="BD52" s="47" t="str">
        <f>VLOOKUP($AX52,tabellen_EMD!$C$47:$K$52,MATCH(BD$51,tabellen_EMD!$C$46:$K$46,0),FALSE)</f>
        <v>kWh/m2</v>
      </c>
      <c r="BE52" s="47" t="str">
        <f>VLOOKUP($AX52,tabellen_EMD!$C$47:$K$52,MATCH(BE$51,tabellen_EMD!$C$46:$K$46,0),FALSE)</f>
        <v xml:space="preserve">EP2: Primair fossiel energieverbruik </v>
      </c>
      <c r="BF52" s="46">
        <f>VLOOKUP($AX52,tabellen_EMD!$C$47:$K$52,MATCH(BF$51,tabellen_EMD!$C$46:$K$46,0),FALSE)</f>
        <v>1</v>
      </c>
      <c r="BG52" s="13"/>
      <c r="BH52" s="13"/>
      <c r="BI52" s="13"/>
    </row>
    <row r="53" spans="1:61">
      <c r="E53" s="14"/>
      <c r="F53" s="22" t="s">
        <v>306</v>
      </c>
      <c r="G53" s="47"/>
      <c r="H53" s="47"/>
      <c r="I53" s="16"/>
      <c r="J53" s="25"/>
      <c r="K53" s="47" t="s">
        <v>562</v>
      </c>
      <c r="L53" s="453"/>
      <c r="M53" s="24">
        <f t="shared" si="1"/>
        <v>0</v>
      </c>
      <c r="N53" s="47" t="s">
        <v>562</v>
      </c>
      <c r="O53" s="12"/>
      <c r="P53" s="24" t="str">
        <f t="shared" si="2"/>
        <v/>
      </c>
      <c r="Q53" s="22" t="str">
        <f t="shared" ref="Q53:Q55" si="9">IFERROR(INDEX(EP_Methode_BRON_per_GPR_Versie_Eenheid,MATCH(EP_doelmethode,GPR_Versie_En_EP_Methode,0)),"")</f>
        <v>kWh</v>
      </c>
      <c r="R53" s="12"/>
      <c r="S53" s="24" t="str">
        <f t="shared" si="6"/>
        <v/>
      </c>
      <c r="T53" s="22" t="s">
        <v>468</v>
      </c>
      <c r="U53" s="12"/>
      <c r="V53" s="12"/>
      <c r="W53" s="12"/>
      <c r="X53" s="12"/>
      <c r="Y53" s="12"/>
      <c r="Z53" s="12"/>
      <c r="AA53" s="12"/>
      <c r="AB53" s="67"/>
      <c r="AC53" s="995"/>
      <c r="AD53" s="1405"/>
      <c r="AE53" s="1383" t="str">
        <f t="shared" si="4"/>
        <v>sport</v>
      </c>
      <c r="AF53" s="1441"/>
      <c r="AG53" s="1447" t="str">
        <f t="shared" si="7"/>
        <v/>
      </c>
      <c r="AH53" s="1411" t="str">
        <f t="shared" si="8"/>
        <v/>
      </c>
      <c r="AI53" s="1410"/>
      <c r="AJ53" s="1447">
        <v>90</v>
      </c>
      <c r="AK53" s="22" t="s">
        <v>1784</v>
      </c>
      <c r="AL53" s="1405"/>
      <c r="AM53" s="1405"/>
      <c r="AN53" s="1405"/>
      <c r="AO53" s="1405"/>
      <c r="AP53" s="1405"/>
      <c r="AQ53" s="1405"/>
      <c r="AR53" s="1405"/>
      <c r="AS53" s="67"/>
      <c r="AT53" s="995"/>
      <c r="AU53" s="12"/>
      <c r="AV53" s="304" t="str">
        <v>Uniec 3 per functie</v>
      </c>
      <c r="AW53" s="47"/>
      <c r="AX53" s="47" t="str">
        <f>IFERROR(VLOOKUP($AV53,tabellen_EMD!$C$175:$K$182,MATCH(AX$51,tabellen_EMD!$C$174:$K$174,0),FALSE),"")</f>
        <v>Uniec 3</v>
      </c>
      <c r="AY53" s="47"/>
      <c r="AZ53" s="453"/>
      <c r="BA53" s="304" t="str">
        <v>Uniec 3</v>
      </c>
      <c r="BB53" s="15"/>
      <c r="BC53" s="47" t="str">
        <f>VLOOKUP($AX53,tabellen_EMD!$C$47:$K$52,MATCH(BC$51,tabellen_EMD!$C$46:$K$46,0),FALSE)</f>
        <v>Uniec 3: Jaarlijkse karakteristieke energiegebruik Eptot</v>
      </c>
      <c r="BD53" s="47" t="str">
        <f>VLOOKUP($AX53,tabellen_EMD!$C$47:$K$52,MATCH(BD$51,tabellen_EMD!$C$46:$K$46,0),FALSE)</f>
        <v>kWh</v>
      </c>
      <c r="BE53" s="47" t="str">
        <f>VLOOKUP($AX53,tabellen_EMD!$C$47:$K$52,MATCH(BE$51,tabellen_EMD!$C$46:$K$46,0),FALSE)</f>
        <v>Primaire fossiele energie Ewe;P;tot</v>
      </c>
      <c r="BF53" s="46">
        <f>VLOOKUP($AX53,tabellen_EMD!$C$47:$K$52,MATCH(BF$51,tabellen_EMD!$C$46:$K$46,0),FALSE)</f>
        <v>0</v>
      </c>
      <c r="BG53" s="13"/>
      <c r="BH53" s="13"/>
      <c r="BI53" s="13"/>
    </row>
    <row r="54" spans="1:61">
      <c r="E54" s="14"/>
      <c r="F54" s="22" t="s">
        <v>424</v>
      </c>
      <c r="G54" s="47"/>
      <c r="H54" s="47"/>
      <c r="I54" s="16"/>
      <c r="J54" s="25"/>
      <c r="K54" s="47" t="s">
        <v>562</v>
      </c>
      <c r="L54" s="453"/>
      <c r="M54" s="24">
        <f t="shared" si="1"/>
        <v>0</v>
      </c>
      <c r="N54" s="47" t="s">
        <v>562</v>
      </c>
      <c r="O54" s="12"/>
      <c r="P54" s="24" t="str">
        <f t="shared" si="2"/>
        <v/>
      </c>
      <c r="Q54" s="22" t="str">
        <f t="shared" si="9"/>
        <v>kWh</v>
      </c>
      <c r="R54" s="12"/>
      <c r="S54" s="24" t="str">
        <f t="shared" si="6"/>
        <v/>
      </c>
      <c r="T54" s="22" t="s">
        <v>468</v>
      </c>
      <c r="U54" s="12"/>
      <c r="V54" s="12"/>
      <c r="W54" s="12"/>
      <c r="X54" s="12"/>
      <c r="Y54" s="12"/>
      <c r="Z54" s="12"/>
      <c r="AA54" s="12"/>
      <c r="AB54" s="67"/>
      <c r="AC54" s="995"/>
      <c r="AD54" s="1405"/>
      <c r="AE54" s="1383" t="str">
        <f t="shared" si="4"/>
        <v>logies in logiesgebouw</v>
      </c>
      <c r="AF54" s="1441"/>
      <c r="AG54" s="1447" t="str">
        <f t="shared" si="7"/>
        <v/>
      </c>
      <c r="AH54" s="1411" t="str">
        <f t="shared" si="8"/>
        <v/>
      </c>
      <c r="AI54" s="1410"/>
      <c r="AJ54" s="1447">
        <v>130</v>
      </c>
      <c r="AK54" s="22" t="s">
        <v>1784</v>
      </c>
      <c r="AL54" s="1405"/>
      <c r="AM54" s="1405"/>
      <c r="AN54" s="1405"/>
      <c r="AO54" s="1405"/>
      <c r="AP54" s="1405"/>
      <c r="AQ54" s="1405"/>
      <c r="AR54" s="1405"/>
      <c r="AS54" s="67"/>
      <c r="AT54" s="995"/>
      <c r="AU54" s="12"/>
      <c r="AV54" s="304" t="str">
        <v>Uniec 3 finaal</v>
      </c>
      <c r="AW54" s="47"/>
      <c r="AX54" s="47" t="str">
        <f>IFERROR(VLOOKUP($AV54,tabellen_EMD!$C$175:$K$182,MATCH(AX$51,tabellen_EMD!$C$174:$K$174,0),FALSE),"")</f>
        <v>Uniec 3</v>
      </c>
      <c r="AY54" s="47"/>
      <c r="AZ54" s="12"/>
      <c r="BA54" s="304" t="str">
        <v/>
      </c>
      <c r="BB54" s="15"/>
      <c r="BC54" s="47"/>
      <c r="BD54" s="47"/>
      <c r="BE54" s="47"/>
      <c r="BF54" s="46"/>
      <c r="BG54" s="13"/>
      <c r="BH54" s="13"/>
      <c r="BI54" s="14"/>
    </row>
    <row r="55" spans="1:61">
      <c r="A55" s="139" t="s">
        <v>396</v>
      </c>
      <c r="B55" s="944"/>
      <c r="C55" s="944"/>
      <c r="D55" s="944"/>
      <c r="E55" s="14"/>
      <c r="F55" s="22" t="s">
        <v>425</v>
      </c>
      <c r="G55" s="47"/>
      <c r="H55" s="47"/>
      <c r="I55" s="16"/>
      <c r="J55" s="25"/>
      <c r="K55" s="47" t="s">
        <v>562</v>
      </c>
      <c r="L55" s="453"/>
      <c r="M55" s="24">
        <f t="shared" si="1"/>
        <v>0</v>
      </c>
      <c r="N55" s="47" t="s">
        <v>562</v>
      </c>
      <c r="O55" s="12"/>
      <c r="P55" s="24" t="str">
        <f t="shared" si="2"/>
        <v/>
      </c>
      <c r="Q55" s="22" t="str">
        <f t="shared" si="9"/>
        <v>kWh</v>
      </c>
      <c r="R55" s="12"/>
      <c r="S55" s="24" t="str">
        <f t="shared" si="6"/>
        <v/>
      </c>
      <c r="T55" s="22" t="s">
        <v>468</v>
      </c>
      <c r="U55" s="12"/>
      <c r="V55" s="12"/>
      <c r="W55" s="12"/>
      <c r="X55" s="12"/>
      <c r="Y55" s="12"/>
      <c r="Z55" s="12"/>
      <c r="AA55" s="12"/>
      <c r="AB55" s="67"/>
      <c r="AC55" s="995"/>
      <c r="AD55" s="1405"/>
      <c r="AE55" s="1383" t="str">
        <f t="shared" si="4"/>
        <v>cel</v>
      </c>
      <c r="AF55" s="1441"/>
      <c r="AG55" s="1447" t="str">
        <f t="shared" si="7"/>
        <v/>
      </c>
      <c r="AH55" s="1411" t="str">
        <f t="shared" si="8"/>
        <v/>
      </c>
      <c r="AI55" s="1410"/>
      <c r="AJ55" s="1447">
        <v>120</v>
      </c>
      <c r="AK55" s="22" t="s">
        <v>1784</v>
      </c>
      <c r="AL55" s="1405"/>
      <c r="AM55" s="1405"/>
      <c r="AN55" s="1405"/>
      <c r="AO55" s="1405"/>
      <c r="AP55" s="1405"/>
      <c r="AQ55" s="1405"/>
      <c r="AR55" s="1405"/>
      <c r="AS55" s="67"/>
      <c r="AT55" s="995"/>
      <c r="AU55" s="12"/>
      <c r="AV55" s="306"/>
      <c r="AW55" s="47"/>
      <c r="AX55" s="47" t="str">
        <f>IFERROR(VLOOKUP($AV55,tabellen_EMD!$C$175:$K$182,MATCH(AX$51,tabellen_EMD!$C$174:$K$174,0),FALSE),"")</f>
        <v/>
      </c>
      <c r="AY55" s="47"/>
      <c r="AZ55" s="12"/>
      <c r="BA55" s="306"/>
      <c r="BB55" s="40"/>
      <c r="BC55" s="40"/>
      <c r="BD55" s="13"/>
      <c r="BE55" s="13"/>
      <c r="BF55" s="13"/>
      <c r="BG55" s="13"/>
      <c r="BH55" s="13"/>
      <c r="BI55" s="14"/>
    </row>
    <row r="56" spans="1:61">
      <c r="E56" s="14"/>
      <c r="F56" s="22" t="s">
        <v>554</v>
      </c>
      <c r="G56" s="47"/>
      <c r="H56" s="47"/>
      <c r="I56" s="16"/>
      <c r="J56" s="25"/>
      <c r="K56" s="47" t="s">
        <v>562</v>
      </c>
      <c r="L56" s="453"/>
      <c r="M56" s="453"/>
      <c r="N56" s="12"/>
      <c r="O56" s="12"/>
      <c r="P56" s="13"/>
      <c r="Q56" s="39"/>
      <c r="R56" s="12"/>
      <c r="S56" s="13"/>
      <c r="T56" s="41"/>
      <c r="U56" s="12"/>
      <c r="V56" s="12"/>
      <c r="W56" s="12"/>
      <c r="X56" s="12"/>
      <c r="Y56" s="12"/>
      <c r="Z56" s="12"/>
      <c r="AA56" s="12"/>
      <c r="AB56" s="67"/>
      <c r="AC56" s="995"/>
      <c r="AD56" s="1405"/>
      <c r="AE56" s="1383" t="str">
        <f t="shared" si="4"/>
        <v>gemeenschappelijke ruimten</v>
      </c>
      <c r="AF56" s="1383"/>
      <c r="AG56" s="1408"/>
      <c r="AH56" s="1408"/>
      <c r="AI56" s="1410"/>
      <c r="AJ56" s="1410"/>
      <c r="AK56" s="1405"/>
      <c r="AL56" s="1405"/>
      <c r="AM56" s="1405"/>
      <c r="AN56" s="1405"/>
      <c r="AO56" s="1405"/>
      <c r="AP56" s="1405"/>
      <c r="AQ56" s="1405"/>
      <c r="AR56" s="1405"/>
      <c r="AS56" s="67"/>
      <c r="AT56" s="995"/>
      <c r="AU56" s="12"/>
      <c r="AV56" s="12"/>
      <c r="AW56" s="12"/>
      <c r="AX56" s="12"/>
      <c r="AY56" s="12"/>
      <c r="AZ56" s="12"/>
      <c r="BA56" s="12"/>
      <c r="BB56" s="12"/>
      <c r="BC56" s="12"/>
      <c r="BD56" s="12"/>
      <c r="BE56" s="40"/>
      <c r="BF56" s="13"/>
      <c r="BG56" s="13"/>
      <c r="BH56" s="13"/>
      <c r="BI56" s="14"/>
    </row>
    <row r="57" spans="1:61" hidden="1" collapsed="1">
      <c r="A57" s="212" t="s">
        <v>493</v>
      </c>
      <c r="B57" s="898"/>
      <c r="C57" s="898"/>
      <c r="D57" s="898"/>
      <c r="E57" s="14"/>
      <c r="F57" s="13"/>
      <c r="G57" s="13"/>
      <c r="H57" s="13"/>
      <c r="I57" s="16"/>
      <c r="J57" s="13"/>
      <c r="K57" s="13"/>
      <c r="L57" s="39"/>
      <c r="M57" s="39"/>
      <c r="N57" s="39"/>
      <c r="O57" s="12"/>
      <c r="P57" s="12"/>
      <c r="Q57" s="12"/>
      <c r="R57" s="12"/>
      <c r="S57" s="12"/>
      <c r="T57" s="41"/>
      <c r="U57" s="12"/>
      <c r="V57" s="12"/>
      <c r="W57" s="12"/>
      <c r="X57" s="12"/>
      <c r="Y57" s="12"/>
      <c r="Z57" s="12"/>
      <c r="AA57" s="12"/>
      <c r="AB57" s="67"/>
      <c r="AC57" s="995"/>
      <c r="AD57" s="1405"/>
      <c r="AE57" s="1405"/>
      <c r="AF57" s="1405"/>
      <c r="AG57" s="1405"/>
      <c r="AH57" s="1405"/>
      <c r="AI57" s="1405"/>
      <c r="AJ57" s="1405"/>
      <c r="AK57" s="1405"/>
      <c r="AL57" s="1405"/>
      <c r="AM57" s="1405"/>
      <c r="AN57" s="1405"/>
      <c r="AO57" s="1405"/>
      <c r="AP57" s="1405"/>
      <c r="AQ57" s="1405"/>
      <c r="AR57" s="1405"/>
      <c r="AS57" s="67"/>
      <c r="AT57" s="995"/>
      <c r="AU57" s="12"/>
      <c r="AV57" s="12"/>
      <c r="AW57" s="12"/>
      <c r="AX57" s="12"/>
      <c r="AY57" s="12"/>
      <c r="AZ57" s="12"/>
      <c r="BA57" s="12"/>
      <c r="BB57" s="12"/>
      <c r="BC57" s="12"/>
      <c r="BD57" s="12"/>
      <c r="BE57" s="40"/>
      <c r="BF57" s="13"/>
      <c r="BG57" s="13"/>
      <c r="BH57" s="13"/>
      <c r="BI57" s="14"/>
    </row>
    <row r="58" spans="1:61" hidden="1">
      <c r="A58" s="212" t="s">
        <v>493</v>
      </c>
      <c r="B58" s="898"/>
      <c r="C58" s="898"/>
      <c r="D58" s="898"/>
      <c r="E58" s="14"/>
      <c r="F58" s="22" t="str">
        <f>"in te voeren in "&amp;EP_doelmethode</f>
        <v>in te voeren in GPR 4.4 | NTA 8800</v>
      </c>
      <c r="G58" s="22"/>
      <c r="H58" s="22"/>
      <c r="I58" s="16"/>
      <c r="J58" s="24">
        <f>SUM(J44:J57)</f>
        <v>300</v>
      </c>
      <c r="K58" s="47" t="s">
        <v>562</v>
      </c>
      <c r="L58" s="453"/>
      <c r="M58" s="24">
        <f>SUM(M44:M56)</f>
        <v>300</v>
      </c>
      <c r="N58" s="47" t="s">
        <v>562</v>
      </c>
      <c r="O58" s="12"/>
      <c r="P58" s="24">
        <f>SUM(P44:P55)</f>
        <v>0</v>
      </c>
      <c r="Q58" s="22" t="str">
        <f>INDEX(EP_Methode_BRON_per_GPR_Versie_Eenheid,MATCH(EP_doelmethode,GPR_Versie_En_EP_Methode,0))</f>
        <v>kWh</v>
      </c>
      <c r="R58" s="12"/>
      <c r="S58" s="24">
        <f>SUM(S44:S55)</f>
        <v>0</v>
      </c>
      <c r="T58" s="22" t="s">
        <v>468</v>
      </c>
      <c r="U58" s="12"/>
      <c r="V58" s="12"/>
      <c r="W58" s="12"/>
      <c r="X58" s="12"/>
      <c r="Y58" s="12"/>
      <c r="Z58" s="12"/>
      <c r="AA58" s="12"/>
      <c r="AB58" s="67"/>
      <c r="AC58" s="995"/>
      <c r="AD58" s="1405"/>
      <c r="AE58" s="1405"/>
      <c r="AF58" s="1405"/>
      <c r="AG58" s="1405"/>
      <c r="AH58" s="1405"/>
      <c r="AI58" s="1405"/>
      <c r="AJ58" s="24">
        <f>IFERROR(SUMPRODUCT($M$44:$M$55,$AJ$44:$AJ$55)/SUM($M$44:$M$55),"")</f>
        <v>56.666666666666664</v>
      </c>
      <c r="AK58" s="22" t="s">
        <v>1784</v>
      </c>
      <c r="AL58" s="1405"/>
      <c r="AM58" s="1405"/>
      <c r="AN58" s="1405"/>
      <c r="AO58" s="1405"/>
      <c r="AP58" s="1405"/>
      <c r="AQ58" s="1405"/>
      <c r="AR58" s="1405"/>
      <c r="AS58" s="67"/>
      <c r="AT58" s="995"/>
      <c r="AU58" s="12"/>
      <c r="AV58" s="12"/>
      <c r="AW58" s="12"/>
      <c r="AX58" s="12"/>
      <c r="AY58" s="12"/>
      <c r="AZ58" s="12"/>
      <c r="BA58" s="12"/>
      <c r="BB58" s="12"/>
      <c r="BC58" s="12"/>
      <c r="BD58" s="12"/>
      <c r="BE58" s="40"/>
      <c r="BF58" s="13"/>
      <c r="BG58" s="13"/>
      <c r="BH58" s="13"/>
      <c r="BI58" s="14"/>
    </row>
    <row r="59" spans="1:61">
      <c r="A59" s="212"/>
      <c r="B59" s="898"/>
      <c r="C59" s="898"/>
      <c r="D59" s="898"/>
      <c r="E59" s="14"/>
      <c r="F59" s="22" t="str">
        <f>"overgenomen uit "&amp;P23</f>
        <v>overgenomen uit Uniec 3 finaal</v>
      </c>
      <c r="G59" s="22"/>
      <c r="H59" s="22"/>
      <c r="I59" s="16"/>
      <c r="J59" s="24">
        <f>SUM(J44:J57)</f>
        <v>300</v>
      </c>
      <c r="K59" s="47" t="s">
        <v>562</v>
      </c>
      <c r="L59" s="453"/>
      <c r="M59" s="24">
        <f>SUM(M44:M55)</f>
        <v>300</v>
      </c>
      <c r="N59" s="47" t="s">
        <v>562</v>
      </c>
      <c r="O59" s="12"/>
      <c r="P59" s="12"/>
      <c r="Q59" s="12"/>
      <c r="R59" s="12"/>
      <c r="S59" s="12"/>
      <c r="T59" s="12"/>
      <c r="U59" s="12"/>
      <c r="V59" s="12"/>
      <c r="W59" s="12"/>
      <c r="X59" s="12"/>
      <c r="Y59" s="12"/>
      <c r="Z59" s="12"/>
      <c r="AA59" s="12"/>
      <c r="AB59" s="67"/>
      <c r="AC59" s="995"/>
      <c r="AD59" s="1405"/>
      <c r="AE59" s="1405"/>
      <c r="AF59" s="1405"/>
      <c r="AG59" s="1405"/>
      <c r="AH59" s="1405"/>
      <c r="AI59" s="1405"/>
      <c r="AJ59" s="1405"/>
      <c r="AK59" s="1405"/>
      <c r="AL59" s="1405"/>
      <c r="AM59" s="1405"/>
      <c r="AN59" s="1405"/>
      <c r="AO59" s="1405"/>
      <c r="AP59" s="1405"/>
      <c r="AQ59" s="1405"/>
      <c r="AR59" s="1405"/>
      <c r="AS59" s="67"/>
      <c r="AT59" s="995"/>
      <c r="AU59" s="12"/>
      <c r="AV59" s="12"/>
      <c r="AW59" s="12"/>
      <c r="AX59" s="12"/>
      <c r="AY59" s="12"/>
      <c r="AZ59" s="12"/>
      <c r="BA59" s="12"/>
      <c r="BB59" s="12"/>
      <c r="BC59" s="12"/>
      <c r="BD59" s="12"/>
      <c r="BE59" s="40"/>
      <c r="BF59" s="13"/>
      <c r="BG59" s="13"/>
      <c r="BH59" s="13"/>
      <c r="BI59" s="14"/>
    </row>
    <row r="60" spans="1:61">
      <c r="A60" s="18"/>
      <c r="B60" s="763"/>
      <c r="C60" s="763"/>
      <c r="D60" s="763"/>
      <c r="E60" s="14"/>
      <c r="F60" s="15"/>
      <c r="G60" s="16"/>
      <c r="H60" s="16"/>
      <c r="I60" s="16"/>
      <c r="J60" s="148"/>
      <c r="K60" s="14"/>
      <c r="L60" s="39"/>
      <c r="M60" s="15"/>
      <c r="N60" s="39"/>
      <c r="O60" s="39"/>
      <c r="P60" s="39"/>
      <c r="Q60" s="12"/>
      <c r="R60" s="12"/>
      <c r="S60" s="12"/>
      <c r="T60" s="12"/>
      <c r="U60" s="12"/>
      <c r="V60" s="12"/>
      <c r="W60" s="12"/>
      <c r="X60" s="12"/>
      <c r="Y60" s="12"/>
      <c r="Z60" s="12"/>
      <c r="AA60" s="12"/>
      <c r="AB60" s="67"/>
      <c r="AC60" s="995"/>
      <c r="AD60" s="1405"/>
      <c r="AE60" s="1405"/>
      <c r="AF60" s="1405"/>
      <c r="AG60" s="1405"/>
      <c r="AH60" s="1405"/>
      <c r="AI60" s="1405"/>
      <c r="AJ60" s="1405"/>
      <c r="AK60" s="1405"/>
      <c r="AL60" s="1405"/>
      <c r="AM60" s="1405"/>
      <c r="AN60" s="1405"/>
      <c r="AO60" s="1405"/>
      <c r="AP60" s="1405"/>
      <c r="AQ60" s="1405"/>
      <c r="AR60" s="1405"/>
      <c r="AS60" s="67"/>
      <c r="AT60" s="995"/>
      <c r="AU60" s="12"/>
      <c r="AV60" s="12"/>
      <c r="AW60" s="12"/>
      <c r="AX60" s="12"/>
      <c r="AY60" s="12"/>
      <c r="AZ60" s="12"/>
      <c r="BA60" s="12"/>
      <c r="BB60" s="12"/>
      <c r="BC60" s="12"/>
      <c r="BD60" s="12"/>
      <c r="BE60" s="40"/>
      <c r="BF60" s="13"/>
      <c r="BG60" s="13"/>
      <c r="BH60" s="13"/>
      <c r="BI60" s="14"/>
    </row>
    <row r="61" spans="1:61" s="896" customFormat="1" ht="25.5" customHeight="1">
      <c r="A61" s="86"/>
      <c r="B61" s="943"/>
      <c r="C61" s="943"/>
      <c r="D61" s="943"/>
      <c r="E61" s="897"/>
      <c r="F61" s="893" t="s">
        <v>1404</v>
      </c>
      <c r="G61" s="912"/>
      <c r="H61" s="913"/>
      <c r="I61" s="894"/>
      <c r="J61" s="912"/>
      <c r="K61" s="914"/>
      <c r="L61" s="895"/>
      <c r="M61" s="893"/>
      <c r="N61" s="893"/>
      <c r="O61" s="895"/>
      <c r="P61" s="895"/>
      <c r="Q61" s="893"/>
      <c r="R61" s="893"/>
      <c r="S61" s="893"/>
      <c r="T61" s="893"/>
      <c r="U61" s="893"/>
      <c r="V61" s="893"/>
      <c r="W61" s="893"/>
      <c r="X61" s="893"/>
      <c r="Y61" s="893"/>
      <c r="Z61" s="893"/>
      <c r="AA61" s="893"/>
      <c r="AB61" s="893"/>
      <c r="AC61" s="893"/>
      <c r="AD61" s="893"/>
      <c r="AE61" s="893"/>
      <c r="AF61" s="893"/>
      <c r="AG61" s="893"/>
      <c r="AH61" s="893"/>
      <c r="AI61" s="893"/>
      <c r="AJ61" s="893"/>
      <c r="AK61" s="893"/>
      <c r="AL61" s="893"/>
      <c r="AM61" s="893"/>
      <c r="AN61" s="893"/>
      <c r="AO61" s="893"/>
      <c r="AP61" s="893"/>
      <c r="AQ61" s="893"/>
      <c r="AR61" s="893"/>
      <c r="AS61" s="893"/>
      <c r="AT61" s="1381"/>
      <c r="AU61" s="893"/>
      <c r="AV61" s="893"/>
      <c r="AW61" s="893"/>
      <c r="AX61" s="893"/>
      <c r="AY61" s="893"/>
      <c r="AZ61" s="893"/>
      <c r="BA61" s="893"/>
      <c r="BB61" s="893"/>
      <c r="BC61" s="893"/>
      <c r="BD61" s="893"/>
      <c r="BE61" s="893"/>
      <c r="BF61" s="893"/>
      <c r="BG61" s="893"/>
      <c r="BH61" s="893"/>
      <c r="BI61" s="893"/>
    </row>
    <row r="62" spans="1:61" collapsed="1">
      <c r="A62" s="86"/>
      <c r="B62" s="15" t="s">
        <v>1513</v>
      </c>
      <c r="C62" s="15" t="s">
        <v>1489</v>
      </c>
      <c r="D62" s="943"/>
      <c r="E62" s="14"/>
      <c r="F62" s="13"/>
      <c r="G62" s="13"/>
      <c r="H62" s="13"/>
      <c r="I62" s="12"/>
      <c r="J62" s="39"/>
      <c r="K62" s="40"/>
      <c r="L62" s="39"/>
      <c r="M62" s="39"/>
      <c r="N62" s="39"/>
      <c r="O62" s="39"/>
      <c r="P62" s="39"/>
      <c r="Q62" s="39"/>
      <c r="R62" s="39"/>
      <c r="S62" s="39"/>
      <c r="T62" s="39"/>
      <c r="U62" s="39"/>
      <c r="V62" s="39"/>
      <c r="W62" s="39"/>
      <c r="X62" s="39"/>
      <c r="Y62" s="39"/>
      <c r="Z62" s="39"/>
      <c r="AA62" s="39"/>
      <c r="AB62" s="67"/>
      <c r="AC62" s="995"/>
      <c r="AD62" s="1405"/>
      <c r="AE62" s="1405"/>
      <c r="AF62" s="1405"/>
      <c r="AG62" s="1405"/>
      <c r="AH62" s="1405"/>
      <c r="AI62" s="1405"/>
      <c r="AJ62" s="1405"/>
      <c r="AK62" s="1405"/>
      <c r="AL62" s="1405"/>
      <c r="AM62" s="1405"/>
      <c r="AN62" s="1405"/>
      <c r="AO62" s="1405"/>
      <c r="AP62" s="1405"/>
      <c r="AQ62" s="1405"/>
      <c r="AR62" s="1405"/>
      <c r="AS62" s="67"/>
      <c r="AT62" s="995"/>
      <c r="AU62" s="12"/>
      <c r="AV62" s="12"/>
      <c r="AW62" s="12"/>
      <c r="AX62" s="12"/>
      <c r="AY62" s="12"/>
      <c r="AZ62" s="12"/>
      <c r="BA62" s="12"/>
      <c r="BB62" s="12"/>
      <c r="BC62" s="12"/>
      <c r="BD62" s="40"/>
      <c r="BE62" s="40"/>
      <c r="BF62" s="13"/>
      <c r="BG62" s="13"/>
      <c r="BH62" s="13"/>
      <c r="BI62" s="14"/>
    </row>
    <row r="63" spans="1:61" hidden="1">
      <c r="A63" s="139" t="s">
        <v>396</v>
      </c>
      <c r="B63" s="939" t="str">
        <f>tabellen_EMD!$C$181</f>
        <v>VABI EPA-U</v>
      </c>
      <c r="C63" s="939" t="str">
        <f>VLOOKUP(B63,'NTA 8800 naar GPR4'!$AV$40:$AY$48,COLUMNS($AV$40:$AX$40),FALSE)</f>
        <v>ISSO 75.3</v>
      </c>
      <c r="D63" s="943"/>
      <c r="E63" s="14"/>
      <c r="F63" s="15" t="str">
        <f>_xlfn.CONCAT("Overnemen uit '",B63,"': ",VLOOKUP(B63,$AV$41:$AZ$48,COLUMNS($AV$40:$AZ$40),FALSE))</f>
        <v>Overnemen uit 'VABI EPA-U': Energiegebruik per deelpost in de huidige situatie</v>
      </c>
      <c r="G63" s="15"/>
      <c r="H63" s="15"/>
      <c r="I63" s="905"/>
      <c r="J63" s="12"/>
      <c r="K63" s="12"/>
      <c r="L63" s="12"/>
      <c r="M63" s="909" t="s">
        <v>1485</v>
      </c>
      <c r="N63" s="41"/>
      <c r="O63" s="41"/>
      <c r="P63" s="453" t="s">
        <v>1487</v>
      </c>
      <c r="Q63" s="39"/>
      <c r="R63" s="39"/>
      <c r="S63" s="453" t="s">
        <v>1484</v>
      </c>
      <c r="T63" s="39"/>
      <c r="U63" s="39"/>
      <c r="V63" s="453" t="s">
        <v>1613</v>
      </c>
      <c r="W63" s="39"/>
      <c r="X63" s="39"/>
      <c r="Y63" s="12"/>
      <c r="Z63" s="453" t="s">
        <v>1536</v>
      </c>
      <c r="AA63" s="12"/>
      <c r="AB63" s="67"/>
      <c r="AC63" s="995"/>
      <c r="AD63" s="1405"/>
      <c r="AE63" s="1405"/>
      <c r="AF63" s="1405"/>
      <c r="AG63" s="1405"/>
      <c r="AH63" s="1405"/>
      <c r="AI63" s="1405"/>
      <c r="AJ63" s="1405"/>
      <c r="AK63" s="1405"/>
      <c r="AL63" s="1405"/>
      <c r="AM63" s="1405"/>
      <c r="AN63" s="1405"/>
      <c r="AO63" s="1405"/>
      <c r="AP63" s="1405"/>
      <c r="AQ63" s="1405"/>
      <c r="AR63" s="1405"/>
      <c r="AS63" s="67"/>
      <c r="AT63" s="995"/>
      <c r="AU63" s="12"/>
      <c r="AV63" s="15" t="str">
        <f t="shared" ref="AV63:AV75" si="10">F63</f>
        <v>Overnemen uit 'VABI EPA-U': Energiegebruik per deelpost in de huidige situatie</v>
      </c>
      <c r="AW63" s="12"/>
      <c r="AX63" s="12"/>
      <c r="AY63" s="12"/>
      <c r="AZ63" s="888" t="s">
        <v>1593</v>
      </c>
      <c r="BA63" s="888" t="s">
        <v>1628</v>
      </c>
      <c r="BB63" s="888" t="s">
        <v>1487</v>
      </c>
      <c r="BC63" s="452"/>
      <c r="BD63" s="452" t="s">
        <v>1488</v>
      </c>
      <c r="BE63" s="452"/>
      <c r="BF63" s="452"/>
      <c r="BG63" s="888" t="s">
        <v>510</v>
      </c>
      <c r="BH63" s="39"/>
      <c r="BI63" s="39"/>
    </row>
    <row r="64" spans="1:61" hidden="1">
      <c r="A64" s="139" t="s">
        <v>396</v>
      </c>
      <c r="B64" s="47" t="str">
        <f>B63</f>
        <v>VABI EPA-U</v>
      </c>
      <c r="C64" s="47" t="str">
        <f t="shared" ref="C64:C77" si="11">C63</f>
        <v>ISSO 75.3</v>
      </c>
      <c r="D64" s="943"/>
      <c r="E64" s="14"/>
      <c r="F64" s="892" t="s">
        <v>496</v>
      </c>
      <c r="G64" s="892"/>
      <c r="H64" s="892"/>
      <c r="I64" s="905"/>
      <c r="J64" s="909" t="s">
        <v>458</v>
      </c>
      <c r="K64" s="909"/>
      <c r="L64" s="889"/>
      <c r="M64" s="910" t="s">
        <v>1534</v>
      </c>
      <c r="N64" s="452" t="s">
        <v>204</v>
      </c>
      <c r="O64" s="39"/>
      <c r="P64" s="888" t="s">
        <v>1533</v>
      </c>
      <c r="Q64" s="910" t="s">
        <v>1532</v>
      </c>
      <c r="R64" s="452"/>
      <c r="S64" s="888" t="s">
        <v>1534</v>
      </c>
      <c r="T64" s="889" t="s">
        <v>204</v>
      </c>
      <c r="U64" s="39"/>
      <c r="V64" s="888" t="s">
        <v>1533</v>
      </c>
      <c r="W64" s="910" t="s">
        <v>1532</v>
      </c>
      <c r="X64" s="889" t="s">
        <v>204</v>
      </c>
      <c r="Y64" s="12"/>
      <c r="Z64" s="888" t="s">
        <v>1534</v>
      </c>
      <c r="AA64" s="889" t="s">
        <v>204</v>
      </c>
      <c r="AB64" s="67"/>
      <c r="AC64" s="995"/>
      <c r="AD64" s="1405"/>
      <c r="AE64" s="1405"/>
      <c r="AF64" s="1405"/>
      <c r="AG64" s="1405"/>
      <c r="AH64" s="1405"/>
      <c r="AI64" s="1405"/>
      <c r="AJ64" s="1405"/>
      <c r="AK64" s="1405"/>
      <c r="AL64" s="1405"/>
      <c r="AM64" s="1405"/>
      <c r="AN64" s="1405"/>
      <c r="AO64" s="1405"/>
      <c r="AP64" s="1405"/>
      <c r="AQ64" s="1405"/>
      <c r="AR64" s="1405"/>
      <c r="AS64" s="67"/>
      <c r="AT64" s="995"/>
      <c r="AU64" s="12"/>
      <c r="AV64" s="892" t="str">
        <f t="shared" si="10"/>
        <v>energiefunctie</v>
      </c>
      <c r="AW64" s="452" t="str">
        <f t="shared" ref="AW64:AW75" si="12">J64</f>
        <v>energiedrager</v>
      </c>
      <c r="AX64" s="910"/>
      <c r="AY64" s="12"/>
      <c r="AZ64" s="888" t="s">
        <v>1592</v>
      </c>
      <c r="BA64" s="888"/>
      <c r="BB64" s="888" t="s">
        <v>1535</v>
      </c>
      <c r="BC64" s="452"/>
      <c r="BD64" s="452" t="s">
        <v>1534</v>
      </c>
      <c r="BE64" s="452" t="s">
        <v>1537</v>
      </c>
      <c r="BF64" s="452"/>
      <c r="BG64" s="888" t="s">
        <v>1535</v>
      </c>
      <c r="BH64" s="888" t="s">
        <v>204</v>
      </c>
      <c r="BI64" s="452"/>
    </row>
    <row r="65" spans="1:61" hidden="1">
      <c r="A65" s="86"/>
      <c r="B65" s="47" t="str">
        <f t="shared" ref="B65:B77" si="13">B64</f>
        <v>VABI EPA-U</v>
      </c>
      <c r="C65" s="47" t="str">
        <f t="shared" si="11"/>
        <v>ISSO 75.3</v>
      </c>
      <c r="D65" s="943"/>
      <c r="E65" s="14"/>
      <c r="F65" s="22" t="s">
        <v>502</v>
      </c>
      <c r="G65" s="22"/>
      <c r="H65" s="22"/>
      <c r="I65" s="905"/>
      <c r="J65" s="1685" t="s">
        <v>465</v>
      </c>
      <c r="K65" s="1685"/>
      <c r="L65" s="16"/>
      <c r="M65" s="25"/>
      <c r="N65" s="22" t="str">
        <f t="shared" ref="N65:N75" si="14">INDEX(EP_methode_eenheid,1,MATCH($C65,EP_methode,0))</f>
        <v>MJ</v>
      </c>
      <c r="O65" s="15"/>
      <c r="P65" s="154">
        <v>12</v>
      </c>
      <c r="Q65" s="59">
        <f t="shared" ref="Q65:Q74" si="15">IFERROR(IF(AND(P65&lt;&gt;"",$BA65=1),P65,BB65),1)</f>
        <v>2.5641025641025639</v>
      </c>
      <c r="R65" s="15"/>
      <c r="S65" s="24">
        <f t="shared" ref="S65:S74" si="16">M65/Q65/BD65</f>
        <v>0</v>
      </c>
      <c r="T65" s="47" t="str">
        <f>IFERROR(INDEX(energiedragers_EP_eenheden,MATCH($J65,tabellen_EMD!$C$196:$C$204,0),MATCH($B65,energiedragers_EP_eenheden_titel,0)),"-")</f>
        <v>kWh</v>
      </c>
      <c r="U65" s="39"/>
      <c r="V65" s="154"/>
      <c r="W65" s="59">
        <f t="shared" ref="W65:W74" si="17">IF(AND(V65&lt;&gt;"",$BA65=1),V65,BG65)</f>
        <v>0.56599999999999995</v>
      </c>
      <c r="X65" s="47" t="str">
        <f t="shared" ref="X65:X74" si="18">BH65</f>
        <v>kg/kWh</v>
      </c>
      <c r="Y65" s="12"/>
      <c r="Z65" s="24">
        <f t="shared" ref="Z65:Z74" si="19">S65*W65*ABS(AZ65)</f>
        <v>0</v>
      </c>
      <c r="AA65" s="47" t="s">
        <v>468</v>
      </c>
      <c r="AB65" s="67"/>
      <c r="AC65" s="995"/>
      <c r="AD65" s="1405"/>
      <c r="AE65" s="1405"/>
      <c r="AF65" s="1405"/>
      <c r="AG65" s="1405"/>
      <c r="AH65" s="1405"/>
      <c r="AI65" s="1405"/>
      <c r="AJ65" s="1405"/>
      <c r="AK65" s="1405"/>
      <c r="AL65" s="1405"/>
      <c r="AM65" s="1405"/>
      <c r="AN65" s="1405"/>
      <c r="AO65" s="1405"/>
      <c r="AP65" s="1405"/>
      <c r="AQ65" s="1405"/>
      <c r="AR65" s="1405"/>
      <c r="AS65" s="67"/>
      <c r="AT65" s="995"/>
      <c r="AU65" s="12"/>
      <c r="AV65" s="22" t="str">
        <f t="shared" si="10"/>
        <v>verwarming</v>
      </c>
      <c r="AW65" s="46" t="str">
        <f t="shared" si="12"/>
        <v>elektriciteit</v>
      </c>
      <c r="AX65" s="24"/>
      <c r="AY65" s="12"/>
      <c r="AZ65" s="115">
        <v>1</v>
      </c>
      <c r="BA65" s="24">
        <f>IFERROR(INDEX(tabellen_EMD!$C$185:$N$193,MATCH($J65,tabellen_EMD!$C$185:$C$193,0),MATCH(BA$63,tabellen_EMD!$C$185:$N$185,0)),0)</f>
        <v>0</v>
      </c>
      <c r="BB65" s="115">
        <f t="shared" ref="BB65:BB74" si="20">VLOOKUP($J65,energiedragers_EP_PEF,MATCH(_xlfn.CONCAT($C65," | PEF"),energiedragers_EP_PEF_titel,0),FALSE)</f>
        <v>2.5641025641025639</v>
      </c>
      <c r="BC65" s="15"/>
      <c r="BD65" s="115">
        <f t="shared" ref="BD65:BD74" si="21">IFERROR(VLOOKUP($J65,energiedragers_EP_omrekenen,MATCH($B65,energiedragers_EP_omrekenen_titel,0),FALSE),1)</f>
        <v>3.6</v>
      </c>
      <c r="BE65" s="47" t="str">
        <f t="shared" ref="BE65:BE74" si="22">_xlfn.CONCAT(N65,"/",T65)</f>
        <v>MJ/kWh</v>
      </c>
      <c r="BF65" s="15"/>
      <c r="BG65" s="218">
        <f>IFERROR(INDEX(tabellen_EMD!$C$240:$Z$248,MATCH($J65,tabellen_EMD!$C$240:$C$248,0),MATCH($B65,tabellen_EMD!$C$240:$Z$240,0))*(F65&lt;&gt;"zomercomfort"),0)</f>
        <v>0.56599999999999995</v>
      </c>
      <c r="BH65" s="47" t="str">
        <f t="shared" ref="BH65:BH74" si="23">"kg/"&amp;T65</f>
        <v>kg/kWh</v>
      </c>
      <c r="BI65" s="15"/>
    </row>
    <row r="66" spans="1:61" hidden="1">
      <c r="A66" s="139" t="s">
        <v>396</v>
      </c>
      <c r="B66" s="47" t="str">
        <f t="shared" si="13"/>
        <v>VABI EPA-U</v>
      </c>
      <c r="C66" s="47" t="str">
        <f t="shared" si="11"/>
        <v>ISSO 75.3</v>
      </c>
      <c r="D66" s="943"/>
      <c r="E66" s="14"/>
      <c r="F66" s="22" t="s">
        <v>504</v>
      </c>
      <c r="G66" s="22"/>
      <c r="H66" s="22"/>
      <c r="I66" s="905"/>
      <c r="J66" s="1685"/>
      <c r="K66" s="1685"/>
      <c r="L66" s="16"/>
      <c r="M66" s="25"/>
      <c r="N66" s="22" t="str">
        <f t="shared" si="14"/>
        <v>MJ</v>
      </c>
      <c r="O66" s="15"/>
      <c r="P66" s="154"/>
      <c r="Q66" s="59">
        <f t="shared" si="15"/>
        <v>1</v>
      </c>
      <c r="R66" s="15"/>
      <c r="S66" s="24">
        <f t="shared" si="16"/>
        <v>0</v>
      </c>
      <c r="T66" s="47" t="str">
        <f>IFERROR(INDEX(energiedragers_EP_eenheden,MATCH($J66,tabellen_EMD!$C$196:$C$204,0),MATCH($B66,energiedragers_EP_eenheden_titel,0)),"-")</f>
        <v>-</v>
      </c>
      <c r="U66" s="39"/>
      <c r="V66" s="154"/>
      <c r="W66" s="59">
        <f t="shared" si="17"/>
        <v>0</v>
      </c>
      <c r="X66" s="47" t="str">
        <f t="shared" si="18"/>
        <v>kg/-</v>
      </c>
      <c r="Y66" s="12"/>
      <c r="Z66" s="24">
        <f t="shared" si="19"/>
        <v>0</v>
      </c>
      <c r="AA66" s="47" t="s">
        <v>468</v>
      </c>
      <c r="AB66" s="67"/>
      <c r="AC66" s="995"/>
      <c r="AD66" s="1405"/>
      <c r="AE66" s="1405"/>
      <c r="AF66" s="1405"/>
      <c r="AG66" s="1405"/>
      <c r="AH66" s="1405"/>
      <c r="AI66" s="1405"/>
      <c r="AJ66" s="1405"/>
      <c r="AK66" s="1405"/>
      <c r="AL66" s="1405"/>
      <c r="AM66" s="1405"/>
      <c r="AN66" s="1405"/>
      <c r="AO66" s="1405"/>
      <c r="AP66" s="1405"/>
      <c r="AQ66" s="1405"/>
      <c r="AR66" s="1405"/>
      <c r="AS66" s="67"/>
      <c r="AT66" s="995"/>
      <c r="AU66" s="12"/>
      <c r="AV66" s="22" t="str">
        <f t="shared" si="10"/>
        <v>koeling</v>
      </c>
      <c r="AW66" s="46">
        <f t="shared" si="12"/>
        <v>0</v>
      </c>
      <c r="AX66" s="24"/>
      <c r="AY66" s="12"/>
      <c r="AZ66" s="115">
        <v>1</v>
      </c>
      <c r="BA66" s="24">
        <f>IFERROR(INDEX(tabellen_EMD!$C$185:$N$193,MATCH($J66,tabellen_EMD!$C$185:$C$193,0),MATCH(BA$63,tabellen_EMD!$C$185:$N$185,0)),0)</f>
        <v>0</v>
      </c>
      <c r="BB66" s="115" t="e">
        <f t="shared" si="20"/>
        <v>#N/A</v>
      </c>
      <c r="BC66" s="15"/>
      <c r="BD66" s="115">
        <f t="shared" si="21"/>
        <v>1</v>
      </c>
      <c r="BE66" s="47" t="str">
        <f t="shared" si="22"/>
        <v>MJ/-</v>
      </c>
      <c r="BF66" s="15"/>
      <c r="BG66" s="218">
        <f>IFERROR(INDEX(tabellen_EMD!$C$240:$Z$248,MATCH($J66,tabellen_EMD!$C$240:$C$248,0),MATCH($B66,tabellen_EMD!$C$240:$Z$240,0))*(F66&lt;&gt;"zomercomfort"),0)</f>
        <v>0</v>
      </c>
      <c r="BH66" s="47" t="str">
        <f t="shared" si="23"/>
        <v>kg/-</v>
      </c>
      <c r="BI66" s="15"/>
    </row>
    <row r="67" spans="1:61" hidden="1">
      <c r="A67" s="86"/>
      <c r="B67" s="47" t="str">
        <f t="shared" si="13"/>
        <v>VABI EPA-U</v>
      </c>
      <c r="C67" s="47" t="str">
        <f t="shared" si="11"/>
        <v>ISSO 75.3</v>
      </c>
      <c r="D67" s="943"/>
      <c r="E67" s="14"/>
      <c r="F67" s="22" t="s">
        <v>503</v>
      </c>
      <c r="G67" s="22"/>
      <c r="H67" s="22"/>
      <c r="I67" s="905"/>
      <c r="J67" s="1685"/>
      <c r="K67" s="1685"/>
      <c r="L67" s="16"/>
      <c r="M67" s="25"/>
      <c r="N67" s="22" t="str">
        <f t="shared" si="14"/>
        <v>MJ</v>
      </c>
      <c r="O67" s="15"/>
      <c r="P67" s="154"/>
      <c r="Q67" s="59">
        <f t="shared" si="15"/>
        <v>1</v>
      </c>
      <c r="R67" s="15"/>
      <c r="S67" s="24">
        <f t="shared" si="16"/>
        <v>0</v>
      </c>
      <c r="T67" s="47" t="str">
        <f>IFERROR(INDEX(energiedragers_EP_eenheden,MATCH($J67,tabellen_EMD!$C$196:$C$204,0),MATCH($B67,energiedragers_EP_eenheden_titel,0)),"-")</f>
        <v>-</v>
      </c>
      <c r="U67" s="39"/>
      <c r="V67" s="154"/>
      <c r="W67" s="59">
        <f t="shared" si="17"/>
        <v>0</v>
      </c>
      <c r="X67" s="47" t="str">
        <f t="shared" si="18"/>
        <v>kg/-</v>
      </c>
      <c r="Y67" s="12"/>
      <c r="Z67" s="24">
        <f t="shared" si="19"/>
        <v>0</v>
      </c>
      <c r="AA67" s="47" t="s">
        <v>468</v>
      </c>
      <c r="AB67" s="67"/>
      <c r="AC67" s="995"/>
      <c r="AD67" s="1405"/>
      <c r="AE67" s="1405"/>
      <c r="AF67" s="1405"/>
      <c r="AG67" s="1405"/>
      <c r="AH67" s="1405"/>
      <c r="AI67" s="1405"/>
      <c r="AJ67" s="1405"/>
      <c r="AK67" s="1405"/>
      <c r="AL67" s="1405"/>
      <c r="AM67" s="1405"/>
      <c r="AN67" s="1405"/>
      <c r="AO67" s="1405"/>
      <c r="AP67" s="1405"/>
      <c r="AQ67" s="1405"/>
      <c r="AR67" s="1405"/>
      <c r="AS67" s="67"/>
      <c r="AT67" s="995"/>
      <c r="AU67" s="12"/>
      <c r="AV67" s="22" t="str">
        <f t="shared" si="10"/>
        <v>tapwater</v>
      </c>
      <c r="AW67" s="46">
        <f t="shared" si="12"/>
        <v>0</v>
      </c>
      <c r="AX67" s="24"/>
      <c r="AY67" s="12"/>
      <c r="AZ67" s="115">
        <v>1</v>
      </c>
      <c r="BA67" s="24">
        <f>IFERROR(INDEX(tabellen_EMD!$C$185:$N$193,MATCH($J67,tabellen_EMD!$C$185:$C$193,0),MATCH(BA$63,tabellen_EMD!$C$185:$N$185,0)),0)</f>
        <v>0</v>
      </c>
      <c r="BB67" s="115" t="e">
        <f t="shared" si="20"/>
        <v>#N/A</v>
      </c>
      <c r="BC67" s="15"/>
      <c r="BD67" s="115">
        <f t="shared" si="21"/>
        <v>1</v>
      </c>
      <c r="BE67" s="47" t="str">
        <f t="shared" si="22"/>
        <v>MJ/-</v>
      </c>
      <c r="BF67" s="15"/>
      <c r="BG67" s="218">
        <f>IFERROR(INDEX(tabellen_EMD!$C$240:$Z$248,MATCH($J67,tabellen_EMD!$C$240:$C$248,0),MATCH($B67,tabellen_EMD!$C$240:$Z$240,0))*(F67&lt;&gt;"zomercomfort"),0)</f>
        <v>0</v>
      </c>
      <c r="BH67" s="47" t="str">
        <f t="shared" si="23"/>
        <v>kg/-</v>
      </c>
      <c r="BI67" s="15"/>
    </row>
    <row r="68" spans="1:61" hidden="1">
      <c r="A68" s="86"/>
      <c r="B68" s="47" t="str">
        <f t="shared" si="13"/>
        <v>VABI EPA-U</v>
      </c>
      <c r="C68" s="47" t="str">
        <f t="shared" si="11"/>
        <v>ISSO 75.3</v>
      </c>
      <c r="D68" s="943"/>
      <c r="E68" s="14"/>
      <c r="F68" s="22" t="s">
        <v>505</v>
      </c>
      <c r="G68" s="22"/>
      <c r="H68" s="22"/>
      <c r="I68" s="905"/>
      <c r="J68" s="1691" t="s">
        <v>465</v>
      </c>
      <c r="K68" s="1698"/>
      <c r="L68" s="16"/>
      <c r="M68" s="25"/>
      <c r="N68" s="22" t="str">
        <f t="shared" si="14"/>
        <v>MJ</v>
      </c>
      <c r="O68" s="15"/>
      <c r="P68" s="39"/>
      <c r="Q68" s="59">
        <f t="shared" si="15"/>
        <v>2.5641025641025639</v>
      </c>
      <c r="R68" s="15"/>
      <c r="S68" s="24">
        <f t="shared" si="16"/>
        <v>0</v>
      </c>
      <c r="T68" s="47" t="str">
        <f>IFERROR(INDEX(energiedragers_EP_eenheden,MATCH($J68,tabellen_EMD!$C$196:$C$204,0),MATCH($B68,energiedragers_EP_eenheden_titel,0)),"-")</f>
        <v>kWh</v>
      </c>
      <c r="U68" s="39"/>
      <c r="V68" s="15"/>
      <c r="W68" s="59">
        <f t="shared" si="17"/>
        <v>0.56599999999999995</v>
      </c>
      <c r="X68" s="47" t="str">
        <f t="shared" si="18"/>
        <v>kg/kWh</v>
      </c>
      <c r="Y68" s="12"/>
      <c r="Z68" s="24">
        <f t="shared" si="19"/>
        <v>0</v>
      </c>
      <c r="AA68" s="47" t="s">
        <v>468</v>
      </c>
      <c r="AB68" s="67"/>
      <c r="AC68" s="995"/>
      <c r="AD68" s="1405"/>
      <c r="AE68" s="1405"/>
      <c r="AF68" s="1405"/>
      <c r="AG68" s="1405"/>
      <c r="AH68" s="1405"/>
      <c r="AI68" s="1405"/>
      <c r="AJ68" s="1405"/>
      <c r="AK68" s="1405"/>
      <c r="AL68" s="1405"/>
      <c r="AM68" s="1405"/>
      <c r="AN68" s="1405"/>
      <c r="AO68" s="1405"/>
      <c r="AP68" s="1405"/>
      <c r="AQ68" s="1405"/>
      <c r="AR68" s="1405"/>
      <c r="AS68" s="67"/>
      <c r="AT68" s="995"/>
      <c r="AU68" s="12"/>
      <c r="AV68" s="22" t="str">
        <f t="shared" si="10"/>
        <v>bevochtiging</v>
      </c>
      <c r="AW68" s="46" t="str">
        <f t="shared" si="12"/>
        <v>elektriciteit</v>
      </c>
      <c r="AX68" s="24"/>
      <c r="AY68" s="12"/>
      <c r="AZ68" s="115">
        <v>1</v>
      </c>
      <c r="BA68" s="24">
        <f>IFERROR(INDEX(tabellen_EMD!$C$185:$N$193,MATCH($J68,tabellen_EMD!$C$185:$C$193,0),MATCH(BA$63,tabellen_EMD!$C$185:$N$185,0)),0)</f>
        <v>0</v>
      </c>
      <c r="BB68" s="115">
        <f t="shared" si="20"/>
        <v>2.5641025641025639</v>
      </c>
      <c r="BC68" s="15"/>
      <c r="BD68" s="115">
        <f t="shared" si="21"/>
        <v>3.6</v>
      </c>
      <c r="BE68" s="47" t="str">
        <f t="shared" si="22"/>
        <v>MJ/kWh</v>
      </c>
      <c r="BF68" s="15"/>
      <c r="BG68" s="218">
        <f>IFERROR(INDEX(tabellen_EMD!$C$240:$Z$248,MATCH($J68,tabellen_EMD!$C$240:$C$248,0),MATCH($B68,tabellen_EMD!$C$240:$Z$240,0))*(F68&lt;&gt;"zomercomfort"),0)</f>
        <v>0.56599999999999995</v>
      </c>
      <c r="BH68" s="47" t="str">
        <f t="shared" si="23"/>
        <v>kg/kWh</v>
      </c>
      <c r="BI68" s="15"/>
    </row>
    <row r="69" spans="1:61" hidden="1">
      <c r="A69" s="86"/>
      <c r="B69" s="47" t="str">
        <f t="shared" si="13"/>
        <v>VABI EPA-U</v>
      </c>
      <c r="C69" s="47" t="str">
        <f t="shared" si="11"/>
        <v>ISSO 75.3</v>
      </c>
      <c r="D69" s="943"/>
      <c r="E69" s="14"/>
      <c r="F69" s="22" t="s">
        <v>507</v>
      </c>
      <c r="G69" s="22"/>
      <c r="H69" s="22"/>
      <c r="I69" s="905"/>
      <c r="J69" s="1691" t="s">
        <v>465</v>
      </c>
      <c r="K69" s="1698"/>
      <c r="L69" s="16"/>
      <c r="M69" s="25"/>
      <c r="N69" s="22" t="str">
        <f t="shared" si="14"/>
        <v>MJ</v>
      </c>
      <c r="O69" s="15"/>
      <c r="P69" s="39"/>
      <c r="Q69" s="59">
        <f t="shared" si="15"/>
        <v>2.5641025641025639</v>
      </c>
      <c r="R69" s="15"/>
      <c r="S69" s="24">
        <f t="shared" si="16"/>
        <v>0</v>
      </c>
      <c r="T69" s="47" t="str">
        <f>IFERROR(INDEX(energiedragers_EP_eenheden,MATCH($J69,tabellen_EMD!$C$196:$C$204,0),MATCH($B69,energiedragers_EP_eenheden_titel,0)),"-")</f>
        <v>kWh</v>
      </c>
      <c r="U69" s="39"/>
      <c r="V69" s="15"/>
      <c r="W69" s="59">
        <f t="shared" si="17"/>
        <v>0.56599999999999995</v>
      </c>
      <c r="X69" s="47" t="str">
        <f t="shared" si="18"/>
        <v>kg/kWh</v>
      </c>
      <c r="Y69" s="12"/>
      <c r="Z69" s="24">
        <f t="shared" si="19"/>
        <v>0</v>
      </c>
      <c r="AA69" s="47" t="s">
        <v>468</v>
      </c>
      <c r="AB69" s="67"/>
      <c r="AC69" s="995"/>
      <c r="AD69" s="1405"/>
      <c r="AE69" s="1405"/>
      <c r="AF69" s="1405"/>
      <c r="AG69" s="1405"/>
      <c r="AH69" s="1405"/>
      <c r="AI69" s="1405"/>
      <c r="AJ69" s="1405"/>
      <c r="AK69" s="1405"/>
      <c r="AL69" s="1405"/>
      <c r="AM69" s="1405"/>
      <c r="AN69" s="1405"/>
      <c r="AO69" s="1405"/>
      <c r="AP69" s="1405"/>
      <c r="AQ69" s="1405"/>
      <c r="AR69" s="1405"/>
      <c r="AS69" s="67"/>
      <c r="AT69" s="995"/>
      <c r="AU69" s="12"/>
      <c r="AV69" s="22" t="str">
        <f t="shared" si="10"/>
        <v>verlichting</v>
      </c>
      <c r="AW69" s="46" t="str">
        <f t="shared" si="12"/>
        <v>elektriciteit</v>
      </c>
      <c r="AX69" s="24"/>
      <c r="AY69" s="12"/>
      <c r="AZ69" s="115">
        <v>1</v>
      </c>
      <c r="BA69" s="24">
        <f>IFERROR(INDEX(tabellen_EMD!$C$185:$N$193,MATCH($J69,tabellen_EMD!$C$185:$C$193,0),MATCH(BA$63,tabellen_EMD!$C$185:$N$185,0)),0)</f>
        <v>0</v>
      </c>
      <c r="BB69" s="115">
        <f t="shared" si="20"/>
        <v>2.5641025641025639</v>
      </c>
      <c r="BC69" s="15"/>
      <c r="BD69" s="115">
        <f t="shared" si="21"/>
        <v>3.6</v>
      </c>
      <c r="BE69" s="47" t="str">
        <f t="shared" si="22"/>
        <v>MJ/kWh</v>
      </c>
      <c r="BF69" s="15"/>
      <c r="BG69" s="218">
        <f>IFERROR(INDEX(tabellen_EMD!$C$240:$Z$248,MATCH($J69,tabellen_EMD!$C$240:$C$248,0),MATCH($B69,tabellen_EMD!$C$240:$Z$240,0))*(F69&lt;&gt;"zomercomfort"),0)</f>
        <v>0.56599999999999995</v>
      </c>
      <c r="BH69" s="47" t="str">
        <f t="shared" si="23"/>
        <v>kg/kWh</v>
      </c>
      <c r="BI69" s="15"/>
    </row>
    <row r="70" spans="1:61" s="952" customFormat="1" hidden="1">
      <c r="B70" s="47" t="str">
        <f t="shared" si="13"/>
        <v>VABI EPA-U</v>
      </c>
      <c r="C70" s="47" t="str">
        <f t="shared" si="11"/>
        <v>ISSO 75.3</v>
      </c>
      <c r="D70" s="943"/>
      <c r="E70" s="953"/>
      <c r="F70" s="954" t="s">
        <v>1374</v>
      </c>
      <c r="G70" s="954"/>
      <c r="H70" s="954"/>
      <c r="I70" s="955"/>
      <c r="J70" s="1691" t="s">
        <v>465</v>
      </c>
      <c r="K70" s="1698"/>
      <c r="L70" s="140"/>
      <c r="M70" s="1325"/>
      <c r="N70" s="954" t="str">
        <f t="shared" si="14"/>
        <v>MJ</v>
      </c>
      <c r="O70" s="956"/>
      <c r="P70" s="39"/>
      <c r="Q70" s="59">
        <f t="shared" si="15"/>
        <v>2.5641025641025639</v>
      </c>
      <c r="R70" s="15"/>
      <c r="S70" s="24">
        <f t="shared" si="16"/>
        <v>0</v>
      </c>
      <c r="T70" s="47" t="str">
        <f>IFERROR(INDEX(energiedragers_EP_eenheden,MATCH($J70,tabellen_EMD!$C$196:$C$204,0),MATCH($B70,energiedragers_EP_eenheden_titel,0)),"-")</f>
        <v>kWh</v>
      </c>
      <c r="U70" s="39"/>
      <c r="V70" s="15"/>
      <c r="W70" s="59">
        <f t="shared" si="17"/>
        <v>0.56599999999999995</v>
      </c>
      <c r="X70" s="47" t="str">
        <f t="shared" si="18"/>
        <v>kg/kWh</v>
      </c>
      <c r="Y70" s="12"/>
      <c r="Z70" s="24">
        <f t="shared" si="19"/>
        <v>0</v>
      </c>
      <c r="AA70" s="47" t="s">
        <v>468</v>
      </c>
      <c r="AB70" s="1392"/>
      <c r="AC70" s="1000"/>
      <c r="AD70" s="1405"/>
      <c r="AE70" s="1405"/>
      <c r="AF70" s="1405"/>
      <c r="AG70" s="1405"/>
      <c r="AH70" s="1405"/>
      <c r="AI70" s="1405"/>
      <c r="AJ70" s="1405"/>
      <c r="AK70" s="1405"/>
      <c r="AL70" s="1405"/>
      <c r="AM70" s="1405"/>
      <c r="AN70" s="1405"/>
      <c r="AO70" s="1405"/>
      <c r="AP70" s="1405"/>
      <c r="AQ70" s="1405"/>
      <c r="AR70" s="1405"/>
      <c r="AS70" s="1392"/>
      <c r="AT70" s="1000"/>
      <c r="AU70" s="957"/>
      <c r="AV70" s="958" t="str">
        <f t="shared" si="10"/>
        <v>apparatuur</v>
      </c>
      <c r="AW70" s="959" t="str">
        <f t="shared" si="12"/>
        <v>elektriciteit</v>
      </c>
      <c r="AX70" s="960"/>
      <c r="AY70" s="957"/>
      <c r="AZ70" s="115">
        <v>0</v>
      </c>
      <c r="BA70" s="24">
        <f>IFERROR(INDEX(tabellen_EMD!$C$185:$N$193,MATCH($J70,tabellen_EMD!$C$185:$C$193,0),MATCH(BA$63,tabellen_EMD!$C$185:$N$185,0)),0)</f>
        <v>0</v>
      </c>
      <c r="BB70" s="962">
        <f t="shared" si="20"/>
        <v>2.5641025641025639</v>
      </c>
      <c r="BC70" s="963"/>
      <c r="BD70" s="962">
        <f t="shared" si="21"/>
        <v>3.6</v>
      </c>
      <c r="BE70" s="961" t="str">
        <f t="shared" si="22"/>
        <v>MJ/kWh</v>
      </c>
      <c r="BF70" s="963"/>
      <c r="BG70" s="964">
        <f>IFERROR(INDEX(tabellen_EMD!$C$240:$Z$248,MATCH($J70,tabellen_EMD!$C$240:$C$248,0),MATCH($B70,tabellen_EMD!$C$240:$Z$240,0))*(F70&lt;&gt;"zomercomfort"),0)</f>
        <v>0.56599999999999995</v>
      </c>
      <c r="BH70" s="961" t="str">
        <f t="shared" si="23"/>
        <v>kg/kWh</v>
      </c>
      <c r="BI70" s="963"/>
    </row>
    <row r="71" spans="1:61" hidden="1">
      <c r="A71" s="18"/>
      <c r="B71" s="47" t="str">
        <f t="shared" si="13"/>
        <v>VABI EPA-U</v>
      </c>
      <c r="C71" s="47" t="str">
        <f t="shared" si="11"/>
        <v>ISSO 75.3</v>
      </c>
      <c r="D71" s="943"/>
      <c r="E71" s="14"/>
      <c r="F71" s="22" t="s">
        <v>1375</v>
      </c>
      <c r="G71" s="22"/>
      <c r="H71" s="22"/>
      <c r="I71" s="905"/>
      <c r="J71" s="1691" t="s">
        <v>465</v>
      </c>
      <c r="K71" s="1698"/>
      <c r="L71" s="16"/>
      <c r="M71" s="25"/>
      <c r="N71" s="22" t="str">
        <f t="shared" si="14"/>
        <v>MJ</v>
      </c>
      <c r="O71" s="15"/>
      <c r="P71" s="39"/>
      <c r="Q71" s="59">
        <f t="shared" si="15"/>
        <v>2.5641025641025639</v>
      </c>
      <c r="R71" s="15"/>
      <c r="S71" s="24">
        <f t="shared" si="16"/>
        <v>0</v>
      </c>
      <c r="T71" s="47" t="str">
        <f>IFERROR(INDEX(energiedragers_EP_eenheden,MATCH($J71,tabellen_EMD!$C$196:$C$204,0),MATCH($B71,energiedragers_EP_eenheden_titel,0)),"-")</f>
        <v>kWh</v>
      </c>
      <c r="U71" s="39"/>
      <c r="V71" s="15"/>
      <c r="W71" s="59">
        <f t="shared" si="17"/>
        <v>0.56599999999999995</v>
      </c>
      <c r="X71" s="47" t="str">
        <f t="shared" si="18"/>
        <v>kg/kWh</v>
      </c>
      <c r="Y71" s="12"/>
      <c r="Z71" s="24">
        <f t="shared" si="19"/>
        <v>0</v>
      </c>
      <c r="AA71" s="47" t="s">
        <v>468</v>
      </c>
      <c r="AB71" s="67"/>
      <c r="AC71" s="995"/>
      <c r="AD71" s="1405"/>
      <c r="AE71" s="1405"/>
      <c r="AF71" s="1405"/>
      <c r="AG71" s="1405"/>
      <c r="AH71" s="1405"/>
      <c r="AI71" s="1405"/>
      <c r="AJ71" s="1405"/>
      <c r="AK71" s="1405"/>
      <c r="AL71" s="1405"/>
      <c r="AM71" s="1405"/>
      <c r="AN71" s="1405"/>
      <c r="AO71" s="1405"/>
      <c r="AP71" s="1405"/>
      <c r="AQ71" s="1405"/>
      <c r="AR71" s="1405"/>
      <c r="AS71" s="67"/>
      <c r="AT71" s="995"/>
      <c r="AU71" s="12"/>
      <c r="AV71" s="22" t="str">
        <f t="shared" si="10"/>
        <v>ventilatoren</v>
      </c>
      <c r="AW71" s="46" t="str">
        <f t="shared" si="12"/>
        <v>elektriciteit</v>
      </c>
      <c r="AX71" s="24"/>
      <c r="AY71" s="12"/>
      <c r="AZ71" s="115">
        <v>1</v>
      </c>
      <c r="BA71" s="24">
        <f>IFERROR(INDEX(tabellen_EMD!$C$185:$N$193,MATCH($J71,tabellen_EMD!$C$185:$C$193,0),MATCH(BA$63,tabellen_EMD!$C$185:$N$185,0)),0)</f>
        <v>0</v>
      </c>
      <c r="BB71" s="115">
        <f t="shared" si="20"/>
        <v>2.5641025641025639</v>
      </c>
      <c r="BC71" s="15"/>
      <c r="BD71" s="115">
        <f t="shared" si="21"/>
        <v>3.6</v>
      </c>
      <c r="BE71" s="47" t="str">
        <f t="shared" si="22"/>
        <v>MJ/kWh</v>
      </c>
      <c r="BF71" s="15"/>
      <c r="BG71" s="218">
        <f>IFERROR(INDEX(tabellen_EMD!$C$240:$Z$248,MATCH($J71,tabellen_EMD!$C$240:$C$248,0),MATCH($B71,tabellen_EMD!$C$240:$Z$240,0))*(F71&lt;&gt;"zomercomfort"),0)</f>
        <v>0.56599999999999995</v>
      </c>
      <c r="BH71" s="47" t="str">
        <f t="shared" si="23"/>
        <v>kg/kWh</v>
      </c>
      <c r="BI71" s="15"/>
    </row>
    <row r="72" spans="1:61" hidden="1">
      <c r="A72" s="18"/>
      <c r="B72" s="47" t="str">
        <f t="shared" si="13"/>
        <v>VABI EPA-U</v>
      </c>
      <c r="C72" s="47" t="str">
        <f t="shared" si="11"/>
        <v>ISSO 75.3</v>
      </c>
      <c r="D72" s="943"/>
      <c r="E72" s="14"/>
      <c r="F72" s="22" t="s">
        <v>1376</v>
      </c>
      <c r="G72" s="22"/>
      <c r="H72" s="22"/>
      <c r="I72" s="905"/>
      <c r="J72" s="1691" t="s">
        <v>465</v>
      </c>
      <c r="K72" s="1698"/>
      <c r="L72" s="16"/>
      <c r="M72" s="25"/>
      <c r="N72" s="22" t="str">
        <f t="shared" si="14"/>
        <v>MJ</v>
      </c>
      <c r="O72" s="15"/>
      <c r="P72" s="39"/>
      <c r="Q72" s="59">
        <f t="shared" si="15"/>
        <v>2.5641025641025639</v>
      </c>
      <c r="R72" s="15"/>
      <c r="S72" s="24">
        <f t="shared" si="16"/>
        <v>0</v>
      </c>
      <c r="T72" s="47" t="str">
        <f>IFERROR(INDEX(energiedragers_EP_eenheden,MATCH($J72,tabellen_EMD!$C$196:$C$204,0),MATCH($B72,energiedragers_EP_eenheden_titel,0)),"-")</f>
        <v>kWh</v>
      </c>
      <c r="U72" s="39"/>
      <c r="V72" s="15"/>
      <c r="W72" s="59">
        <f t="shared" si="17"/>
        <v>0.56599999999999995</v>
      </c>
      <c r="X72" s="47" t="str">
        <f t="shared" si="18"/>
        <v>kg/kWh</v>
      </c>
      <c r="Y72" s="12"/>
      <c r="Z72" s="24">
        <f t="shared" si="19"/>
        <v>0</v>
      </c>
      <c r="AA72" s="47" t="s">
        <v>468</v>
      </c>
      <c r="AB72" s="67"/>
      <c r="AC72" s="995"/>
      <c r="AD72" s="1405"/>
      <c r="AE72" s="1405"/>
      <c r="AF72" s="1405"/>
      <c r="AG72" s="1405"/>
      <c r="AH72" s="1405"/>
      <c r="AI72" s="1405"/>
      <c r="AJ72" s="1405"/>
      <c r="AK72" s="1405"/>
      <c r="AL72" s="1405"/>
      <c r="AM72" s="1405"/>
      <c r="AN72" s="1405"/>
      <c r="AO72" s="1405"/>
      <c r="AP72" s="1405"/>
      <c r="AQ72" s="1405"/>
      <c r="AR72" s="1405"/>
      <c r="AS72" s="67"/>
      <c r="AT72" s="995"/>
      <c r="AU72" s="12"/>
      <c r="AV72" s="22" t="str">
        <f t="shared" si="10"/>
        <v>pompen</v>
      </c>
      <c r="AW72" s="46" t="str">
        <f t="shared" si="12"/>
        <v>elektriciteit</v>
      </c>
      <c r="AX72" s="24"/>
      <c r="AY72" s="12"/>
      <c r="AZ72" s="115">
        <v>1</v>
      </c>
      <c r="BA72" s="24">
        <f>IFERROR(INDEX(tabellen_EMD!$C$185:$N$193,MATCH($J72,tabellen_EMD!$C$185:$C$193,0),MATCH(BA$63,tabellen_EMD!$C$185:$N$185,0)),0)</f>
        <v>0</v>
      </c>
      <c r="BB72" s="115">
        <f t="shared" si="20"/>
        <v>2.5641025641025639</v>
      </c>
      <c r="BC72" s="899"/>
      <c r="BD72" s="115">
        <f t="shared" si="21"/>
        <v>3.6</v>
      </c>
      <c r="BE72" s="47" t="str">
        <f t="shared" si="22"/>
        <v>MJ/kWh</v>
      </c>
      <c r="BF72" s="899"/>
      <c r="BG72" s="218">
        <f>IFERROR(INDEX(tabellen_EMD!$C$240:$Z$248,MATCH($J72,tabellen_EMD!$C$240:$C$248,0),MATCH($B72,tabellen_EMD!$C$240:$Z$240,0))*(F72&lt;&gt;"zomercomfort"),0)</f>
        <v>0.56599999999999995</v>
      </c>
      <c r="BH72" s="47" t="str">
        <f t="shared" si="23"/>
        <v>kg/kWh</v>
      </c>
      <c r="BI72" s="899"/>
    </row>
    <row r="73" spans="1:61" s="18" customFormat="1" hidden="1">
      <c r="A73" s="139" t="s">
        <v>396</v>
      </c>
      <c r="B73" s="47" t="str">
        <f t="shared" si="13"/>
        <v>VABI EPA-U</v>
      </c>
      <c r="C73" s="47" t="str">
        <f t="shared" si="11"/>
        <v>ISSO 75.3</v>
      </c>
      <c r="D73" s="943"/>
      <c r="E73" s="14"/>
      <c r="F73" s="22" t="s">
        <v>1467</v>
      </c>
      <c r="G73" s="22"/>
      <c r="H73" s="22"/>
      <c r="I73" s="905"/>
      <c r="J73" s="1691" t="s">
        <v>465</v>
      </c>
      <c r="K73" s="1698"/>
      <c r="L73" s="16"/>
      <c r="M73" s="25"/>
      <c r="N73" s="22" t="str">
        <f t="shared" si="14"/>
        <v>MJ</v>
      </c>
      <c r="O73" s="15"/>
      <c r="P73" s="39"/>
      <c r="Q73" s="59">
        <f t="shared" si="15"/>
        <v>2.5641025641025639</v>
      </c>
      <c r="R73" s="15"/>
      <c r="S73" s="24">
        <f t="shared" si="16"/>
        <v>0</v>
      </c>
      <c r="T73" s="47" t="str">
        <f>IFERROR(INDEX(energiedragers_EP_eenheden,MATCH($J73,tabellen_EMD!$C$196:$C$204,0),MATCH($B73,energiedragers_EP_eenheden_titel,0)),"-")</f>
        <v>kWh</v>
      </c>
      <c r="U73" s="39"/>
      <c r="V73" s="15"/>
      <c r="W73" s="59">
        <f t="shared" si="17"/>
        <v>0.56599999999999995</v>
      </c>
      <c r="X73" s="47" t="str">
        <f t="shared" si="18"/>
        <v>kg/kWh</v>
      </c>
      <c r="Y73" s="12"/>
      <c r="Z73" s="24">
        <f t="shared" si="19"/>
        <v>0</v>
      </c>
      <c r="AA73" s="47" t="s">
        <v>468</v>
      </c>
      <c r="AB73" s="67"/>
      <c r="AC73" s="995"/>
      <c r="AD73" s="1405"/>
      <c r="AE73" s="1405"/>
      <c r="AF73" s="1405"/>
      <c r="AG73" s="1405"/>
      <c r="AH73" s="1405"/>
      <c r="AI73" s="1405"/>
      <c r="AJ73" s="1405"/>
      <c r="AK73" s="1405"/>
      <c r="AL73" s="1405"/>
      <c r="AM73" s="1405"/>
      <c r="AN73" s="1405"/>
      <c r="AO73" s="1405"/>
      <c r="AP73" s="1405"/>
      <c r="AQ73" s="1405"/>
      <c r="AR73" s="1405"/>
      <c r="AS73" s="67"/>
      <c r="AT73" s="995"/>
      <c r="AU73" s="12"/>
      <c r="AV73" s="22" t="str">
        <f t="shared" si="10"/>
        <v>pv-cellen</v>
      </c>
      <c r="AW73" s="46" t="str">
        <f t="shared" si="12"/>
        <v>elektriciteit</v>
      </c>
      <c r="AX73" s="24"/>
      <c r="AY73" s="12"/>
      <c r="AZ73" s="115">
        <v>1</v>
      </c>
      <c r="BA73" s="24">
        <f>IFERROR(INDEX(tabellen_EMD!$C$185:$N$193,MATCH($J73,tabellen_EMD!$C$185:$C$193,0),MATCH(BA$63,tabellen_EMD!$C$185:$N$185,0)),0)</f>
        <v>0</v>
      </c>
      <c r="BB73" s="115">
        <f t="shared" si="20"/>
        <v>2.5641025641025639</v>
      </c>
      <c r="BC73" s="899"/>
      <c r="BD73" s="115">
        <f t="shared" si="21"/>
        <v>3.6</v>
      </c>
      <c r="BE73" s="47" t="str">
        <f t="shared" si="22"/>
        <v>MJ/kWh</v>
      </c>
      <c r="BF73" s="899"/>
      <c r="BG73" s="218">
        <f>IFERROR(INDEX(tabellen_EMD!$C$240:$Z$248,MATCH($J73,tabellen_EMD!$C$240:$C$248,0),MATCH($B73,tabellen_EMD!$C$240:$Z$240,0))*(F73&lt;&gt;"zomercomfort"),0)</f>
        <v>0.56599999999999995</v>
      </c>
      <c r="BH73" s="47" t="str">
        <f t="shared" si="23"/>
        <v>kg/kWh</v>
      </c>
      <c r="BI73" s="899"/>
    </row>
    <row r="74" spans="1:61" hidden="1">
      <c r="A74" s="18"/>
      <c r="B74" s="47" t="str">
        <f t="shared" si="13"/>
        <v>VABI EPA-U</v>
      </c>
      <c r="C74" s="47" t="str">
        <f t="shared" si="11"/>
        <v>ISSO 75.3</v>
      </c>
      <c r="D74" s="943"/>
      <c r="E74" s="14"/>
      <c r="F74" s="22" t="s">
        <v>1468</v>
      </c>
      <c r="G74" s="22"/>
      <c r="H74" s="22"/>
      <c r="I74" s="905"/>
      <c r="J74" s="1691" t="s">
        <v>463</v>
      </c>
      <c r="K74" s="1698"/>
      <c r="L74" s="16"/>
      <c r="M74" s="25"/>
      <c r="N74" s="22" t="str">
        <f t="shared" si="14"/>
        <v>MJ</v>
      </c>
      <c r="O74" s="15"/>
      <c r="P74" s="39"/>
      <c r="Q74" s="59">
        <f t="shared" si="15"/>
        <v>1</v>
      </c>
      <c r="R74" s="15"/>
      <c r="S74" s="24">
        <f t="shared" si="16"/>
        <v>0</v>
      </c>
      <c r="T74" s="47" t="str">
        <f>IFERROR(INDEX(energiedragers_EP_eenheden,MATCH($J74,tabellen_EMD!$C$196:$C$204,0),MATCH($B74,energiedragers_EP_eenheden_titel,0)),"-")</f>
        <v>m3</v>
      </c>
      <c r="U74" s="39"/>
      <c r="V74" s="15"/>
      <c r="W74" s="59">
        <f t="shared" si="17"/>
        <v>1.78</v>
      </c>
      <c r="X74" s="47" t="str">
        <f t="shared" si="18"/>
        <v>kg/m3</v>
      </c>
      <c r="Y74" s="12"/>
      <c r="Z74" s="24">
        <f t="shared" si="19"/>
        <v>0</v>
      </c>
      <c r="AA74" s="47" t="s">
        <v>468</v>
      </c>
      <c r="AB74" s="67"/>
      <c r="AC74" s="995"/>
      <c r="AD74" s="1405"/>
      <c r="AE74" s="1405"/>
      <c r="AF74" s="1405"/>
      <c r="AG74" s="1405"/>
      <c r="AH74" s="1405"/>
      <c r="AI74" s="1405"/>
      <c r="AJ74" s="1405"/>
      <c r="AK74" s="1405"/>
      <c r="AL74" s="1405"/>
      <c r="AM74" s="1405"/>
      <c r="AN74" s="1405"/>
      <c r="AO74" s="1405"/>
      <c r="AP74" s="1405"/>
      <c r="AQ74" s="1405"/>
      <c r="AR74" s="1405"/>
      <c r="AS74" s="67"/>
      <c r="AT74" s="995"/>
      <c r="AU74" s="12"/>
      <c r="AV74" s="22" t="str">
        <f t="shared" si="10"/>
        <v>warmtekracht</v>
      </c>
      <c r="AW74" s="46" t="str">
        <f t="shared" si="12"/>
        <v>aardgas</v>
      </c>
      <c r="AX74" s="24"/>
      <c r="AY74" s="12"/>
      <c r="AZ74" s="115">
        <v>1</v>
      </c>
      <c r="BA74" s="24">
        <f>IFERROR(INDEX(tabellen_EMD!$C$185:$N$193,MATCH($J74,tabellen_EMD!$C$185:$C$193,0),MATCH(BA$63,tabellen_EMD!$C$185:$N$185,0)),0)</f>
        <v>0</v>
      </c>
      <c r="BB74" s="115">
        <f t="shared" si="20"/>
        <v>1</v>
      </c>
      <c r="BC74" s="899"/>
      <c r="BD74" s="115">
        <f t="shared" si="21"/>
        <v>35.17</v>
      </c>
      <c r="BE74" s="47" t="str">
        <f t="shared" si="22"/>
        <v>MJ/m3</v>
      </c>
      <c r="BF74" s="899"/>
      <c r="BG74" s="218">
        <f>IFERROR(INDEX(tabellen_EMD!$C$240:$Z$248,MATCH($J74,tabellen_EMD!$C$240:$C$248,0),MATCH($B74,tabellen_EMD!$C$240:$Z$240,0))*(F74&lt;&gt;"zomercomfort"),0)</f>
        <v>1.78</v>
      </c>
      <c r="BH74" s="47" t="str">
        <f t="shared" si="23"/>
        <v>kg/m3</v>
      </c>
      <c r="BI74" s="899"/>
    </row>
    <row r="75" spans="1:61" s="940" customFormat="1" hidden="1">
      <c r="A75" s="18"/>
      <c r="B75" s="47" t="str">
        <f t="shared" si="13"/>
        <v>VABI EPA-U</v>
      </c>
      <c r="C75" s="47" t="str">
        <f t="shared" si="11"/>
        <v>ISSO 75.3</v>
      </c>
      <c r="D75" s="945"/>
      <c r="E75" s="14"/>
      <c r="F75" s="15" t="s">
        <v>1391</v>
      </c>
      <c r="G75" s="15"/>
      <c r="H75" s="15"/>
      <c r="I75" s="905"/>
      <c r="J75" s="43" t="s">
        <v>1391</v>
      </c>
      <c r="K75" s="43"/>
      <c r="L75" s="16"/>
      <c r="M75" s="950">
        <f>SUM(M65:M69,M71:M72,M74)-M73</f>
        <v>0</v>
      </c>
      <c r="N75" s="15" t="str">
        <f t="shared" si="14"/>
        <v>MJ</v>
      </c>
      <c r="O75" s="15"/>
      <c r="P75" s="39"/>
      <c r="Q75" s="39"/>
      <c r="R75" s="15"/>
      <c r="S75" s="899"/>
      <c r="T75" s="899"/>
      <c r="U75" s="39"/>
      <c r="V75" s="39"/>
      <c r="W75" s="39"/>
      <c r="X75" s="39"/>
      <c r="Y75" s="12"/>
      <c r="Z75" s="922">
        <f>SUM(Z65:Z74)</f>
        <v>0</v>
      </c>
      <c r="AA75" s="939" t="s">
        <v>468</v>
      </c>
      <c r="AB75" s="67"/>
      <c r="AC75" s="995"/>
      <c r="AD75" s="1405"/>
      <c r="AE75" s="1405"/>
      <c r="AF75" s="1405"/>
      <c r="AG75" s="1405"/>
      <c r="AH75" s="1405"/>
      <c r="AI75" s="1405"/>
      <c r="AJ75" s="1405"/>
      <c r="AK75" s="1405"/>
      <c r="AL75" s="1405"/>
      <c r="AM75" s="1405"/>
      <c r="AN75" s="1405"/>
      <c r="AO75" s="1405"/>
      <c r="AP75" s="1405"/>
      <c r="AQ75" s="1405"/>
      <c r="AR75" s="1405"/>
      <c r="AS75" s="67"/>
      <c r="AT75" s="995"/>
      <c r="AU75" s="12"/>
      <c r="AV75" s="15" t="str">
        <f t="shared" si="10"/>
        <v>totaal</v>
      </c>
      <c r="AW75" s="15" t="str">
        <f t="shared" si="12"/>
        <v>totaal</v>
      </c>
      <c r="AX75" s="16"/>
      <c r="AY75" s="12"/>
      <c r="AZ75" s="12"/>
      <c r="BA75" s="12"/>
      <c r="BB75" s="12"/>
      <c r="BC75" s="899"/>
      <c r="BD75" s="899"/>
      <c r="BE75" s="899"/>
      <c r="BF75" s="899"/>
      <c r="BG75" s="15"/>
      <c r="BH75" s="15"/>
      <c r="BI75" s="899"/>
    </row>
    <row r="76" spans="1:61" s="49" customFormat="1" hidden="1">
      <c r="A76" s="212"/>
      <c r="B76" s="47" t="str">
        <f t="shared" si="13"/>
        <v>VABI EPA-U</v>
      </c>
      <c r="C76" s="47" t="str">
        <f t="shared" si="11"/>
        <v>ISSO 75.3</v>
      </c>
      <c r="D76" s="943"/>
      <c r="E76" s="50"/>
      <c r="F76" s="452" t="str">
        <f>IFERROR(IF($P$23=$B76,_xlfn.CONCAT("Bij 1.1 ingevuld: ",FIXED($J$35,2,FALSE)," ",$K$35),""),"invoer niet correct")</f>
        <v/>
      </c>
      <c r="G76" s="452"/>
      <c r="H76" s="452"/>
      <c r="I76" s="905"/>
      <c r="J76" s="909" t="str">
        <f>IFERROR(IF($P$23=$B76,IF(ABS((M76-$J$35)/$J$35)&gt;1%,"Afwijking &gt;1% met subthema 1.1",""),""),"invoer niet correct")</f>
        <v/>
      </c>
      <c r="K76" s="909"/>
      <c r="L76" s="910"/>
      <c r="M76" s="1339" t="str">
        <f>IFERROR(IF($P$23=$B76,M75/$J$59,""),"")</f>
        <v/>
      </c>
      <c r="N76" s="452" t="str">
        <f>IF($P$23=$B76,_xlfn.CONCAT(N75,"/m2"),"")</f>
        <v/>
      </c>
      <c r="O76" s="452"/>
      <c r="P76" s="39"/>
      <c r="Q76" s="39"/>
      <c r="R76" s="899"/>
      <c r="S76" s="899"/>
      <c r="T76" s="899"/>
      <c r="U76" s="39"/>
      <c r="V76" s="39"/>
      <c r="W76" s="910" t="str">
        <f>IFERROR(IF($P$23=$B76,_xlfn.CONCAT("Bij 1.1 ingevuld: ",FIXED($AG$40,1,FALSE)," ",$AH$40),""),"invoer niet correct")</f>
        <v/>
      </c>
      <c r="X76" s="909" t="str">
        <f>IFERROR(IF($P$23=$B76,IF(ABS((Z76-$AG$40)/$AG$40)&gt;1%,"afwijking &gt;1% met subthema 1.1",""),""),"invoer niet correct")</f>
        <v/>
      </c>
      <c r="Y76" s="12"/>
      <c r="Z76" s="951" t="str">
        <f>IFERROR(IF($P$23=$B76,Z75/$J$58,""),"")</f>
        <v/>
      </c>
      <c r="AA76" s="452" t="str">
        <f>IF($P$23=$B76,_xlfn.CONCAT(AA75,"/m2"),"")</f>
        <v/>
      </c>
      <c r="AB76" s="1393"/>
      <c r="AC76" s="1001"/>
      <c r="AD76" s="1405"/>
      <c r="AE76" s="1405"/>
      <c r="AF76" s="1405"/>
      <c r="AG76" s="1405"/>
      <c r="AH76" s="1405"/>
      <c r="AI76" s="1405"/>
      <c r="AJ76" s="1405"/>
      <c r="AK76" s="1405"/>
      <c r="AL76" s="1405"/>
      <c r="AM76" s="1405"/>
      <c r="AN76" s="1405"/>
      <c r="AO76" s="1405"/>
      <c r="AP76" s="1405"/>
      <c r="AQ76" s="1405"/>
      <c r="AR76" s="1405"/>
      <c r="AS76" s="1393"/>
      <c r="AT76" s="1001"/>
      <c r="AU76" s="12"/>
      <c r="AV76" s="452"/>
      <c r="AW76" s="452"/>
      <c r="AX76" s="452"/>
      <c r="AY76" s="452"/>
      <c r="AZ76" s="452"/>
      <c r="BA76" s="452"/>
      <c r="BB76" s="452"/>
      <c r="BC76" s="452"/>
      <c r="BD76" s="452"/>
      <c r="BE76" s="452"/>
      <c r="BF76" s="452"/>
      <c r="BG76" s="452"/>
      <c r="BH76" s="452"/>
      <c r="BI76" s="899"/>
    </row>
    <row r="77" spans="1:61" s="49" customFormat="1" hidden="1">
      <c r="A77" s="18"/>
      <c r="B77" s="47" t="str">
        <f t="shared" si="13"/>
        <v>VABI EPA-U</v>
      </c>
      <c r="C77" s="47" t="str">
        <f t="shared" si="11"/>
        <v>ISSO 75.3</v>
      </c>
      <c r="D77" s="943"/>
      <c r="E77" s="50"/>
      <c r="F77" s="43"/>
      <c r="G77" s="43"/>
      <c r="H77" s="43"/>
      <c r="I77" s="905"/>
      <c r="J77" s="44"/>
      <c r="K77" s="44"/>
      <c r="L77" s="44"/>
      <c r="M77" s="44"/>
      <c r="N77" s="44"/>
      <c r="O77" s="44"/>
      <c r="P77" s="39"/>
      <c r="Q77" s="39"/>
      <c r="R77" s="899"/>
      <c r="S77" s="899"/>
      <c r="T77" s="899"/>
      <c r="U77" s="39"/>
      <c r="V77" s="39"/>
      <c r="W77" s="39"/>
      <c r="X77" s="39"/>
      <c r="Y77" s="12"/>
      <c r="Z77" s="899"/>
      <c r="AA77" s="899"/>
      <c r="AB77" s="1393"/>
      <c r="AC77" s="1001"/>
      <c r="AD77" s="1405"/>
      <c r="AE77" s="1405"/>
      <c r="AF77" s="1405"/>
      <c r="AG77" s="1405"/>
      <c r="AH77" s="1405"/>
      <c r="AI77" s="1405"/>
      <c r="AJ77" s="1405"/>
      <c r="AK77" s="1405"/>
      <c r="AL77" s="1405"/>
      <c r="AM77" s="1405"/>
      <c r="AN77" s="1405"/>
      <c r="AO77" s="1405"/>
      <c r="AP77" s="1405"/>
      <c r="AQ77" s="1405"/>
      <c r="AR77" s="1405"/>
      <c r="AS77" s="1393"/>
      <c r="AT77" s="1001"/>
      <c r="AU77" s="12"/>
      <c r="AV77" s="12"/>
      <c r="AW77" s="12"/>
      <c r="AX77" s="12"/>
      <c r="AY77" s="12"/>
      <c r="AZ77" s="44"/>
      <c r="BA77" s="12"/>
      <c r="BB77" s="44"/>
      <c r="BC77" s="899"/>
      <c r="BD77" s="899"/>
      <c r="BE77" s="899"/>
      <c r="BF77" s="899"/>
      <c r="BG77" s="899"/>
      <c r="BH77" s="899"/>
      <c r="BI77" s="899"/>
    </row>
    <row r="78" spans="1:61" hidden="1">
      <c r="A78" s="86"/>
      <c r="B78" s="939" t="str">
        <f>tabellen_EMD!$C$182</f>
        <v>Energielabel utiliteit</v>
      </c>
      <c r="C78" s="939" t="str">
        <f>VLOOKUP(B78,'NTA 8800 naar GPR4'!$AV$40:$AY$48,COLUMNS($AV$40:$AX$40),FALSE)</f>
        <v>ISSO 75.3</v>
      </c>
      <c r="D78" s="943"/>
      <c r="E78" s="14"/>
      <c r="F78" s="15" t="str">
        <f>_xlfn.CONCAT("Overnemen uit '",B78,"': ",VLOOKUP(B78,$AV$41:$AZ$48,COLUMNS($AV$40:$AZ$40),FALSE))</f>
        <v>Overnemen uit 'Energielabel utiliteit': Standaard energiegebruik voor dit gebouw</v>
      </c>
      <c r="G78" s="15"/>
      <c r="H78" s="15"/>
      <c r="I78" s="905"/>
      <c r="J78" s="43"/>
      <c r="K78" s="43"/>
      <c r="L78" s="16"/>
      <c r="M78" s="909" t="s">
        <v>1485</v>
      </c>
      <c r="N78" s="41"/>
      <c r="O78" s="41"/>
      <c r="P78" s="453" t="s">
        <v>1487</v>
      </c>
      <c r="Q78" s="39"/>
      <c r="R78" s="39"/>
      <c r="S78" s="453" t="s">
        <v>1484</v>
      </c>
      <c r="T78" s="39"/>
      <c r="U78" s="39"/>
      <c r="V78" s="453" t="s">
        <v>1613</v>
      </c>
      <c r="W78" s="39"/>
      <c r="X78" s="39"/>
      <c r="Y78" s="12"/>
      <c r="Z78" s="453" t="s">
        <v>1536</v>
      </c>
      <c r="AA78" s="12"/>
      <c r="AB78" s="67"/>
      <c r="AC78" s="995"/>
      <c r="AD78" s="1405"/>
      <c r="AE78" s="1405"/>
      <c r="AF78" s="1405"/>
      <c r="AG78" s="1405"/>
      <c r="AH78" s="1405"/>
      <c r="AI78" s="1405"/>
      <c r="AJ78" s="1405"/>
      <c r="AK78" s="1405"/>
      <c r="AL78" s="1405"/>
      <c r="AM78" s="1405"/>
      <c r="AN78" s="1405"/>
      <c r="AO78" s="1405"/>
      <c r="AP78" s="1405"/>
      <c r="AQ78" s="1405"/>
      <c r="AR78" s="1405"/>
      <c r="AS78" s="67"/>
      <c r="AT78" s="995"/>
      <c r="AU78" s="12"/>
      <c r="AV78" s="12"/>
      <c r="AW78" s="12"/>
      <c r="AX78" s="12"/>
      <c r="AY78" s="12"/>
      <c r="AZ78" s="888" t="str">
        <f>AZ$63</f>
        <v>Eenheid energie</v>
      </c>
      <c r="BA78" s="888" t="s">
        <v>1628</v>
      </c>
      <c r="BB78" s="888" t="str">
        <f>BB$63</f>
        <v>PEF finaal → primair</v>
      </c>
      <c r="BC78" s="452"/>
      <c r="BD78" s="452" t="str">
        <f>BD$63</f>
        <v>eenheden omrekenen</v>
      </c>
      <c r="BE78" s="452"/>
      <c r="BF78" s="452"/>
      <c r="BG78" s="888" t="str">
        <f>BG$63</f>
        <v>CO2</v>
      </c>
      <c r="BH78" s="39"/>
      <c r="BI78" s="899"/>
    </row>
    <row r="79" spans="1:61" hidden="1">
      <c r="A79" s="18"/>
      <c r="B79" s="47" t="str">
        <f t="shared" ref="B79:C85" si="24">B78</f>
        <v>Energielabel utiliteit</v>
      </c>
      <c r="C79" s="47" t="str">
        <f t="shared" si="24"/>
        <v>ISSO 75.3</v>
      </c>
      <c r="D79" s="943"/>
      <c r="E79" s="14"/>
      <c r="F79" s="892" t="s">
        <v>496</v>
      </c>
      <c r="G79" s="892"/>
      <c r="H79" s="892"/>
      <c r="I79" s="905"/>
      <c r="J79" s="909" t="s">
        <v>458</v>
      </c>
      <c r="K79" s="909"/>
      <c r="L79" s="889"/>
      <c r="M79" s="910" t="s">
        <v>1534</v>
      </c>
      <c r="N79" s="452" t="s">
        <v>204</v>
      </c>
      <c r="O79" s="39"/>
      <c r="P79" s="888" t="s">
        <v>1533</v>
      </c>
      <c r="Q79" s="910" t="s">
        <v>1532</v>
      </c>
      <c r="R79" s="452"/>
      <c r="S79" s="888" t="s">
        <v>1534</v>
      </c>
      <c r="T79" s="889" t="s">
        <v>204</v>
      </c>
      <c r="U79" s="39"/>
      <c r="V79" s="888" t="s">
        <v>1533</v>
      </c>
      <c r="W79" s="910" t="s">
        <v>1532</v>
      </c>
      <c r="X79" s="889" t="s">
        <v>204</v>
      </c>
      <c r="Y79" s="12"/>
      <c r="Z79" s="888" t="s">
        <v>1534</v>
      </c>
      <c r="AA79" s="889" t="s">
        <v>204</v>
      </c>
      <c r="AB79" s="67"/>
      <c r="AC79" s="995"/>
      <c r="AD79" s="1405"/>
      <c r="AE79" s="1405"/>
      <c r="AF79" s="1405"/>
      <c r="AG79" s="1405"/>
      <c r="AH79" s="1405"/>
      <c r="AI79" s="1405"/>
      <c r="AJ79" s="1405"/>
      <c r="AK79" s="1405"/>
      <c r="AL79" s="1405"/>
      <c r="AM79" s="1405"/>
      <c r="AN79" s="1405"/>
      <c r="AO79" s="1405"/>
      <c r="AP79" s="1405"/>
      <c r="AQ79" s="1405"/>
      <c r="AR79" s="1405"/>
      <c r="AS79" s="67"/>
      <c r="AT79" s="995"/>
      <c r="AU79" s="12"/>
      <c r="AV79" s="892" t="str">
        <f>F79</f>
        <v>energiefunctie</v>
      </c>
      <c r="AW79" s="452" t="str">
        <f>J79</f>
        <v>energiedrager</v>
      </c>
      <c r="AX79" s="910"/>
      <c r="AY79" s="12"/>
      <c r="AZ79" s="888" t="str">
        <f>AZ$64</f>
        <v>pos/neg</v>
      </c>
      <c r="BA79" s="888"/>
      <c r="BB79" s="888" t="str">
        <f>BB$64</f>
        <v>default</v>
      </c>
      <c r="BC79" s="452"/>
      <c r="BD79" s="452" t="str">
        <f>BD$64</f>
        <v>waarde</v>
      </c>
      <c r="BE79" s="452" t="str">
        <f>BE$64</f>
        <v>eenheden</v>
      </c>
      <c r="BF79" s="452"/>
      <c r="BG79" s="888" t="str">
        <f>BG$64</f>
        <v>default</v>
      </c>
      <c r="BH79" s="888" t="str">
        <f>BH$64</f>
        <v>eenheid</v>
      </c>
      <c r="BI79" s="452"/>
    </row>
    <row r="80" spans="1:61" hidden="1">
      <c r="A80" s="86"/>
      <c r="B80" s="47" t="str">
        <f t="shared" si="24"/>
        <v>Energielabel utiliteit</v>
      </c>
      <c r="C80" s="47" t="str">
        <f t="shared" si="24"/>
        <v>ISSO 75.3</v>
      </c>
      <c r="D80" s="943"/>
      <c r="E80" s="14"/>
      <c r="F80" s="22" t="s">
        <v>1465</v>
      </c>
      <c r="G80" s="22"/>
      <c r="H80" s="22"/>
      <c r="I80" s="905"/>
      <c r="J80" s="1691" t="s">
        <v>465</v>
      </c>
      <c r="K80" s="1698"/>
      <c r="L80" s="16"/>
      <c r="M80" s="24">
        <f>Q80*S80*BD80</f>
        <v>0</v>
      </c>
      <c r="N80" s="22" t="str">
        <f>INDEX(EP_methode_eenheid,1,MATCH($C80,EP_methode,0))</f>
        <v>MJ</v>
      </c>
      <c r="O80" s="909"/>
      <c r="P80" s="39"/>
      <c r="Q80" s="59">
        <f>IFERROR(IF(AND(P80&lt;&gt;"",$BA80=1),P80,BB80),1)</f>
        <v>2.5641025641025639</v>
      </c>
      <c r="R80" s="15"/>
      <c r="S80" s="25"/>
      <c r="T80" s="47" t="str">
        <f>IFERROR(INDEX(energiedragers_EP_eenheden,MATCH($J80,tabellen_EMD!$C$196:$C$204,0),MATCH($B80,energiedragers_EP_eenheden_titel,0)),"-")</f>
        <v>kWh</v>
      </c>
      <c r="U80" s="39"/>
      <c r="V80" s="15"/>
      <c r="W80" s="59">
        <f>IF(AND(V80&lt;&gt;"",$BA80=1),V80,BG80)</f>
        <v>0.56599999999999995</v>
      </c>
      <c r="X80" s="47" t="str">
        <f>BH80</f>
        <v>kg/kWh</v>
      </c>
      <c r="Y80" s="12"/>
      <c r="Z80" s="24">
        <f>S80*W80*ABS(AZ80)</f>
        <v>0</v>
      </c>
      <c r="AA80" s="47" t="s">
        <v>468</v>
      </c>
      <c r="AB80" s="67"/>
      <c r="AC80" s="995"/>
      <c r="AD80" s="1405"/>
      <c r="AE80" s="1405"/>
      <c r="AF80" s="1405"/>
      <c r="AG80" s="1405"/>
      <c r="AH80" s="1405"/>
      <c r="AI80" s="1405"/>
      <c r="AJ80" s="1405"/>
      <c r="AK80" s="1405"/>
      <c r="AL80" s="1405"/>
      <c r="AM80" s="1405"/>
      <c r="AN80" s="1405"/>
      <c r="AO80" s="1405"/>
      <c r="AP80" s="1405"/>
      <c r="AQ80" s="1405"/>
      <c r="AR80" s="1405"/>
      <c r="AS80" s="67"/>
      <c r="AT80" s="995"/>
      <c r="AU80" s="12"/>
      <c r="AV80" s="22" t="str">
        <f>F80</f>
        <v>elektriciteitsverbruik</v>
      </c>
      <c r="AW80" s="46" t="str">
        <f>J80</f>
        <v>elektriciteit</v>
      </c>
      <c r="AX80" s="24"/>
      <c r="AY80" s="12"/>
      <c r="AZ80" s="115">
        <v>1</v>
      </c>
      <c r="BA80" s="24">
        <f>IFERROR(INDEX(tabellen_EMD!$C$185:$N$193,MATCH($J80,tabellen_EMD!$C$185:$C$193,0),MATCH(BA$63,tabellen_EMD!$C$185:$N$185,0)),0)</f>
        <v>0</v>
      </c>
      <c r="BB80" s="115">
        <f>VLOOKUP($J80,energiedragers_EP_PEF,MATCH(_xlfn.CONCAT($C80," | PEF"),energiedragers_EP_PEF_titel,0),FALSE)</f>
        <v>2.5641025641025639</v>
      </c>
      <c r="BC80" s="899"/>
      <c r="BD80" s="115">
        <f>IFERROR(VLOOKUP($J80,energiedragers_EP_omrekenen,MATCH($B80,energiedragers_EP_omrekenen_titel,0),FALSE),1)</f>
        <v>3.6</v>
      </c>
      <c r="BE80" s="47" t="str">
        <f>_xlfn.CONCAT(N80,"/",T80)</f>
        <v>MJ/kWh</v>
      </c>
      <c r="BF80" s="899"/>
      <c r="BG80" s="218">
        <f>IFERROR(INDEX(tabellen_EMD!$C$240:$Z$248,MATCH($J80,tabellen_EMD!$C$240:$C$248,0),MATCH($B80,tabellen_EMD!$C$240:$Z$240,0))*(F80&lt;&gt;"zomercomfort"),0)</f>
        <v>0.56599999999999995</v>
      </c>
      <c r="BH80" s="47" t="str">
        <f>"kg/"&amp;T80</f>
        <v>kg/kWh</v>
      </c>
      <c r="BI80" s="899"/>
    </row>
    <row r="81" spans="1:61" hidden="1">
      <c r="A81" s="86"/>
      <c r="B81" s="47" t="str">
        <f t="shared" si="24"/>
        <v>Energielabel utiliteit</v>
      </c>
      <c r="C81" s="47" t="str">
        <f t="shared" si="24"/>
        <v>ISSO 75.3</v>
      </c>
      <c r="D81" s="943"/>
      <c r="E81" s="14"/>
      <c r="F81" s="22" t="s">
        <v>1464</v>
      </c>
      <c r="G81" s="22"/>
      <c r="H81" s="22"/>
      <c r="I81" s="905"/>
      <c r="J81" s="1691" t="s">
        <v>463</v>
      </c>
      <c r="K81" s="1698"/>
      <c r="L81" s="16"/>
      <c r="M81" s="24">
        <f>Q81*S81*BD81</f>
        <v>0</v>
      </c>
      <c r="N81" s="22" t="str">
        <f>INDEX(EP_methode_eenheid,1,MATCH($C81,EP_methode,0))</f>
        <v>MJ</v>
      </c>
      <c r="O81" s="909"/>
      <c r="P81" s="39"/>
      <c r="Q81" s="59">
        <f>IFERROR(IF(AND(P81&lt;&gt;"",$BA81=1),P81,BB81),1)</f>
        <v>1</v>
      </c>
      <c r="R81" s="15"/>
      <c r="S81" s="25"/>
      <c r="T81" s="47" t="str">
        <f>IFERROR(INDEX(energiedragers_EP_eenheden,MATCH($J81,tabellen_EMD!$C$196:$C$204,0),MATCH($B81,energiedragers_EP_eenheden_titel,0)),"-")</f>
        <v>m3</v>
      </c>
      <c r="U81" s="39"/>
      <c r="V81" s="15"/>
      <c r="W81" s="59">
        <f>IF(AND(V81&lt;&gt;"",$BA81=1),V81,BG81)</f>
        <v>1.78</v>
      </c>
      <c r="X81" s="47" t="str">
        <f>BH81</f>
        <v>kg/m3</v>
      </c>
      <c r="Y81" s="12"/>
      <c r="Z81" s="24">
        <f>S81*W81*ABS(AZ81)</f>
        <v>0</v>
      </c>
      <c r="AA81" s="47" t="s">
        <v>468</v>
      </c>
      <c r="AB81" s="67"/>
      <c r="AC81" s="995"/>
      <c r="AD81" s="1405"/>
      <c r="AE81" s="1405"/>
      <c r="AF81" s="1405"/>
      <c r="AG81" s="1405"/>
      <c r="AH81" s="1405"/>
      <c r="AI81" s="1405"/>
      <c r="AJ81" s="1405"/>
      <c r="AK81" s="1405"/>
      <c r="AL81" s="1405"/>
      <c r="AM81" s="1405"/>
      <c r="AN81" s="1405"/>
      <c r="AO81" s="1405"/>
      <c r="AP81" s="1405"/>
      <c r="AQ81" s="1405"/>
      <c r="AR81" s="1405"/>
      <c r="AS81" s="67"/>
      <c r="AT81" s="995"/>
      <c r="AU81" s="12"/>
      <c r="AV81" s="22" t="str">
        <f>F81</f>
        <v>gasverbruik</v>
      </c>
      <c r="AW81" s="46" t="str">
        <f>J81</f>
        <v>aardgas</v>
      </c>
      <c r="AX81" s="24"/>
      <c r="AY81" s="12"/>
      <c r="AZ81" s="115">
        <v>1</v>
      </c>
      <c r="BA81" s="24">
        <f>IFERROR(INDEX(tabellen_EMD!$C$185:$N$193,MATCH($J81,tabellen_EMD!$C$185:$C$193,0),MATCH(BA$63,tabellen_EMD!$C$185:$N$185,0)),0)</f>
        <v>0</v>
      </c>
      <c r="BB81" s="115">
        <f>VLOOKUP($J81,energiedragers_EP_PEF,MATCH(_xlfn.CONCAT($C81," | PEF"),energiedragers_EP_PEF_titel,0),FALSE)</f>
        <v>1</v>
      </c>
      <c r="BC81" s="899"/>
      <c r="BD81" s="115">
        <f>IFERROR(VLOOKUP($J81,energiedragers_EP_omrekenen,MATCH($B81,energiedragers_EP_omrekenen_titel,0),FALSE),1)</f>
        <v>35.17</v>
      </c>
      <c r="BE81" s="47" t="str">
        <f>_xlfn.CONCAT(N81,"/",T81)</f>
        <v>MJ/m3</v>
      </c>
      <c r="BF81" s="899"/>
      <c r="BG81" s="218">
        <f>IFERROR(INDEX(tabellen_EMD!$C$240:$Z$248,MATCH($J81,tabellen_EMD!$C$240:$C$248,0),MATCH($B81,tabellen_EMD!$C$240:$Z$240,0))*(F81&lt;&gt;"zomercomfort"),0)</f>
        <v>1.78</v>
      </c>
      <c r="BH81" s="47" t="str">
        <f>"kg/"&amp;T81</f>
        <v>kg/m3</v>
      </c>
      <c r="BI81" s="899"/>
    </row>
    <row r="82" spans="1:61" hidden="1">
      <c r="A82" s="86"/>
      <c r="B82" s="47" t="str">
        <f t="shared" si="24"/>
        <v>Energielabel utiliteit</v>
      </c>
      <c r="C82" s="47" t="str">
        <f t="shared" si="24"/>
        <v>ISSO 75.3</v>
      </c>
      <c r="D82" s="943"/>
      <c r="E82" s="14"/>
      <c r="F82" s="22" t="s">
        <v>1466</v>
      </c>
      <c r="G82" s="22"/>
      <c r="H82" s="22"/>
      <c r="I82" s="905"/>
      <c r="J82" s="1691" t="s">
        <v>1539</v>
      </c>
      <c r="K82" s="1698"/>
      <c r="L82" s="16"/>
      <c r="M82" s="24">
        <f>Q82*S82*BD82</f>
        <v>0</v>
      </c>
      <c r="N82" s="22" t="str">
        <f>INDEX(EP_methode_eenheid,1,MATCH($C82,EP_methode,0))</f>
        <v>MJ</v>
      </c>
      <c r="O82" s="909"/>
      <c r="P82" s="39"/>
      <c r="Q82" s="59">
        <f>IFERROR(IF(AND(P82&lt;&gt;"",$BA82=1),P82,BB82),1)</f>
        <v>0.90909090909090906</v>
      </c>
      <c r="R82" s="15"/>
      <c r="S82" s="25"/>
      <c r="T82" s="47" t="str">
        <f>IFERROR(INDEX(energiedragers_EP_eenheden,MATCH($J82,tabellen_EMD!$C$196:$C$204,0),MATCH($B82,energiedragers_EP_eenheden_titel,0)),"-")</f>
        <v>GJ</v>
      </c>
      <c r="U82" s="39"/>
      <c r="V82" s="154"/>
      <c r="W82" s="59">
        <f>IF(AND(V82&lt;&gt;"",$BA82=1),V82,BG82)</f>
        <v>87.7</v>
      </c>
      <c r="X82" s="47" t="str">
        <f>BH82</f>
        <v>kg/GJ</v>
      </c>
      <c r="Y82" s="12"/>
      <c r="Z82" s="24">
        <f>S82*W82*ABS(AZ82)</f>
        <v>0</v>
      </c>
      <c r="AA82" s="47" t="s">
        <v>468</v>
      </c>
      <c r="AB82" s="67"/>
      <c r="AC82" s="995"/>
      <c r="AD82" s="1405"/>
      <c r="AE82" s="1405"/>
      <c r="AF82" s="1405"/>
      <c r="AG82" s="1405"/>
      <c r="AH82" s="1405"/>
      <c r="AI82" s="1405"/>
      <c r="AJ82" s="1405"/>
      <c r="AK82" s="1405"/>
      <c r="AL82" s="1405"/>
      <c r="AM82" s="1405"/>
      <c r="AN82" s="1405"/>
      <c r="AO82" s="1405"/>
      <c r="AP82" s="1405"/>
      <c r="AQ82" s="1405"/>
      <c r="AR82" s="1405"/>
      <c r="AS82" s="67"/>
      <c r="AT82" s="995"/>
      <c r="AU82" s="12"/>
      <c r="AV82" s="12"/>
      <c r="AW82" s="12"/>
      <c r="AX82" s="12"/>
      <c r="AY82" s="12"/>
      <c r="AZ82" s="115">
        <v>1</v>
      </c>
      <c r="BA82" s="24">
        <f>IFERROR(INDEX(tabellen_EMD!$C$185:$N$193,MATCH($J82,tabellen_EMD!$C$185:$C$193,0),MATCH(BA$63,tabellen_EMD!$C$185:$N$185,0)),0)</f>
        <v>1</v>
      </c>
      <c r="BB82" s="115">
        <f>VLOOKUP($J82,energiedragers_EP_PEF,MATCH(_xlfn.CONCAT($C82," | PEF"),energiedragers_EP_PEF_titel,0),FALSE)</f>
        <v>0.90909090909090906</v>
      </c>
      <c r="BC82" s="899"/>
      <c r="BD82" s="115">
        <f>IFERROR(VLOOKUP($J82,energiedragers_EP_omrekenen,MATCH($B82,energiedragers_EP_omrekenen_titel,0),FALSE),1)</f>
        <v>1000</v>
      </c>
      <c r="BE82" s="47" t="str">
        <f>_xlfn.CONCAT(N82,"/",T82)</f>
        <v>MJ/GJ</v>
      </c>
      <c r="BF82" s="899"/>
      <c r="BG82" s="218">
        <f>IFERROR(INDEX(tabellen_EMD!$C$240:$Z$248,MATCH($J82,tabellen_EMD!$C$240:$C$248,0),MATCH($B82,tabellen_EMD!$C$240:$Z$240,0))*(F82&lt;&gt;"zomercomfort"),0)</f>
        <v>87.7</v>
      </c>
      <c r="BH82" s="47" t="str">
        <f>"kg/"&amp;T82</f>
        <v>kg/GJ</v>
      </c>
      <c r="BI82" s="899"/>
    </row>
    <row r="83" spans="1:61" s="940" customFormat="1" hidden="1">
      <c r="A83" s="18"/>
      <c r="B83" s="47" t="str">
        <f t="shared" si="24"/>
        <v>Energielabel utiliteit</v>
      </c>
      <c r="C83" s="47" t="str">
        <f t="shared" si="24"/>
        <v>ISSO 75.3</v>
      </c>
      <c r="D83" s="943"/>
      <c r="E83" s="14"/>
      <c r="F83" s="15" t="s">
        <v>1391</v>
      </c>
      <c r="G83" s="15"/>
      <c r="H83" s="15"/>
      <c r="I83" s="905"/>
      <c r="J83" s="43" t="s">
        <v>1391</v>
      </c>
      <c r="K83" s="43"/>
      <c r="L83" s="16"/>
      <c r="M83" s="950">
        <f>SUM(M80:M82)</f>
        <v>0</v>
      </c>
      <c r="N83" s="15" t="str">
        <f>INDEX(EP_methode_eenheid,1,MATCH($C83,EP_methode,0))</f>
        <v>MJ</v>
      </c>
      <c r="O83" s="15"/>
      <c r="P83" s="39"/>
      <c r="Q83" s="39"/>
      <c r="R83" s="15"/>
      <c r="S83" s="899"/>
      <c r="T83" s="899"/>
      <c r="U83" s="39"/>
      <c r="V83" s="39"/>
      <c r="W83" s="39"/>
      <c r="X83" s="39"/>
      <c r="Y83" s="12"/>
      <c r="Z83" s="950">
        <f>SUM(Z80:Z82)</f>
        <v>0</v>
      </c>
      <c r="AA83" s="15" t="s">
        <v>468</v>
      </c>
      <c r="AB83" s="67"/>
      <c r="AC83" s="995"/>
      <c r="AD83" s="1405"/>
      <c r="AE83" s="1405"/>
      <c r="AF83" s="1405"/>
      <c r="AG83" s="1405"/>
      <c r="AH83" s="1405"/>
      <c r="AI83" s="1405"/>
      <c r="AJ83" s="1405"/>
      <c r="AK83" s="1405"/>
      <c r="AL83" s="1405"/>
      <c r="AM83" s="1405"/>
      <c r="AN83" s="1405"/>
      <c r="AO83" s="1405"/>
      <c r="AP83" s="1405"/>
      <c r="AQ83" s="1405"/>
      <c r="AR83" s="1405"/>
      <c r="AS83" s="67"/>
      <c r="AT83" s="995"/>
      <c r="AU83" s="12"/>
      <c r="AV83" s="12"/>
      <c r="AW83" s="12"/>
      <c r="AX83" s="12"/>
      <c r="AY83" s="12"/>
      <c r="AZ83" s="12"/>
      <c r="BA83" s="12"/>
      <c r="BB83" s="12"/>
      <c r="BC83" s="899"/>
      <c r="BD83" s="899"/>
      <c r="BE83" s="899"/>
      <c r="BF83" s="899"/>
      <c r="BG83" s="15"/>
      <c r="BH83" s="15"/>
      <c r="BI83" s="899"/>
    </row>
    <row r="84" spans="1:61" s="49" customFormat="1" hidden="1">
      <c r="A84" s="212"/>
      <c r="B84" s="47" t="str">
        <f t="shared" si="24"/>
        <v>Energielabel utiliteit</v>
      </c>
      <c r="C84" s="47" t="str">
        <f t="shared" si="24"/>
        <v>ISSO 75.3</v>
      </c>
      <c r="D84" s="943"/>
      <c r="E84" s="50"/>
      <c r="F84" s="452" t="str">
        <f>IFERROR(IF($P$23=$B84,_xlfn.CONCAT("Bij 1.1 ingevuld: ",FIXED($J$35,2,FALSE)," ",$K$35),""),"invoer niet correct")</f>
        <v/>
      </c>
      <c r="G84" s="452"/>
      <c r="H84" s="452"/>
      <c r="I84" s="905"/>
      <c r="J84" s="909" t="str">
        <f>IFERROR(IF($P$23=$B84,IF(ABS((M84-$J$35)/$J$35)&gt;1%,"Afwijking &gt;1% met subthema 1.1",""),""),"invoer niet correct")</f>
        <v/>
      </c>
      <c r="K84" s="909"/>
      <c r="L84" s="910"/>
      <c r="M84" s="1339" t="str">
        <f>IFERROR(IF($P$23=$B84,M83/$J$59,""),"")</f>
        <v/>
      </c>
      <c r="N84" s="452" t="str">
        <f>IF($P$23=$B84,_xlfn.CONCAT(N83,"/m2"),"")</f>
        <v/>
      </c>
      <c r="O84" s="452"/>
      <c r="P84" s="39"/>
      <c r="Q84" s="39"/>
      <c r="R84" s="899"/>
      <c r="S84" s="899"/>
      <c r="T84" s="899"/>
      <c r="U84" s="39"/>
      <c r="V84" s="39"/>
      <c r="W84" s="910" t="str">
        <f>IFERROR(IF($P$23=$B84,_xlfn.CONCAT("Bij 1.1 ingevuld: ",FIXED($AG$40,1,FALSE)," ",$AH$40),""),"invoer niet correct")</f>
        <v/>
      </c>
      <c r="X84" s="909" t="str">
        <f>IFERROR(IF($P$23=$B84,IF(ABS((Z84-$AG$40)/$AG$40)&gt;1%,"afwijking &gt;1% met subthema 1.1",""),""),"invoer niet correct")</f>
        <v/>
      </c>
      <c r="Y84" s="12"/>
      <c r="Z84" s="951" t="str">
        <f>IFERROR(IF($P$23=$B84,Z83/$J$58,""),"")</f>
        <v/>
      </c>
      <c r="AA84" s="452" t="str">
        <f>IF($P$23=$B84,_xlfn.CONCAT(AA83,"/m2"),"")</f>
        <v/>
      </c>
      <c r="AB84" s="1393"/>
      <c r="AC84" s="1001"/>
      <c r="AD84" s="1405"/>
      <c r="AE84" s="1405"/>
      <c r="AF84" s="1405"/>
      <c r="AG84" s="1405"/>
      <c r="AH84" s="1405"/>
      <c r="AI84" s="1405"/>
      <c r="AJ84" s="1405"/>
      <c r="AK84" s="1405"/>
      <c r="AL84" s="1405"/>
      <c r="AM84" s="1405"/>
      <c r="AN84" s="1405"/>
      <c r="AO84" s="1405"/>
      <c r="AP84" s="1405"/>
      <c r="AQ84" s="1405"/>
      <c r="AR84" s="1405"/>
      <c r="AS84" s="1393"/>
      <c r="AT84" s="1001"/>
      <c r="AU84" s="12"/>
      <c r="AV84" s="452"/>
      <c r="AW84" s="452"/>
      <c r="AX84" s="452"/>
      <c r="AY84" s="452"/>
      <c r="AZ84" s="452"/>
      <c r="BA84" s="452"/>
      <c r="BB84" s="452"/>
      <c r="BC84" s="452"/>
      <c r="BD84" s="452"/>
      <c r="BE84" s="452"/>
      <c r="BF84" s="452"/>
      <c r="BG84" s="452"/>
      <c r="BH84" s="452"/>
      <c r="BI84" s="899"/>
    </row>
    <row r="85" spans="1:61" s="49" customFormat="1" hidden="1">
      <c r="A85" s="18"/>
      <c r="B85" s="47" t="str">
        <f t="shared" si="24"/>
        <v>Energielabel utiliteit</v>
      </c>
      <c r="C85" s="47" t="str">
        <f t="shared" si="24"/>
        <v>ISSO 75.3</v>
      </c>
      <c r="D85" s="943"/>
      <c r="E85" s="50"/>
      <c r="F85" s="43"/>
      <c r="G85" s="43"/>
      <c r="H85" s="43"/>
      <c r="I85" s="905"/>
      <c r="J85" s="44"/>
      <c r="K85" s="44"/>
      <c r="L85" s="44"/>
      <c r="M85" s="44"/>
      <c r="N85" s="44"/>
      <c r="O85" s="44"/>
      <c r="P85" s="39"/>
      <c r="Q85" s="39"/>
      <c r="R85" s="899"/>
      <c r="S85" s="899"/>
      <c r="T85" s="899"/>
      <c r="U85" s="39"/>
      <c r="V85" s="39"/>
      <c r="W85" s="39"/>
      <c r="X85" s="39"/>
      <c r="Y85" s="12"/>
      <c r="Z85" s="899"/>
      <c r="AA85" s="899"/>
      <c r="AB85" s="1393"/>
      <c r="AC85" s="1001"/>
      <c r="AD85" s="1405"/>
      <c r="AE85" s="1405"/>
      <c r="AF85" s="1405"/>
      <c r="AG85" s="1405"/>
      <c r="AH85" s="1405"/>
      <c r="AI85" s="1405"/>
      <c r="AJ85" s="1405"/>
      <c r="AK85" s="1405"/>
      <c r="AL85" s="1405"/>
      <c r="AM85" s="1405"/>
      <c r="AN85" s="1405"/>
      <c r="AO85" s="1405"/>
      <c r="AP85" s="1405"/>
      <c r="AQ85" s="1405"/>
      <c r="AR85" s="1405"/>
      <c r="AS85" s="1393"/>
      <c r="AT85" s="1001"/>
      <c r="AU85" s="12"/>
      <c r="AV85" s="12"/>
      <c r="AW85" s="12"/>
      <c r="AX85" s="12"/>
      <c r="AY85" s="12"/>
      <c r="AZ85" s="44"/>
      <c r="BA85" s="12"/>
      <c r="BB85" s="44"/>
      <c r="BC85" s="899"/>
      <c r="BD85" s="899"/>
      <c r="BE85" s="899"/>
      <c r="BF85" s="899"/>
      <c r="BG85" s="899"/>
      <c r="BH85" s="899"/>
      <c r="BI85" s="899"/>
    </row>
    <row r="86" spans="1:61" hidden="1">
      <c r="A86" s="139"/>
      <c r="B86" s="939" t="str">
        <f>tabellen_EMD!$C$175</f>
        <v>Enorm</v>
      </c>
      <c r="C86" s="939" t="str">
        <f>VLOOKUP(B86,'NTA 8800 naar GPR4'!$AV$40:$AY$48,COLUMNS($AV$40:$AX$40),FALSE)</f>
        <v>NEN 7120</v>
      </c>
      <c r="D86" s="943"/>
      <c r="E86" s="14"/>
      <c r="F86" s="15" t="str">
        <f>_xlfn.CONCAT("Overnemen uit '",B86,"': ",VLOOKUP(B86,$AV$41:$AZ$48,COLUMNS($AV$40:$AZ$40),FALSE))</f>
        <v>Overnemen uit 'Enorm': Resultaten | Primair energiegebruik</v>
      </c>
      <c r="G86" s="15"/>
      <c r="H86" s="15"/>
      <c r="I86" s="905"/>
      <c r="J86" s="41"/>
      <c r="K86" s="41"/>
      <c r="L86" s="12"/>
      <c r="M86" s="909" t="s">
        <v>1485</v>
      </c>
      <c r="N86" s="41"/>
      <c r="O86" s="41"/>
      <c r="P86" s="453" t="s">
        <v>1487</v>
      </c>
      <c r="Q86" s="39"/>
      <c r="R86" s="39"/>
      <c r="S86" s="453" t="s">
        <v>1484</v>
      </c>
      <c r="T86" s="39"/>
      <c r="U86" s="39"/>
      <c r="V86" s="453" t="s">
        <v>1613</v>
      </c>
      <c r="W86" s="39"/>
      <c r="X86" s="39"/>
      <c r="Y86" s="12"/>
      <c r="Z86" s="453" t="s">
        <v>1536</v>
      </c>
      <c r="AA86" s="12"/>
      <c r="AB86" s="67"/>
      <c r="AC86" s="995"/>
      <c r="AD86" s="1405"/>
      <c r="AE86" s="1405"/>
      <c r="AF86" s="1405"/>
      <c r="AG86" s="1405"/>
      <c r="AH86" s="1405"/>
      <c r="AI86" s="1405"/>
      <c r="AJ86" s="1405"/>
      <c r="AK86" s="1405"/>
      <c r="AL86" s="1405"/>
      <c r="AM86" s="1405"/>
      <c r="AN86" s="1405"/>
      <c r="AO86" s="1405"/>
      <c r="AP86" s="1405"/>
      <c r="AQ86" s="1405"/>
      <c r="AR86" s="1405"/>
      <c r="AS86" s="67"/>
      <c r="AT86" s="995"/>
      <c r="AU86" s="12"/>
      <c r="AV86" s="12"/>
      <c r="AW86" s="12"/>
      <c r="AX86" s="12"/>
      <c r="AY86" s="12"/>
      <c r="AZ86" s="453" t="str">
        <f>AZ$63</f>
        <v>Eenheid energie</v>
      </c>
      <c r="BA86" s="888" t="s">
        <v>1628</v>
      </c>
      <c r="BB86" s="453" t="str">
        <f>BB$63</f>
        <v>PEF finaal → primair</v>
      </c>
      <c r="BC86" s="452"/>
      <c r="BD86" s="452" t="str">
        <f>BD$63</f>
        <v>eenheden omrekenen</v>
      </c>
      <c r="BE86" s="452"/>
      <c r="BF86" s="452"/>
      <c r="BG86" s="453" t="str">
        <f>BG$63</f>
        <v>CO2</v>
      </c>
      <c r="BH86" s="888"/>
      <c r="BI86" s="452"/>
    </row>
    <row r="87" spans="1:61" hidden="1">
      <c r="A87" s="18"/>
      <c r="B87" s="47" t="str">
        <f t="shared" ref="B87:C102" si="25">B86</f>
        <v>Enorm</v>
      </c>
      <c r="C87" s="47" t="str">
        <f t="shared" si="25"/>
        <v>NEN 7120</v>
      </c>
      <c r="D87" s="943"/>
      <c r="E87" s="14"/>
      <c r="F87" s="892" t="s">
        <v>496</v>
      </c>
      <c r="G87" s="892"/>
      <c r="H87" s="892"/>
      <c r="I87" s="905"/>
      <c r="J87" s="909" t="s">
        <v>458</v>
      </c>
      <c r="K87" s="909"/>
      <c r="L87" s="889"/>
      <c r="M87" s="910" t="s">
        <v>1534</v>
      </c>
      <c r="N87" s="452" t="s">
        <v>204</v>
      </c>
      <c r="O87" s="39"/>
      <c r="P87" s="888" t="s">
        <v>1533</v>
      </c>
      <c r="Q87" s="910" t="s">
        <v>1532</v>
      </c>
      <c r="R87" s="452"/>
      <c r="S87" s="888" t="s">
        <v>1534</v>
      </c>
      <c r="T87" s="889" t="s">
        <v>204</v>
      </c>
      <c r="U87" s="39"/>
      <c r="V87" s="888" t="s">
        <v>1533</v>
      </c>
      <c r="W87" s="910" t="s">
        <v>1532</v>
      </c>
      <c r="X87" s="889" t="s">
        <v>204</v>
      </c>
      <c r="Y87" s="888"/>
      <c r="Z87" s="888" t="s">
        <v>1534</v>
      </c>
      <c r="AA87" s="889" t="s">
        <v>204</v>
      </c>
      <c r="AB87" s="67"/>
      <c r="AC87" s="995"/>
      <c r="AD87" s="1405"/>
      <c r="AE87" s="1405"/>
      <c r="AF87" s="1405"/>
      <c r="AG87" s="1405"/>
      <c r="AH87" s="1405"/>
      <c r="AI87" s="1405"/>
      <c r="AJ87" s="1405"/>
      <c r="AK87" s="1405"/>
      <c r="AL87" s="1405"/>
      <c r="AM87" s="1405"/>
      <c r="AN87" s="1405"/>
      <c r="AO87" s="1405"/>
      <c r="AP87" s="1405"/>
      <c r="AQ87" s="1405"/>
      <c r="AR87" s="1405"/>
      <c r="AS87" s="67"/>
      <c r="AT87" s="995"/>
      <c r="AU87" s="12"/>
      <c r="AV87" s="892" t="str">
        <f t="shared" ref="AV87:AV104" si="26">F87</f>
        <v>energiefunctie</v>
      </c>
      <c r="AW87" s="452" t="str">
        <f t="shared" ref="AW87:AW104" si="27">J87</f>
        <v>energiedrager</v>
      </c>
      <c r="AX87" s="910"/>
      <c r="AY87" s="12"/>
      <c r="AZ87" s="888" t="str">
        <f>AZ$64</f>
        <v>pos/neg</v>
      </c>
      <c r="BA87" s="888"/>
      <c r="BB87" s="888" t="str">
        <f>BB$64</f>
        <v>default</v>
      </c>
      <c r="BC87" s="452"/>
      <c r="BD87" s="910" t="str">
        <f>BD$64</f>
        <v>waarde</v>
      </c>
      <c r="BE87" s="452" t="str">
        <f>BE$64</f>
        <v>eenheden</v>
      </c>
      <c r="BF87" s="452"/>
      <c r="BG87" s="888" t="str">
        <f>BG$64</f>
        <v>default</v>
      </c>
      <c r="BH87" s="888" t="str">
        <f>BH$64</f>
        <v>eenheid</v>
      </c>
      <c r="BI87" s="452"/>
    </row>
    <row r="88" spans="1:61" hidden="1">
      <c r="A88" s="86"/>
      <c r="B88" s="47" t="str">
        <f t="shared" si="25"/>
        <v>Enorm</v>
      </c>
      <c r="C88" s="47" t="str">
        <f t="shared" si="25"/>
        <v>NEN 7120</v>
      </c>
      <c r="D88" s="943"/>
      <c r="E88" s="14"/>
      <c r="F88" s="22" t="s">
        <v>502</v>
      </c>
      <c r="G88" s="22"/>
      <c r="H88" s="22"/>
      <c r="I88" s="905"/>
      <c r="J88" s="1685"/>
      <c r="K88" s="1685"/>
      <c r="L88" s="16"/>
      <c r="M88" s="25"/>
      <c r="N88" s="22" t="str">
        <f t="shared" ref="N88:N104" si="28">INDEX(EP_methode_eenheid,1,MATCH($C88,EP_methode,0))</f>
        <v>MJ</v>
      </c>
      <c r="O88" s="39" t="s">
        <v>1631</v>
      </c>
      <c r="P88" s="154"/>
      <c r="Q88" s="59">
        <f t="shared" ref="Q88:Q98" si="29">IFERROR(IF(AND(P88&lt;&gt;"",$BA88=1),P88,BB88),1)</f>
        <v>1</v>
      </c>
      <c r="R88" s="15"/>
      <c r="S88" s="24">
        <f t="shared" ref="S88:S98" si="30">M88/Q88/BD88</f>
        <v>0</v>
      </c>
      <c r="T88" s="47" t="str">
        <f>IFERROR(INDEX(energiedragers_EP_eenheden,MATCH($J88,tabellen_EMD!$C$196:$C$204,0),MATCH($B88,energiedragers_EP_eenheden_titel,0)),"-")</f>
        <v>-</v>
      </c>
      <c r="U88" s="39"/>
      <c r="V88" s="154"/>
      <c r="W88" s="59">
        <f t="shared" ref="W88:W98" si="31">IF(AND(V88&lt;&gt;"",$BA88=1),V88,BG88)</f>
        <v>0</v>
      </c>
      <c r="X88" s="47" t="str">
        <f t="shared" ref="X88:X98" si="32">BH88</f>
        <v>kg/-</v>
      </c>
      <c r="Y88" s="39"/>
      <c r="Z88" s="24">
        <f t="shared" ref="Z88:Z98" si="33">S88*W88*ABS(AZ88)</f>
        <v>0</v>
      </c>
      <c r="AA88" s="47" t="s">
        <v>468</v>
      </c>
      <c r="AB88" s="67"/>
      <c r="AC88" s="995"/>
      <c r="AD88" s="1405"/>
      <c r="AE88" s="1405"/>
      <c r="AF88" s="1405"/>
      <c r="AG88" s="1405"/>
      <c r="AH88" s="1405"/>
      <c r="AI88" s="1405"/>
      <c r="AJ88" s="1405"/>
      <c r="AK88" s="1405"/>
      <c r="AL88" s="1405"/>
      <c r="AM88" s="1405"/>
      <c r="AN88" s="1405"/>
      <c r="AO88" s="1405"/>
      <c r="AP88" s="1405"/>
      <c r="AQ88" s="1405"/>
      <c r="AR88" s="1405"/>
      <c r="AS88" s="67"/>
      <c r="AT88" s="995"/>
      <c r="AU88" s="12"/>
      <c r="AV88" s="22" t="str">
        <f t="shared" si="26"/>
        <v>verwarming</v>
      </c>
      <c r="AW88" s="46">
        <f t="shared" si="27"/>
        <v>0</v>
      </c>
      <c r="AX88" s="24"/>
      <c r="AY88" s="12"/>
      <c r="AZ88" s="115">
        <v>1</v>
      </c>
      <c r="BA88" s="24">
        <f>IFERROR(INDEX(tabellen_EMD!$C$185:$N$193,MATCH($J88,tabellen_EMD!$C$185:$C$193,0),MATCH(BA$63,tabellen_EMD!$C$185:$N$185,0)),0)</f>
        <v>0</v>
      </c>
      <c r="BB88" s="115" t="e">
        <f t="shared" ref="BB88:BB98" si="34">VLOOKUP($J88,energiedragers_EP_PEF,MATCH(_xlfn.CONCAT($C88," | PEF"),energiedragers_EP_PEF_titel,0),FALSE)</f>
        <v>#N/A</v>
      </c>
      <c r="BC88" s="15"/>
      <c r="BD88" s="115">
        <f t="shared" ref="BD88:BD98" si="35">IFERROR(VLOOKUP($J88,energiedragers_EP_omrekenen,MATCH($B88,energiedragers_EP_omrekenen_titel,0),FALSE),1)</f>
        <v>1</v>
      </c>
      <c r="BE88" s="47" t="str">
        <f t="shared" ref="BE88:BE98" si="36">_xlfn.CONCAT(N88,"/",T88)</f>
        <v>MJ/-</v>
      </c>
      <c r="BF88" s="15"/>
      <c r="BG88" s="218">
        <f>IFERROR(INDEX(tabellen_EMD!$C$240:$Z$248,MATCH($J88,tabellen_EMD!$C$240:$C$248,0),MATCH($B88,tabellen_EMD!$C$240:$Z$240,0))*(F88&lt;&gt;"zomercomfort"),0)</f>
        <v>0</v>
      </c>
      <c r="BH88" s="47" t="str">
        <f t="shared" ref="BH88:BH98" si="37">"kg/"&amp;T88</f>
        <v>kg/-</v>
      </c>
      <c r="BI88" s="15"/>
    </row>
    <row r="89" spans="1:61" hidden="1">
      <c r="A89" s="86"/>
      <c r="B89" s="47" t="str">
        <f t="shared" si="25"/>
        <v>Enorm</v>
      </c>
      <c r="C89" s="47" t="str">
        <f t="shared" si="25"/>
        <v>NEN 7120</v>
      </c>
      <c r="D89" s="943"/>
      <c r="E89" s="14"/>
      <c r="F89" s="209" t="s">
        <v>1502</v>
      </c>
      <c r="G89" s="209"/>
      <c r="H89" s="209"/>
      <c r="I89" s="905"/>
      <c r="J89" s="1691" t="s">
        <v>465</v>
      </c>
      <c r="K89" s="1698"/>
      <c r="L89" s="16"/>
      <c r="M89" s="25"/>
      <c r="N89" s="22" t="str">
        <f t="shared" si="28"/>
        <v>MJ</v>
      </c>
      <c r="O89" s="39"/>
      <c r="P89" s="39"/>
      <c r="Q89" s="59">
        <f t="shared" si="29"/>
        <v>2.56</v>
      </c>
      <c r="R89" s="15"/>
      <c r="S89" s="24">
        <f t="shared" si="30"/>
        <v>0</v>
      </c>
      <c r="T89" s="47" t="str">
        <f>IFERROR(INDEX(energiedragers_EP_eenheden,MATCH($J89,tabellen_EMD!$C$196:$C$204,0),MATCH($B89,energiedragers_EP_eenheden_titel,0)),"-")</f>
        <v>kWh</v>
      </c>
      <c r="U89" s="39"/>
      <c r="V89" s="15"/>
      <c r="W89" s="59">
        <f t="shared" si="31"/>
        <v>0.56499999999999995</v>
      </c>
      <c r="X89" s="47" t="str">
        <f t="shared" si="32"/>
        <v>kg/kWh</v>
      </c>
      <c r="Y89" s="12"/>
      <c r="Z89" s="24">
        <f t="shared" si="33"/>
        <v>0</v>
      </c>
      <c r="AA89" s="47" t="s">
        <v>468</v>
      </c>
      <c r="AB89" s="67"/>
      <c r="AC89" s="995"/>
      <c r="AD89" s="1405"/>
      <c r="AE89" s="1405"/>
      <c r="AF89" s="1405"/>
      <c r="AG89" s="1405"/>
      <c r="AH89" s="1405"/>
      <c r="AI89" s="1405"/>
      <c r="AJ89" s="1405"/>
      <c r="AK89" s="1405"/>
      <c r="AL89" s="1405"/>
      <c r="AM89" s="1405"/>
      <c r="AN89" s="1405"/>
      <c r="AO89" s="1405"/>
      <c r="AP89" s="1405"/>
      <c r="AQ89" s="1405"/>
      <c r="AR89" s="1405"/>
      <c r="AS89" s="67"/>
      <c r="AT89" s="995"/>
      <c r="AU89" s="12"/>
      <c r="AV89" s="22" t="str">
        <f t="shared" si="26"/>
        <v>hulpenergie</v>
      </c>
      <c r="AW89" s="46" t="str">
        <f t="shared" si="27"/>
        <v>elektriciteit</v>
      </c>
      <c r="AX89" s="24"/>
      <c r="AY89" s="12"/>
      <c r="AZ89" s="115">
        <v>1</v>
      </c>
      <c r="BA89" s="24">
        <f>IFERROR(INDEX(tabellen_EMD!$C$185:$N$193,MATCH($J89,tabellen_EMD!$C$185:$C$193,0),MATCH(BA$63,tabellen_EMD!$C$185:$N$185,0)),0)</f>
        <v>0</v>
      </c>
      <c r="BB89" s="115">
        <f t="shared" si="34"/>
        <v>2.56</v>
      </c>
      <c r="BC89" s="15"/>
      <c r="BD89" s="115">
        <f t="shared" si="35"/>
        <v>3.6</v>
      </c>
      <c r="BE89" s="47" t="str">
        <f t="shared" si="36"/>
        <v>MJ/kWh</v>
      </c>
      <c r="BF89" s="15"/>
      <c r="BG89" s="218">
        <f>IFERROR(INDEX(tabellen_EMD!$C$240:$Z$248,MATCH($J89,tabellen_EMD!$C$240:$C$248,0),MATCH($B89,tabellen_EMD!$C$240:$Z$240,0))*(F89&lt;&gt;"zomercomfort"),0)</f>
        <v>0.56499999999999995</v>
      </c>
      <c r="BH89" s="47" t="str">
        <f t="shared" si="37"/>
        <v>kg/kWh</v>
      </c>
      <c r="BI89" s="15"/>
    </row>
    <row r="90" spans="1:61" hidden="1">
      <c r="A90" s="86"/>
      <c r="B90" s="47" t="str">
        <f>B88</f>
        <v>Enorm</v>
      </c>
      <c r="C90" s="47" t="str">
        <f>C88</f>
        <v>NEN 7120</v>
      </c>
      <c r="D90" s="943"/>
      <c r="E90" s="14"/>
      <c r="F90" s="22" t="s">
        <v>503</v>
      </c>
      <c r="G90" s="22"/>
      <c r="H90" s="22"/>
      <c r="I90" s="905"/>
      <c r="J90" s="1685"/>
      <c r="K90" s="1685"/>
      <c r="L90" s="16"/>
      <c r="M90" s="25"/>
      <c r="N90" s="22" t="str">
        <f t="shared" si="28"/>
        <v>MJ</v>
      </c>
      <c r="O90" s="39"/>
      <c r="P90" s="154"/>
      <c r="Q90" s="59">
        <f>IFERROR(IF(AND(P90&lt;&gt;"",$BA90=1),P90,BB90),1)</f>
        <v>1</v>
      </c>
      <c r="R90" s="15"/>
      <c r="S90" s="24">
        <f t="shared" si="30"/>
        <v>0</v>
      </c>
      <c r="T90" s="47" t="str">
        <f>IFERROR(INDEX(energiedragers_EP_eenheden,MATCH($J90,tabellen_EMD!$C$196:$C$204,0),MATCH($B90,energiedragers_EP_eenheden_titel,0)),"-")</f>
        <v>-</v>
      </c>
      <c r="U90" s="39"/>
      <c r="V90" s="154"/>
      <c r="W90" s="59">
        <f t="shared" si="31"/>
        <v>0</v>
      </c>
      <c r="X90" s="47" t="str">
        <f t="shared" si="32"/>
        <v>kg/-</v>
      </c>
      <c r="Y90" s="39"/>
      <c r="Z90" s="24">
        <f t="shared" si="33"/>
        <v>0</v>
      </c>
      <c r="AA90" s="47" t="s">
        <v>468</v>
      </c>
      <c r="AB90" s="67"/>
      <c r="AC90" s="995"/>
      <c r="AD90" s="1405"/>
      <c r="AE90" s="1405"/>
      <c r="AF90" s="1405"/>
      <c r="AG90" s="1405"/>
      <c r="AH90" s="1405"/>
      <c r="AI90" s="1405"/>
      <c r="AJ90" s="1405"/>
      <c r="AK90" s="1405"/>
      <c r="AL90" s="1405"/>
      <c r="AM90" s="1405"/>
      <c r="AN90" s="1405"/>
      <c r="AO90" s="1405"/>
      <c r="AP90" s="1405"/>
      <c r="AQ90" s="1405"/>
      <c r="AR90" s="1405"/>
      <c r="AS90" s="67"/>
      <c r="AT90" s="995"/>
      <c r="AU90" s="12"/>
      <c r="AV90" s="22" t="str">
        <f t="shared" si="26"/>
        <v>tapwater</v>
      </c>
      <c r="AW90" s="46">
        <f t="shared" si="27"/>
        <v>0</v>
      </c>
      <c r="AX90" s="24"/>
      <c r="AY90" s="12"/>
      <c r="AZ90" s="115">
        <v>1</v>
      </c>
      <c r="BA90" s="24">
        <f>IFERROR(INDEX(tabellen_EMD!$C$185:$N$193,MATCH($J90,tabellen_EMD!$C$185:$C$193,0),MATCH(BA$63,tabellen_EMD!$C$185:$N$185,0)),0)</f>
        <v>0</v>
      </c>
      <c r="BB90" s="115" t="e">
        <f t="shared" si="34"/>
        <v>#N/A</v>
      </c>
      <c r="BC90" s="15"/>
      <c r="BD90" s="115">
        <f t="shared" si="35"/>
        <v>1</v>
      </c>
      <c r="BE90" s="47" t="str">
        <f t="shared" si="36"/>
        <v>MJ/-</v>
      </c>
      <c r="BF90" s="15"/>
      <c r="BG90" s="218">
        <f>IFERROR(INDEX(tabellen_EMD!$C$240:$Z$248,MATCH($J90,tabellen_EMD!$C$240:$C$248,0),MATCH($B90,tabellen_EMD!$C$240:$Z$240,0))*(F90&lt;&gt;"zomercomfort"),0)</f>
        <v>0</v>
      </c>
      <c r="BH90" s="47" t="str">
        <f t="shared" si="37"/>
        <v>kg/-</v>
      </c>
      <c r="BI90" s="15"/>
    </row>
    <row r="91" spans="1:61" hidden="1">
      <c r="A91" s="86"/>
      <c r="B91" s="47" t="str">
        <f t="shared" si="25"/>
        <v>Enorm</v>
      </c>
      <c r="C91" s="47" t="str">
        <f t="shared" si="25"/>
        <v>NEN 7120</v>
      </c>
      <c r="D91" s="943"/>
      <c r="E91" s="14"/>
      <c r="F91" s="209" t="s">
        <v>1502</v>
      </c>
      <c r="G91" s="209"/>
      <c r="H91" s="209"/>
      <c r="I91" s="905"/>
      <c r="J91" s="1691" t="s">
        <v>465</v>
      </c>
      <c r="K91" s="1698"/>
      <c r="L91" s="16"/>
      <c r="M91" s="25"/>
      <c r="N91" s="22" t="str">
        <f t="shared" si="28"/>
        <v>MJ</v>
      </c>
      <c r="O91" s="39"/>
      <c r="P91" s="39"/>
      <c r="Q91" s="59">
        <f t="shared" si="29"/>
        <v>2.56</v>
      </c>
      <c r="R91" s="15"/>
      <c r="S91" s="24">
        <f t="shared" si="30"/>
        <v>0</v>
      </c>
      <c r="T91" s="47" t="str">
        <f>IFERROR(INDEX(energiedragers_EP_eenheden,MATCH($J91,tabellen_EMD!$C$196:$C$204,0),MATCH($B91,energiedragers_EP_eenheden_titel,0)),"-")</f>
        <v>kWh</v>
      </c>
      <c r="U91" s="39"/>
      <c r="V91" s="15"/>
      <c r="W91" s="59">
        <f t="shared" si="31"/>
        <v>0.56499999999999995</v>
      </c>
      <c r="X91" s="47" t="str">
        <f t="shared" si="32"/>
        <v>kg/kWh</v>
      </c>
      <c r="Y91" s="12"/>
      <c r="Z91" s="24">
        <f t="shared" si="33"/>
        <v>0</v>
      </c>
      <c r="AA91" s="47" t="s">
        <v>468</v>
      </c>
      <c r="AB91" s="67"/>
      <c r="AC91" s="995"/>
      <c r="AD91" s="1405"/>
      <c r="AE91" s="1405"/>
      <c r="AF91" s="1405"/>
      <c r="AG91" s="1405"/>
      <c r="AH91" s="1405"/>
      <c r="AI91" s="1405"/>
      <c r="AJ91" s="1405"/>
      <c r="AK91" s="1405"/>
      <c r="AL91" s="1405"/>
      <c r="AM91" s="1405"/>
      <c r="AN91" s="1405"/>
      <c r="AO91" s="1405"/>
      <c r="AP91" s="1405"/>
      <c r="AQ91" s="1405"/>
      <c r="AR91" s="1405"/>
      <c r="AS91" s="67"/>
      <c r="AT91" s="995"/>
      <c r="AU91" s="12"/>
      <c r="AV91" s="22" t="str">
        <f t="shared" si="26"/>
        <v>hulpenergie</v>
      </c>
      <c r="AW91" s="46" t="str">
        <f t="shared" si="27"/>
        <v>elektriciteit</v>
      </c>
      <c r="AX91" s="24"/>
      <c r="AY91" s="12"/>
      <c r="AZ91" s="115">
        <v>1</v>
      </c>
      <c r="BA91" s="24">
        <f>IFERROR(INDEX(tabellen_EMD!$C$185:$N$193,MATCH($J91,tabellen_EMD!$C$185:$C$193,0),MATCH(BA$63,tabellen_EMD!$C$185:$N$185,0)),0)</f>
        <v>0</v>
      </c>
      <c r="BB91" s="115">
        <f t="shared" si="34"/>
        <v>2.56</v>
      </c>
      <c r="BC91" s="15"/>
      <c r="BD91" s="115">
        <f t="shared" si="35"/>
        <v>3.6</v>
      </c>
      <c r="BE91" s="47" t="str">
        <f t="shared" si="36"/>
        <v>MJ/kWh</v>
      </c>
      <c r="BF91" s="15"/>
      <c r="BG91" s="218">
        <f>IFERROR(INDEX(tabellen_EMD!$C$240:$Z$248,MATCH($J91,tabellen_EMD!$C$240:$C$248,0),MATCH($B91,tabellen_EMD!$C$240:$Z$240,0))*(F91&lt;&gt;"zomercomfort"),0)</f>
        <v>0.56499999999999995</v>
      </c>
      <c r="BH91" s="47" t="str">
        <f t="shared" si="37"/>
        <v>kg/kWh</v>
      </c>
      <c r="BI91" s="15"/>
    </row>
    <row r="92" spans="1:61" hidden="1">
      <c r="A92" s="86"/>
      <c r="B92" s="47" t="str">
        <f>B90</f>
        <v>Enorm</v>
      </c>
      <c r="C92" s="47" t="str">
        <f>C90</f>
        <v>NEN 7120</v>
      </c>
      <c r="D92" s="943"/>
      <c r="E92" s="14"/>
      <c r="F92" s="22" t="s">
        <v>504</v>
      </c>
      <c r="G92" s="22"/>
      <c r="H92" s="22"/>
      <c r="I92" s="905"/>
      <c r="J92" s="1685"/>
      <c r="K92" s="1685"/>
      <c r="L92" s="16"/>
      <c r="M92" s="25"/>
      <c r="N92" s="22" t="str">
        <f t="shared" si="28"/>
        <v>MJ</v>
      </c>
      <c r="O92" s="39"/>
      <c r="P92" s="154"/>
      <c r="Q92" s="59">
        <f t="shared" si="29"/>
        <v>1</v>
      </c>
      <c r="R92" s="15"/>
      <c r="S92" s="24">
        <f t="shared" si="30"/>
        <v>0</v>
      </c>
      <c r="T92" s="47" t="str">
        <f>IFERROR(INDEX(energiedragers_EP_eenheden,MATCH($J92,tabellen_EMD!$C$196:$C$204,0),MATCH($B92,energiedragers_EP_eenheden_titel,0)),"-")</f>
        <v>-</v>
      </c>
      <c r="U92" s="39"/>
      <c r="V92" s="154"/>
      <c r="W92" s="59">
        <f t="shared" si="31"/>
        <v>0</v>
      </c>
      <c r="X92" s="47" t="str">
        <f t="shared" si="32"/>
        <v>kg/-</v>
      </c>
      <c r="Y92" s="39"/>
      <c r="Z92" s="24">
        <f t="shared" si="33"/>
        <v>0</v>
      </c>
      <c r="AA92" s="47" t="s">
        <v>468</v>
      </c>
      <c r="AB92" s="67"/>
      <c r="AC92" s="995"/>
      <c r="AD92" s="1405"/>
      <c r="AE92" s="1405"/>
      <c r="AF92" s="1405"/>
      <c r="AG92" s="1405"/>
      <c r="AH92" s="1405"/>
      <c r="AI92" s="1405"/>
      <c r="AJ92" s="1405"/>
      <c r="AK92" s="1405"/>
      <c r="AL92" s="1405"/>
      <c r="AM92" s="1405"/>
      <c r="AN92" s="1405"/>
      <c r="AO92" s="1405"/>
      <c r="AP92" s="1405"/>
      <c r="AQ92" s="1405"/>
      <c r="AR92" s="1405"/>
      <c r="AS92" s="67"/>
      <c r="AT92" s="995"/>
      <c r="AU92" s="12"/>
      <c r="AV92" s="22" t="str">
        <f t="shared" si="26"/>
        <v>koeling</v>
      </c>
      <c r="AW92" s="46">
        <f t="shared" si="27"/>
        <v>0</v>
      </c>
      <c r="AX92" s="24"/>
      <c r="AY92" s="12"/>
      <c r="AZ92" s="115">
        <v>1</v>
      </c>
      <c r="BA92" s="24">
        <f>IFERROR(INDEX(tabellen_EMD!$C$185:$N$193,MATCH($J92,tabellen_EMD!$C$185:$C$193,0),MATCH(BA$63,tabellen_EMD!$C$185:$N$185,0)),0)</f>
        <v>0</v>
      </c>
      <c r="BB92" s="115" t="e">
        <f t="shared" si="34"/>
        <v>#N/A</v>
      </c>
      <c r="BC92" s="15"/>
      <c r="BD92" s="115">
        <f t="shared" si="35"/>
        <v>1</v>
      </c>
      <c r="BE92" s="47" t="str">
        <f t="shared" si="36"/>
        <v>MJ/-</v>
      </c>
      <c r="BF92" s="15"/>
      <c r="BG92" s="218">
        <f>IFERROR(INDEX(tabellen_EMD!$C$240:$Z$248,MATCH($J92,tabellen_EMD!$C$240:$C$248,0),MATCH($B92,tabellen_EMD!$C$240:$Z$240,0))*(F92&lt;&gt;"zomercomfort"),0)</f>
        <v>0</v>
      </c>
      <c r="BH92" s="47" t="str">
        <f t="shared" si="37"/>
        <v>kg/-</v>
      </c>
      <c r="BI92" s="15"/>
    </row>
    <row r="93" spans="1:61" hidden="1">
      <c r="A93" s="86"/>
      <c r="B93" s="47" t="str">
        <f t="shared" si="25"/>
        <v>Enorm</v>
      </c>
      <c r="C93" s="47" t="str">
        <f t="shared" si="25"/>
        <v>NEN 7120</v>
      </c>
      <c r="D93" s="943"/>
      <c r="E93" s="14"/>
      <c r="F93" s="209" t="s">
        <v>1502</v>
      </c>
      <c r="G93" s="209"/>
      <c r="H93" s="209"/>
      <c r="I93" s="905"/>
      <c r="J93" s="1691" t="s">
        <v>465</v>
      </c>
      <c r="K93" s="1698"/>
      <c r="L93" s="16"/>
      <c r="M93" s="25"/>
      <c r="N93" s="22" t="str">
        <f t="shared" si="28"/>
        <v>MJ</v>
      </c>
      <c r="O93" s="39"/>
      <c r="P93" s="39"/>
      <c r="Q93" s="59">
        <f t="shared" si="29"/>
        <v>2.56</v>
      </c>
      <c r="R93" s="15"/>
      <c r="S93" s="24">
        <f t="shared" si="30"/>
        <v>0</v>
      </c>
      <c r="T93" s="47" t="str">
        <f>IFERROR(INDEX(energiedragers_EP_eenheden,MATCH($J93,tabellen_EMD!$C$196:$C$204,0),MATCH($B93,energiedragers_EP_eenheden_titel,0)),"-")</f>
        <v>kWh</v>
      </c>
      <c r="U93" s="39"/>
      <c r="V93" s="15"/>
      <c r="W93" s="59">
        <f t="shared" si="31"/>
        <v>0.56499999999999995</v>
      </c>
      <c r="X93" s="47" t="str">
        <f t="shared" si="32"/>
        <v>kg/kWh</v>
      </c>
      <c r="Y93" s="12"/>
      <c r="Z93" s="24">
        <f t="shared" si="33"/>
        <v>0</v>
      </c>
      <c r="AA93" s="47" t="s">
        <v>468</v>
      </c>
      <c r="AB93" s="67"/>
      <c r="AC93" s="995"/>
      <c r="AD93" s="1405"/>
      <c r="AE93" s="1405"/>
      <c r="AF93" s="1405"/>
      <c r="AG93" s="1405"/>
      <c r="AH93" s="1405"/>
      <c r="AI93" s="1405"/>
      <c r="AJ93" s="1405"/>
      <c r="AK93" s="1405"/>
      <c r="AL93" s="1405"/>
      <c r="AM93" s="1405"/>
      <c r="AN93" s="1405"/>
      <c r="AO93" s="1405"/>
      <c r="AP93" s="1405"/>
      <c r="AQ93" s="1405"/>
      <c r="AR93" s="1405"/>
      <c r="AS93" s="67"/>
      <c r="AT93" s="995"/>
      <c r="AU93" s="12"/>
      <c r="AV93" s="22" t="str">
        <f t="shared" si="26"/>
        <v>hulpenergie</v>
      </c>
      <c r="AW93" s="46" t="str">
        <f t="shared" si="27"/>
        <v>elektriciteit</v>
      </c>
      <c r="AX93" s="24"/>
      <c r="AY93" s="12"/>
      <c r="AZ93" s="115">
        <v>1</v>
      </c>
      <c r="BA93" s="24">
        <f>IFERROR(INDEX(tabellen_EMD!$C$185:$N$193,MATCH($J93,tabellen_EMD!$C$185:$C$193,0),MATCH(BA$63,tabellen_EMD!$C$185:$N$185,0)),0)</f>
        <v>0</v>
      </c>
      <c r="BB93" s="115">
        <f t="shared" si="34"/>
        <v>2.56</v>
      </c>
      <c r="BC93" s="15"/>
      <c r="BD93" s="115">
        <f t="shared" si="35"/>
        <v>3.6</v>
      </c>
      <c r="BE93" s="47" t="str">
        <f t="shared" si="36"/>
        <v>MJ/kWh</v>
      </c>
      <c r="BF93" s="15"/>
      <c r="BG93" s="218">
        <f>IFERROR(INDEX(tabellen_EMD!$C$240:$Z$248,MATCH($J93,tabellen_EMD!$C$240:$C$248,0),MATCH($B93,tabellen_EMD!$C$240:$Z$240,0))*(F93&lt;&gt;"zomercomfort"),0)</f>
        <v>0.56499999999999995</v>
      </c>
      <c r="BH93" s="47" t="str">
        <f t="shared" si="37"/>
        <v>kg/kWh</v>
      </c>
      <c r="BI93" s="15"/>
    </row>
    <row r="94" spans="1:61" hidden="1">
      <c r="A94" s="86"/>
      <c r="B94" s="47" t="str">
        <f>B92</f>
        <v>Enorm</v>
      </c>
      <c r="C94" s="47" t="str">
        <f>C92</f>
        <v>NEN 7120</v>
      </c>
      <c r="D94" s="943"/>
      <c r="E94" s="14"/>
      <c r="F94" s="22" t="s">
        <v>1396</v>
      </c>
      <c r="G94" s="22"/>
      <c r="H94" s="22"/>
      <c r="I94" s="905"/>
      <c r="J94" s="1691" t="s">
        <v>465</v>
      </c>
      <c r="K94" s="1698"/>
      <c r="L94" s="16"/>
      <c r="M94" s="25"/>
      <c r="N94" s="22" t="str">
        <f t="shared" si="28"/>
        <v>MJ</v>
      </c>
      <c r="O94" s="39"/>
      <c r="P94" s="39"/>
      <c r="Q94" s="59">
        <f t="shared" si="29"/>
        <v>2.56</v>
      </c>
      <c r="R94" s="15"/>
      <c r="S94" s="24">
        <f t="shared" si="30"/>
        <v>0</v>
      </c>
      <c r="T94" s="47" t="str">
        <f>IFERROR(INDEX(energiedragers_EP_eenheden,MATCH($J94,tabellen_EMD!$C$196:$C$204,0),MATCH($B94,energiedragers_EP_eenheden_titel,0)),"-")</f>
        <v>kWh</v>
      </c>
      <c r="U94" s="39"/>
      <c r="V94" s="15"/>
      <c r="W94" s="59">
        <f t="shared" si="31"/>
        <v>0</v>
      </c>
      <c r="X94" s="47" t="str">
        <f t="shared" si="32"/>
        <v>kg/kWh</v>
      </c>
      <c r="Y94" s="12"/>
      <c r="Z94" s="24">
        <f t="shared" si="33"/>
        <v>0</v>
      </c>
      <c r="AA94" s="47" t="s">
        <v>468</v>
      </c>
      <c r="AB94" s="67"/>
      <c r="AC94" s="995"/>
      <c r="AD94" s="1405"/>
      <c r="AE94" s="1405"/>
      <c r="AF94" s="1405"/>
      <c r="AG94" s="1405"/>
      <c r="AH94" s="1405"/>
      <c r="AI94" s="1405"/>
      <c r="AJ94" s="1405"/>
      <c r="AK94" s="1405"/>
      <c r="AL94" s="1405"/>
      <c r="AM94" s="1405"/>
      <c r="AN94" s="1405"/>
      <c r="AO94" s="1405"/>
      <c r="AP94" s="1405"/>
      <c r="AQ94" s="1405"/>
      <c r="AR94" s="1405"/>
      <c r="AS94" s="67"/>
      <c r="AT94" s="995"/>
      <c r="AU94" s="12"/>
      <c r="AV94" s="22" t="str">
        <f t="shared" si="26"/>
        <v>zomercomfort</v>
      </c>
      <c r="AW94" s="46" t="str">
        <f t="shared" si="27"/>
        <v>elektriciteit</v>
      </c>
      <c r="AX94" s="24"/>
      <c r="AY94" s="12"/>
      <c r="AZ94" s="115">
        <v>1</v>
      </c>
      <c r="BA94" s="24">
        <f>IFERROR(INDEX(tabellen_EMD!$C$185:$N$193,MATCH($J94,tabellen_EMD!$C$185:$C$193,0),MATCH(BA$63,tabellen_EMD!$C$185:$N$185,0)),0)</f>
        <v>0</v>
      </c>
      <c r="BB94" s="115">
        <f t="shared" si="34"/>
        <v>2.56</v>
      </c>
      <c r="BC94" s="15"/>
      <c r="BD94" s="115">
        <f t="shared" si="35"/>
        <v>3.6</v>
      </c>
      <c r="BE94" s="47" t="str">
        <f t="shared" si="36"/>
        <v>MJ/kWh</v>
      </c>
      <c r="BF94" s="15"/>
      <c r="BG94" s="218">
        <f>IFERROR(INDEX(tabellen_EMD!$C$240:$Z$248,MATCH($J94,tabellen_EMD!$C$240:$C$248,0),MATCH($B94,tabellen_EMD!$C$240:$Z$240,0))*(F94&lt;&gt;"zomercomfort"),0)</f>
        <v>0</v>
      </c>
      <c r="BH94" s="47" t="str">
        <f t="shared" si="37"/>
        <v>kg/kWh</v>
      </c>
      <c r="BI94" s="15"/>
    </row>
    <row r="95" spans="1:61" hidden="1">
      <c r="A95" s="86"/>
      <c r="B95" s="47" t="str">
        <f t="shared" si="25"/>
        <v>Enorm</v>
      </c>
      <c r="C95" s="47" t="str">
        <f t="shared" si="25"/>
        <v>NEN 7120</v>
      </c>
      <c r="D95" s="943"/>
      <c r="E95" s="14"/>
      <c r="F95" s="22" t="s">
        <v>505</v>
      </c>
      <c r="G95" s="22"/>
      <c r="H95" s="22"/>
      <c r="I95" s="905"/>
      <c r="J95" s="1691" t="s">
        <v>465</v>
      </c>
      <c r="K95" s="1698"/>
      <c r="L95" s="16"/>
      <c r="M95" s="25"/>
      <c r="N95" s="22" t="str">
        <f t="shared" si="28"/>
        <v>MJ</v>
      </c>
      <c r="O95" s="39"/>
      <c r="P95" s="39"/>
      <c r="Q95" s="59">
        <f t="shared" si="29"/>
        <v>2.56</v>
      </c>
      <c r="R95" s="15"/>
      <c r="S95" s="24">
        <f t="shared" si="30"/>
        <v>0</v>
      </c>
      <c r="T95" s="47" t="str">
        <f>IFERROR(INDEX(energiedragers_EP_eenheden,MATCH($J95,tabellen_EMD!$C$196:$C$204,0),MATCH($B95,energiedragers_EP_eenheden_titel,0)),"-")</f>
        <v>kWh</v>
      </c>
      <c r="U95" s="39"/>
      <c r="V95" s="15"/>
      <c r="W95" s="59">
        <f t="shared" si="31"/>
        <v>0.56499999999999995</v>
      </c>
      <c r="X95" s="47" t="str">
        <f t="shared" si="32"/>
        <v>kg/kWh</v>
      </c>
      <c r="Y95" s="12"/>
      <c r="Z95" s="24">
        <f t="shared" si="33"/>
        <v>0</v>
      </c>
      <c r="AA95" s="47" t="s">
        <v>468</v>
      </c>
      <c r="AB95" s="67"/>
      <c r="AC95" s="995"/>
      <c r="AD95" s="1405"/>
      <c r="AE95" s="1405"/>
      <c r="AF95" s="1405"/>
      <c r="AG95" s="1405"/>
      <c r="AH95" s="1405"/>
      <c r="AI95" s="1405"/>
      <c r="AJ95" s="1405"/>
      <c r="AK95" s="1405"/>
      <c r="AL95" s="1405"/>
      <c r="AM95" s="1405"/>
      <c r="AN95" s="1405"/>
      <c r="AO95" s="1405"/>
      <c r="AP95" s="1405"/>
      <c r="AQ95" s="1405"/>
      <c r="AR95" s="1405"/>
      <c r="AS95" s="67"/>
      <c r="AT95" s="995"/>
      <c r="AU95" s="12"/>
      <c r="AV95" s="22" t="str">
        <f t="shared" si="26"/>
        <v>bevochtiging</v>
      </c>
      <c r="AW95" s="46" t="str">
        <f t="shared" si="27"/>
        <v>elektriciteit</v>
      </c>
      <c r="AX95" s="24"/>
      <c r="AY95" s="12"/>
      <c r="AZ95" s="115">
        <v>1</v>
      </c>
      <c r="BA95" s="24">
        <f>IFERROR(INDEX(tabellen_EMD!$C$185:$N$193,MATCH($J95,tabellen_EMD!$C$185:$C$193,0),MATCH(BA$63,tabellen_EMD!$C$185:$N$185,0)),0)</f>
        <v>0</v>
      </c>
      <c r="BB95" s="115">
        <f t="shared" si="34"/>
        <v>2.56</v>
      </c>
      <c r="BC95" s="15"/>
      <c r="BD95" s="115">
        <f t="shared" si="35"/>
        <v>3.6</v>
      </c>
      <c r="BE95" s="47" t="str">
        <f t="shared" si="36"/>
        <v>MJ/kWh</v>
      </c>
      <c r="BF95" s="15"/>
      <c r="BG95" s="218">
        <f>IFERROR(INDEX(tabellen_EMD!$C$240:$Z$248,MATCH($J95,tabellen_EMD!$C$240:$C$248,0),MATCH($B95,tabellen_EMD!$C$240:$Z$240,0))*(F95&lt;&gt;"zomercomfort"),0)</f>
        <v>0.56499999999999995</v>
      </c>
      <c r="BH95" s="47" t="str">
        <f t="shared" si="37"/>
        <v>kg/kWh</v>
      </c>
      <c r="BI95" s="15"/>
    </row>
    <row r="96" spans="1:61" hidden="1">
      <c r="A96" s="86"/>
      <c r="B96" s="47" t="str">
        <f t="shared" si="25"/>
        <v>Enorm</v>
      </c>
      <c r="C96" s="47" t="str">
        <f t="shared" si="25"/>
        <v>NEN 7120</v>
      </c>
      <c r="D96" s="943"/>
      <c r="E96" s="14"/>
      <c r="F96" s="22" t="s">
        <v>506</v>
      </c>
      <c r="G96" s="22"/>
      <c r="H96" s="22"/>
      <c r="I96" s="905"/>
      <c r="J96" s="1691" t="s">
        <v>465</v>
      </c>
      <c r="K96" s="1698"/>
      <c r="L96" s="16"/>
      <c r="M96" s="25"/>
      <c r="N96" s="22" t="str">
        <f t="shared" si="28"/>
        <v>MJ</v>
      </c>
      <c r="O96" s="905"/>
      <c r="P96" s="39"/>
      <c r="Q96" s="59">
        <f t="shared" si="29"/>
        <v>2.56</v>
      </c>
      <c r="R96" s="15"/>
      <c r="S96" s="24">
        <f t="shared" si="30"/>
        <v>0</v>
      </c>
      <c r="T96" s="47" t="str">
        <f>IFERROR(INDEX(energiedragers_EP_eenheden,MATCH($J96,tabellen_EMD!$C$196:$C$204,0),MATCH($B96,energiedragers_EP_eenheden_titel,0)),"-")</f>
        <v>kWh</v>
      </c>
      <c r="U96" s="39"/>
      <c r="V96" s="15"/>
      <c r="W96" s="59">
        <f t="shared" si="31"/>
        <v>0.56499999999999995</v>
      </c>
      <c r="X96" s="47" t="str">
        <f t="shared" si="32"/>
        <v>kg/kWh</v>
      </c>
      <c r="Y96" s="12"/>
      <c r="Z96" s="24">
        <f t="shared" si="33"/>
        <v>0</v>
      </c>
      <c r="AA96" s="47" t="s">
        <v>468</v>
      </c>
      <c r="AB96" s="67"/>
      <c r="AC96" s="995"/>
      <c r="AD96" s="1405"/>
      <c r="AE96" s="1405"/>
      <c r="AF96" s="1405"/>
      <c r="AG96" s="1405"/>
      <c r="AH96" s="1405"/>
      <c r="AI96" s="1405"/>
      <c r="AJ96" s="1405"/>
      <c r="AK96" s="1405"/>
      <c r="AL96" s="1405"/>
      <c r="AM96" s="1405"/>
      <c r="AN96" s="1405"/>
      <c r="AO96" s="1405"/>
      <c r="AP96" s="1405"/>
      <c r="AQ96" s="1405"/>
      <c r="AR96" s="1405"/>
      <c r="AS96" s="67"/>
      <c r="AT96" s="995"/>
      <c r="AU96" s="12"/>
      <c r="AV96" s="22" t="str">
        <f t="shared" si="26"/>
        <v>ontvochtiging</v>
      </c>
      <c r="AW96" s="46" t="str">
        <f t="shared" si="27"/>
        <v>elektriciteit</v>
      </c>
      <c r="AX96" s="24"/>
      <c r="AY96" s="12"/>
      <c r="AZ96" s="115">
        <v>1</v>
      </c>
      <c r="BA96" s="24">
        <f>IFERROR(INDEX(tabellen_EMD!$C$185:$N$193,MATCH($J96,tabellen_EMD!$C$185:$C$193,0),MATCH(BA$63,tabellen_EMD!$C$185:$N$185,0)),0)</f>
        <v>0</v>
      </c>
      <c r="BB96" s="115">
        <f t="shared" si="34"/>
        <v>2.56</v>
      </c>
      <c r="BC96" s="15"/>
      <c r="BD96" s="115">
        <f t="shared" si="35"/>
        <v>3.6</v>
      </c>
      <c r="BE96" s="47" t="str">
        <f t="shared" si="36"/>
        <v>MJ/kWh</v>
      </c>
      <c r="BF96" s="15"/>
      <c r="BG96" s="218">
        <f>IFERROR(INDEX(tabellen_EMD!$C$240:$Z$248,MATCH($J96,tabellen_EMD!$C$240:$C$248,0),MATCH($B96,tabellen_EMD!$C$240:$Z$240,0))*(F96&lt;&gt;"zomercomfort"),0)</f>
        <v>0.56499999999999995</v>
      </c>
      <c r="BH96" s="47" t="str">
        <f t="shared" si="37"/>
        <v>kg/kWh</v>
      </c>
      <c r="BI96" s="15"/>
    </row>
    <row r="97" spans="1:61" hidden="1">
      <c r="A97" s="86"/>
      <c r="B97" s="47" t="str">
        <f t="shared" si="25"/>
        <v>Enorm</v>
      </c>
      <c r="C97" s="47" t="str">
        <f t="shared" si="25"/>
        <v>NEN 7120</v>
      </c>
      <c r="D97" s="943"/>
      <c r="E97" s="14"/>
      <c r="F97" s="22" t="s">
        <v>1375</v>
      </c>
      <c r="G97" s="22"/>
      <c r="H97" s="22"/>
      <c r="I97" s="905"/>
      <c r="J97" s="1691" t="s">
        <v>465</v>
      </c>
      <c r="K97" s="1698"/>
      <c r="L97" s="16"/>
      <c r="M97" s="25"/>
      <c r="N97" s="22" t="str">
        <f t="shared" si="28"/>
        <v>MJ</v>
      </c>
      <c r="O97" s="899"/>
      <c r="P97" s="39"/>
      <c r="Q97" s="59">
        <f t="shared" si="29"/>
        <v>2.56</v>
      </c>
      <c r="R97" s="15"/>
      <c r="S97" s="24">
        <f t="shared" si="30"/>
        <v>0</v>
      </c>
      <c r="T97" s="47" t="str">
        <f>IFERROR(INDEX(energiedragers_EP_eenheden,MATCH($J97,tabellen_EMD!$C$196:$C$204,0),MATCH($B97,energiedragers_EP_eenheden_titel,0)),"-")</f>
        <v>kWh</v>
      </c>
      <c r="U97" s="39"/>
      <c r="V97" s="15"/>
      <c r="W97" s="59">
        <f t="shared" si="31"/>
        <v>0.56499999999999995</v>
      </c>
      <c r="X97" s="47" t="str">
        <f t="shared" si="32"/>
        <v>kg/kWh</v>
      </c>
      <c r="Y97" s="12"/>
      <c r="Z97" s="24">
        <f t="shared" si="33"/>
        <v>0</v>
      </c>
      <c r="AA97" s="47" t="s">
        <v>468</v>
      </c>
      <c r="AB97" s="67"/>
      <c r="AC97" s="995"/>
      <c r="AD97" s="1405"/>
      <c r="AE97" s="1405"/>
      <c r="AF97" s="1405"/>
      <c r="AG97" s="1405"/>
      <c r="AH97" s="1405"/>
      <c r="AI97" s="1405"/>
      <c r="AJ97" s="1405"/>
      <c r="AK97" s="1405"/>
      <c r="AL97" s="1405"/>
      <c r="AM97" s="1405"/>
      <c r="AN97" s="1405"/>
      <c r="AO97" s="1405"/>
      <c r="AP97" s="1405"/>
      <c r="AQ97" s="1405"/>
      <c r="AR97" s="1405"/>
      <c r="AS97" s="67"/>
      <c r="AT97" s="995"/>
      <c r="AU97" s="12"/>
      <c r="AV97" s="22" t="str">
        <f t="shared" si="26"/>
        <v>ventilatoren</v>
      </c>
      <c r="AW97" s="46" t="str">
        <f t="shared" si="27"/>
        <v>elektriciteit</v>
      </c>
      <c r="AX97" s="24"/>
      <c r="AY97" s="12"/>
      <c r="AZ97" s="115">
        <v>1</v>
      </c>
      <c r="BA97" s="24">
        <f>IFERROR(INDEX(tabellen_EMD!$C$185:$N$193,MATCH($J97,tabellen_EMD!$C$185:$C$193,0),MATCH(BA$63,tabellen_EMD!$C$185:$N$185,0)),0)</f>
        <v>0</v>
      </c>
      <c r="BB97" s="115">
        <f t="shared" si="34"/>
        <v>2.56</v>
      </c>
      <c r="BC97" s="15"/>
      <c r="BD97" s="115">
        <f t="shared" si="35"/>
        <v>3.6</v>
      </c>
      <c r="BE97" s="47" t="str">
        <f t="shared" si="36"/>
        <v>MJ/kWh</v>
      </c>
      <c r="BF97" s="15"/>
      <c r="BG97" s="218">
        <f>IFERROR(INDEX(tabellen_EMD!$C$240:$Z$248,MATCH($J97,tabellen_EMD!$C$240:$C$248,0),MATCH($B97,tabellen_EMD!$C$240:$Z$240,0))*(F97&lt;&gt;"zomercomfort"),0)</f>
        <v>0.56499999999999995</v>
      </c>
      <c r="BH97" s="47" t="str">
        <f t="shared" si="37"/>
        <v>kg/kWh</v>
      </c>
      <c r="BI97" s="15"/>
    </row>
    <row r="98" spans="1:61" hidden="1">
      <c r="A98" s="18"/>
      <c r="B98" s="47" t="str">
        <f t="shared" si="25"/>
        <v>Enorm</v>
      </c>
      <c r="C98" s="47" t="str">
        <f t="shared" si="25"/>
        <v>NEN 7120</v>
      </c>
      <c r="D98" s="943"/>
      <c r="E98" s="14"/>
      <c r="F98" s="22" t="s">
        <v>507</v>
      </c>
      <c r="G98" s="22"/>
      <c r="H98" s="22"/>
      <c r="I98" s="905"/>
      <c r="J98" s="1691" t="s">
        <v>465</v>
      </c>
      <c r="K98" s="1698"/>
      <c r="L98" s="16"/>
      <c r="M98" s="25"/>
      <c r="N98" s="22" t="str">
        <f t="shared" si="28"/>
        <v>MJ</v>
      </c>
      <c r="O98" s="899"/>
      <c r="P98" s="39"/>
      <c r="Q98" s="59">
        <f t="shared" si="29"/>
        <v>2.56</v>
      </c>
      <c r="R98" s="15"/>
      <c r="S98" s="24">
        <f t="shared" si="30"/>
        <v>0</v>
      </c>
      <c r="T98" s="47" t="str">
        <f>IFERROR(INDEX(energiedragers_EP_eenheden,MATCH($J98,tabellen_EMD!$C$196:$C$204,0),MATCH($B98,energiedragers_EP_eenheden_titel,0)),"-")</f>
        <v>kWh</v>
      </c>
      <c r="U98" s="39"/>
      <c r="V98" s="15"/>
      <c r="W98" s="59">
        <f t="shared" si="31"/>
        <v>0.56499999999999995</v>
      </c>
      <c r="X98" s="47" t="str">
        <f t="shared" si="32"/>
        <v>kg/kWh</v>
      </c>
      <c r="Y98" s="12"/>
      <c r="Z98" s="24">
        <f t="shared" si="33"/>
        <v>0</v>
      </c>
      <c r="AA98" s="47" t="s">
        <v>468</v>
      </c>
      <c r="AB98" s="67"/>
      <c r="AC98" s="995"/>
      <c r="AD98" s="1405"/>
      <c r="AE98" s="1405"/>
      <c r="AF98" s="1405"/>
      <c r="AG98" s="1405"/>
      <c r="AH98" s="1405"/>
      <c r="AI98" s="1405"/>
      <c r="AJ98" s="1405"/>
      <c r="AK98" s="1405"/>
      <c r="AL98" s="1405"/>
      <c r="AM98" s="1405"/>
      <c r="AN98" s="1405"/>
      <c r="AO98" s="1405"/>
      <c r="AP98" s="1405"/>
      <c r="AQ98" s="1405"/>
      <c r="AR98" s="1405"/>
      <c r="AS98" s="67"/>
      <c r="AT98" s="995"/>
      <c r="AU98" s="12"/>
      <c r="AV98" s="22" t="str">
        <f t="shared" si="26"/>
        <v>verlichting</v>
      </c>
      <c r="AW98" s="46" t="str">
        <f t="shared" si="27"/>
        <v>elektriciteit</v>
      </c>
      <c r="AX98" s="24"/>
      <c r="AY98" s="12"/>
      <c r="AZ98" s="115">
        <v>1</v>
      </c>
      <c r="BA98" s="24">
        <f>IFERROR(INDEX(tabellen_EMD!$C$185:$N$193,MATCH($J98,tabellen_EMD!$C$185:$C$193,0),MATCH(BA$63,tabellen_EMD!$C$185:$N$185,0)),0)</f>
        <v>0</v>
      </c>
      <c r="BB98" s="115">
        <f t="shared" si="34"/>
        <v>2.56</v>
      </c>
      <c r="BC98" s="15"/>
      <c r="BD98" s="115">
        <f t="shared" si="35"/>
        <v>3.6</v>
      </c>
      <c r="BE98" s="47" t="str">
        <f t="shared" si="36"/>
        <v>MJ/kWh</v>
      </c>
      <c r="BF98" s="15"/>
      <c r="BG98" s="218">
        <f>IFERROR(INDEX(tabellen_EMD!$C$240:$Z$248,MATCH($J98,tabellen_EMD!$C$240:$C$248,0),MATCH($B98,tabellen_EMD!$C$240:$Z$240,0))*(F98&lt;&gt;"zomercomfort"),0)</f>
        <v>0.56499999999999995</v>
      </c>
      <c r="BH98" s="47" t="str">
        <f t="shared" si="37"/>
        <v>kg/kWh</v>
      </c>
      <c r="BI98" s="15"/>
    </row>
    <row r="99" spans="1:61" hidden="1">
      <c r="A99" s="18"/>
      <c r="B99" s="47" t="str">
        <f t="shared" si="25"/>
        <v>Enorm</v>
      </c>
      <c r="C99" s="47" t="str">
        <f t="shared" si="25"/>
        <v>NEN 7120</v>
      </c>
      <c r="D99" s="943"/>
      <c r="E99" s="14"/>
      <c r="F99" s="330" t="s">
        <v>1391</v>
      </c>
      <c r="G99" s="330"/>
      <c r="H99" s="330"/>
      <c r="I99" s="905"/>
      <c r="J99" s="965" t="s">
        <v>1391</v>
      </c>
      <c r="K99" s="965"/>
      <c r="L99" s="16"/>
      <c r="M99" s="950">
        <f>SUM(M88:M98)</f>
        <v>0</v>
      </c>
      <c r="N99" s="15" t="str">
        <f t="shared" si="28"/>
        <v>MJ</v>
      </c>
      <c r="O99" s="899"/>
      <c r="P99" s="39"/>
      <c r="Q99" s="984"/>
      <c r="R99" s="15"/>
      <c r="S99" s="15"/>
      <c r="T99" s="15"/>
      <c r="U99" s="39"/>
      <c r="V99" s="15"/>
      <c r="W99" s="984"/>
      <c r="X99" s="15"/>
      <c r="Y99" s="39"/>
      <c r="Z99" s="950">
        <f>SUM(Z88:Z98)</f>
        <v>0</v>
      </c>
      <c r="AA99" s="15" t="s">
        <v>468</v>
      </c>
      <c r="AB99" s="67"/>
      <c r="AC99" s="995"/>
      <c r="AD99" s="1405"/>
      <c r="AE99" s="1405"/>
      <c r="AF99" s="1405"/>
      <c r="AG99" s="1405"/>
      <c r="AH99" s="1405"/>
      <c r="AI99" s="1405"/>
      <c r="AJ99" s="1405"/>
      <c r="AK99" s="1405"/>
      <c r="AL99" s="1405"/>
      <c r="AM99" s="1405"/>
      <c r="AN99" s="1405"/>
      <c r="AO99" s="1405"/>
      <c r="AP99" s="1405"/>
      <c r="AQ99" s="1405"/>
      <c r="AR99" s="1405"/>
      <c r="AS99" s="67"/>
      <c r="AT99" s="995"/>
      <c r="AU99" s="12"/>
      <c r="AV99" s="22" t="str">
        <f t="shared" si="26"/>
        <v>totaal</v>
      </c>
      <c r="AW99" s="46" t="str">
        <f t="shared" si="27"/>
        <v>totaal</v>
      </c>
      <c r="AX99" s="24"/>
      <c r="AY99" s="12"/>
      <c r="AZ99" s="15"/>
      <c r="BA99" s="12"/>
      <c r="BB99" s="15"/>
      <c r="BC99" s="15"/>
      <c r="BD99" s="15"/>
      <c r="BE99" s="15"/>
      <c r="BF99" s="15"/>
      <c r="BG99" s="899"/>
      <c r="BH99" s="899"/>
      <c r="BI99" s="15"/>
    </row>
    <row r="100" spans="1:61" hidden="1">
      <c r="A100" s="18"/>
      <c r="B100" s="47" t="str">
        <f t="shared" si="25"/>
        <v>Enorm</v>
      </c>
      <c r="C100" s="47" t="str">
        <f t="shared" si="25"/>
        <v>NEN 7120</v>
      </c>
      <c r="D100" s="943"/>
      <c r="E100" s="14"/>
      <c r="F100" s="22" t="s">
        <v>1392</v>
      </c>
      <c r="G100" s="22"/>
      <c r="H100" s="22"/>
      <c r="I100" s="905"/>
      <c r="J100" s="1691" t="s">
        <v>466</v>
      </c>
      <c r="K100" s="1698"/>
      <c r="L100" s="16"/>
      <c r="M100" s="25"/>
      <c r="N100" s="22" t="str">
        <f t="shared" si="28"/>
        <v>MJ</v>
      </c>
      <c r="O100" s="899"/>
      <c r="P100" s="39"/>
      <c r="Q100" s="59">
        <f>IFERROR(IF(AND(P100&lt;&gt;"",$BA100=1),P100,BB100),1)</f>
        <v>2.56</v>
      </c>
      <c r="R100" s="15"/>
      <c r="S100" s="24">
        <f>M100/Q100/BD100</f>
        <v>0</v>
      </c>
      <c r="T100" s="47" t="str">
        <f>IFERROR(INDEX(energiedragers_EP_eenheden,MATCH($J100,tabellen_EMD!$C$196:$C$204,0),MATCH($B100,energiedragers_EP_eenheden_titel,0)),"-")</f>
        <v>kWh</v>
      </c>
      <c r="U100" s="39"/>
      <c r="V100" s="15"/>
      <c r="W100" s="59">
        <f>IF(AND(V100&lt;&gt;"",$BA100=1),V100,BG100)</f>
        <v>0.56499999999999995</v>
      </c>
      <c r="X100" s="47" t="str">
        <f>BH100</f>
        <v>kg/kWh</v>
      </c>
      <c r="Y100" s="12"/>
      <c r="Z100" s="24">
        <f>S100*W100*ABS(AZ100)</f>
        <v>0</v>
      </c>
      <c r="AA100" s="47" t="s">
        <v>468</v>
      </c>
      <c r="AB100" s="67"/>
      <c r="AC100" s="995"/>
      <c r="AD100" s="1405"/>
      <c r="AE100" s="1405"/>
      <c r="AF100" s="1405"/>
      <c r="AG100" s="1405"/>
      <c r="AH100" s="1405"/>
      <c r="AI100" s="1405"/>
      <c r="AJ100" s="1405"/>
      <c r="AK100" s="1405"/>
      <c r="AL100" s="1405"/>
      <c r="AM100" s="1405"/>
      <c r="AN100" s="1405"/>
      <c r="AO100" s="1405"/>
      <c r="AP100" s="1405"/>
      <c r="AQ100" s="1405"/>
      <c r="AR100" s="1405"/>
      <c r="AS100" s="67"/>
      <c r="AT100" s="995"/>
      <c r="AU100" s="12"/>
      <c r="AV100" s="22" t="str">
        <f t="shared" si="26"/>
        <v>elektriciteitsproductie gebouwgebonden</v>
      </c>
      <c r="AW100" s="46" t="str">
        <f t="shared" si="27"/>
        <v>elektriciteit opgewekt</v>
      </c>
      <c r="AX100" s="24"/>
      <c r="AY100" s="12"/>
      <c r="AZ100" s="115">
        <v>-1</v>
      </c>
      <c r="BA100" s="24">
        <f>IFERROR(INDEX(tabellen_EMD!$C$185:$N$193,MATCH($J100,tabellen_EMD!$C$185:$C$193,0),MATCH(BA$63,tabellen_EMD!$C$185:$N$185,0)),0)</f>
        <v>0</v>
      </c>
      <c r="BB100" s="115">
        <f>VLOOKUP($J100,energiedragers_EP_PEF,MATCH(_xlfn.CONCAT($C100," | PEF"),energiedragers_EP_PEF_titel,0),FALSE)</f>
        <v>2.56</v>
      </c>
      <c r="BC100" s="15"/>
      <c r="BD100" s="115">
        <f>IFERROR(VLOOKUP($J100,energiedragers_EP_omrekenen,MATCH($B100,energiedragers_EP_omrekenen_titel,0),FALSE),1)</f>
        <v>3.6</v>
      </c>
      <c r="BE100" s="47" t="str">
        <f>_xlfn.CONCAT(N100,"/",T100)</f>
        <v>MJ/kWh</v>
      </c>
      <c r="BF100" s="15"/>
      <c r="BG100" s="218">
        <f>IFERROR(INDEX(tabellen_EMD!$C$240:$Z$248,MATCH($J100,tabellen_EMD!$C$240:$C$248,0),MATCH($B100,tabellen_EMD!$C$240:$Z$240,0))*(F100&lt;&gt;"zomercomfort"),0)</f>
        <v>0.56499999999999995</v>
      </c>
      <c r="BH100" s="47" t="str">
        <f>"kg/"&amp;T100</f>
        <v>kg/kWh</v>
      </c>
      <c r="BI100" s="15"/>
    </row>
    <row r="101" spans="1:61" s="18" customFormat="1" hidden="1">
      <c r="B101" s="47" t="str">
        <f t="shared" si="25"/>
        <v>Enorm</v>
      </c>
      <c r="C101" s="47" t="str">
        <f t="shared" si="25"/>
        <v>NEN 7120</v>
      </c>
      <c r="D101" s="943"/>
      <c r="E101" s="14"/>
      <c r="F101" s="330" t="s">
        <v>1393</v>
      </c>
      <c r="G101" s="330"/>
      <c r="H101" s="330"/>
      <c r="I101" s="905"/>
      <c r="J101" s="965" t="s">
        <v>1391</v>
      </c>
      <c r="K101" s="965"/>
      <c r="L101" s="16"/>
      <c r="M101" s="950">
        <f>SUM(M99,M100)</f>
        <v>0</v>
      </c>
      <c r="N101" s="15" t="str">
        <f t="shared" si="28"/>
        <v>MJ</v>
      </c>
      <c r="O101" s="899"/>
      <c r="P101" s="39"/>
      <c r="Q101" s="984"/>
      <c r="R101" s="15"/>
      <c r="S101" s="15"/>
      <c r="T101" s="15"/>
      <c r="U101" s="39"/>
      <c r="V101" s="15"/>
      <c r="W101" s="984"/>
      <c r="X101" s="15"/>
      <c r="Y101" s="39"/>
      <c r="Z101" s="950">
        <f>SUM(Z99,Z100)</f>
        <v>0</v>
      </c>
      <c r="AA101" s="15" t="s">
        <v>468</v>
      </c>
      <c r="AB101" s="67"/>
      <c r="AC101" s="995"/>
      <c r="AD101" s="1405"/>
      <c r="AE101" s="1405"/>
      <c r="AF101" s="1405"/>
      <c r="AG101" s="1405"/>
      <c r="AH101" s="1405"/>
      <c r="AI101" s="1405"/>
      <c r="AJ101" s="1405"/>
      <c r="AK101" s="1405"/>
      <c r="AL101" s="1405"/>
      <c r="AM101" s="1405"/>
      <c r="AN101" s="1405"/>
      <c r="AO101" s="1405"/>
      <c r="AP101" s="1405"/>
      <c r="AQ101" s="1405"/>
      <c r="AR101" s="1405"/>
      <c r="AS101" s="67"/>
      <c r="AT101" s="995"/>
      <c r="AU101" s="12"/>
      <c r="AV101" s="22" t="str">
        <f t="shared" si="26"/>
        <v>afgenomen energie</v>
      </c>
      <c r="AW101" s="46" t="str">
        <f t="shared" si="27"/>
        <v>totaal</v>
      </c>
      <c r="AX101" s="24"/>
      <c r="AY101" s="12"/>
      <c r="AZ101" s="15"/>
      <c r="BA101" s="12"/>
      <c r="BB101" s="15"/>
      <c r="BC101" s="15"/>
      <c r="BD101" s="15"/>
      <c r="BE101" s="15"/>
      <c r="BF101" s="15"/>
      <c r="BG101" s="899"/>
      <c r="BH101" s="899"/>
      <c r="BI101" s="15"/>
    </row>
    <row r="102" spans="1:61" hidden="1">
      <c r="A102" s="18"/>
      <c r="B102" s="47" t="str">
        <f t="shared" si="25"/>
        <v>Enorm</v>
      </c>
      <c r="C102" s="47" t="str">
        <f t="shared" si="25"/>
        <v>NEN 7120</v>
      </c>
      <c r="D102" s="943"/>
      <c r="E102" s="14"/>
      <c r="F102" s="22" t="s">
        <v>1394</v>
      </c>
      <c r="G102" s="22"/>
      <c r="H102" s="22"/>
      <c r="I102" s="905"/>
      <c r="J102" s="1691" t="s">
        <v>1538</v>
      </c>
      <c r="K102" s="1698"/>
      <c r="L102" s="16"/>
      <c r="M102" s="25"/>
      <c r="N102" s="22" t="str">
        <f t="shared" si="28"/>
        <v>MJ</v>
      </c>
      <c r="O102" s="899"/>
      <c r="P102" s="39"/>
      <c r="Q102" s="59">
        <f>IFERROR(IF(AND(P102&lt;&gt;"",$BA102=1),P102,BB102),1)</f>
        <v>2</v>
      </c>
      <c r="R102" s="15"/>
      <c r="S102" s="24">
        <f>M102/Q102/BD102</f>
        <v>0</v>
      </c>
      <c r="T102" s="47" t="str">
        <f>IFERROR(INDEX(energiedragers_EP_eenheden,MATCH($J102,tabellen_EMD!$C$196:$C$204,0),MATCH($B102,energiedragers_EP_eenheden_titel,0)),"-")</f>
        <v>kWh</v>
      </c>
      <c r="U102" s="39"/>
      <c r="V102" s="15"/>
      <c r="W102" s="59">
        <f>IF(AND(V102&lt;&gt;"",$BA102=1),V102,BG102)</f>
        <v>0.56499999999999995</v>
      </c>
      <c r="X102" s="47" t="str">
        <f>BH102</f>
        <v>kg/kWh</v>
      </c>
      <c r="Y102" s="12"/>
      <c r="Z102" s="24">
        <f>S102*W102*ABS(AZ102)</f>
        <v>0</v>
      </c>
      <c r="AA102" s="47" t="s">
        <v>468</v>
      </c>
      <c r="AB102" s="67"/>
      <c r="AC102" s="995"/>
      <c r="AD102" s="1405"/>
      <c r="AE102" s="1405"/>
      <c r="AF102" s="1405"/>
      <c r="AG102" s="1405"/>
      <c r="AH102" s="1405"/>
      <c r="AI102" s="1405"/>
      <c r="AJ102" s="1405"/>
      <c r="AK102" s="1405"/>
      <c r="AL102" s="1405"/>
      <c r="AM102" s="1405"/>
      <c r="AN102" s="1405"/>
      <c r="AO102" s="1405"/>
      <c r="AP102" s="1405"/>
      <c r="AQ102" s="1405"/>
      <c r="AR102" s="1405"/>
      <c r="AS102" s="67"/>
      <c r="AT102" s="995"/>
      <c r="AU102" s="12"/>
      <c r="AV102" s="22" t="str">
        <f t="shared" si="26"/>
        <v>geëxporteerde energie</v>
      </c>
      <c r="AW102" s="46" t="str">
        <f t="shared" si="27"/>
        <v>elektriciteit geëxporteerd</v>
      </c>
      <c r="AX102" s="24"/>
      <c r="AY102" s="12"/>
      <c r="AZ102" s="115">
        <v>-1</v>
      </c>
      <c r="BA102" s="24">
        <f>IFERROR(INDEX(tabellen_EMD!$C$185:$N$193,MATCH($J102,tabellen_EMD!$C$185:$C$193,0),MATCH(BA$63,tabellen_EMD!$C$185:$N$185,0)),0)</f>
        <v>0</v>
      </c>
      <c r="BB102" s="115">
        <f>VLOOKUP($J102,energiedragers_EP_PEF,MATCH(_xlfn.CONCAT($C102," | PEF"),energiedragers_EP_PEF_titel,0),FALSE)</f>
        <v>2</v>
      </c>
      <c r="BC102" s="15"/>
      <c r="BD102" s="115">
        <f>IFERROR(VLOOKUP($J102,energiedragers_EP_omrekenen,MATCH($B102,energiedragers_EP_omrekenen_titel,0),FALSE),1)</f>
        <v>3.6</v>
      </c>
      <c r="BE102" s="47" t="str">
        <f>_xlfn.CONCAT(N102,"/",T102)</f>
        <v>MJ/kWh</v>
      </c>
      <c r="BF102" s="15"/>
      <c r="BG102" s="218">
        <f>IFERROR(INDEX(tabellen_EMD!$C$240:$Z$248,MATCH($J102,tabellen_EMD!$C$240:$C$248,0),MATCH($B102,tabellen_EMD!$C$240:$Z$240,0))*(F102&lt;&gt;"zomercomfort"),0)</f>
        <v>0.56499999999999995</v>
      </c>
      <c r="BH102" s="47" t="str">
        <f>"kg/"&amp;T102</f>
        <v>kg/kWh</v>
      </c>
      <c r="BI102" s="15"/>
    </row>
    <row r="103" spans="1:61" hidden="1">
      <c r="A103" s="18"/>
      <c r="B103" s="47" t="str">
        <f t="shared" ref="B103:C106" si="38">B102</f>
        <v>Enorm</v>
      </c>
      <c r="C103" s="47" t="str">
        <f t="shared" si="38"/>
        <v>NEN 7120</v>
      </c>
      <c r="D103" s="943"/>
      <c r="E103" s="14"/>
      <c r="F103" s="22" t="s">
        <v>1395</v>
      </c>
      <c r="G103" s="22"/>
      <c r="H103" s="22"/>
      <c r="I103" s="905"/>
      <c r="J103" s="1691" t="s">
        <v>466</v>
      </c>
      <c r="K103" s="1698"/>
      <c r="L103" s="16"/>
      <c r="M103" s="25"/>
      <c r="N103" s="22" t="str">
        <f t="shared" si="28"/>
        <v>MJ</v>
      </c>
      <c r="O103" s="899"/>
      <c r="P103" s="39"/>
      <c r="Q103" s="59">
        <f>IFERROR(IF(AND(P103&lt;&gt;"",$BA103=1),P103,BB103),1)</f>
        <v>2.56</v>
      </c>
      <c r="R103" s="15"/>
      <c r="S103" s="24">
        <f>M103/Q103/BD103</f>
        <v>0</v>
      </c>
      <c r="T103" s="47" t="str">
        <f>IFERROR(INDEX(energiedragers_EP_eenheden,MATCH($J103,tabellen_EMD!$C$196:$C$204,0),MATCH($B103,energiedragers_EP_eenheden_titel,0)),"-")</f>
        <v>kWh</v>
      </c>
      <c r="U103" s="39"/>
      <c r="V103" s="15"/>
      <c r="W103" s="59">
        <f>IF(AND(V103&lt;&gt;"",$BA103=1),V103,BG103)</f>
        <v>0.56499999999999995</v>
      </c>
      <c r="X103" s="47" t="str">
        <f>BH103</f>
        <v>kg/kWh</v>
      </c>
      <c r="Y103" s="12"/>
      <c r="Z103" s="24">
        <f>S103*W103*ABS(AZ103)</f>
        <v>0</v>
      </c>
      <c r="AA103" s="47" t="s">
        <v>468</v>
      </c>
      <c r="AB103" s="67"/>
      <c r="AC103" s="995"/>
      <c r="AD103" s="1405"/>
      <c r="AE103" s="1405"/>
      <c r="AF103" s="1405"/>
      <c r="AG103" s="1405"/>
      <c r="AH103" s="1405"/>
      <c r="AI103" s="1405"/>
      <c r="AJ103" s="1405"/>
      <c r="AK103" s="1405"/>
      <c r="AL103" s="1405"/>
      <c r="AM103" s="1405"/>
      <c r="AN103" s="1405"/>
      <c r="AO103" s="1405"/>
      <c r="AP103" s="1405"/>
      <c r="AQ103" s="1405"/>
      <c r="AR103" s="1405"/>
      <c r="AS103" s="67"/>
      <c r="AT103" s="995"/>
      <c r="AU103" s="12"/>
      <c r="AV103" s="22" t="str">
        <f t="shared" si="26"/>
        <v>elektriciteitsproductie niet-gebouwgebonden</v>
      </c>
      <c r="AW103" s="46" t="str">
        <f t="shared" si="27"/>
        <v>elektriciteit opgewekt</v>
      </c>
      <c r="AX103" s="24"/>
      <c r="AY103" s="12"/>
      <c r="AZ103" s="115">
        <v>-1</v>
      </c>
      <c r="BA103" s="24">
        <f>IFERROR(INDEX(tabellen_EMD!$C$185:$N$193,MATCH($J103,tabellen_EMD!$C$185:$C$193,0),MATCH(BA$63,tabellen_EMD!$C$185:$N$185,0)),0)</f>
        <v>0</v>
      </c>
      <c r="BB103" s="115">
        <f>VLOOKUP($J103,energiedragers_EP_PEF,MATCH(_xlfn.CONCAT($C103," | PEF"),energiedragers_EP_PEF_titel,0),FALSE)</f>
        <v>2.56</v>
      </c>
      <c r="BC103" s="15"/>
      <c r="BD103" s="115">
        <f>IFERROR(VLOOKUP($J103,energiedragers_EP_omrekenen,MATCH($B103,energiedragers_EP_omrekenen_titel,0),FALSE),1)</f>
        <v>3.6</v>
      </c>
      <c r="BE103" s="47" t="str">
        <f>_xlfn.CONCAT(N103,"/",T103)</f>
        <v>MJ/kWh</v>
      </c>
      <c r="BF103" s="15"/>
      <c r="BG103" s="218">
        <f>IFERROR(INDEX(tabellen_EMD!$C$240:$Z$248,MATCH($J103,tabellen_EMD!$C$240:$C$248,0),MATCH($B103,tabellen_EMD!$C$240:$Z$240,0))*(F103&lt;&gt;"zomercomfort"),0)</f>
        <v>0.56499999999999995</v>
      </c>
      <c r="BH103" s="47" t="str">
        <f>"kg/"&amp;T103</f>
        <v>kg/kWh</v>
      </c>
      <c r="BI103" s="15"/>
    </row>
    <row r="104" spans="1:61" hidden="1">
      <c r="A104" s="86"/>
      <c r="B104" s="47" t="str">
        <f t="shared" si="38"/>
        <v>Enorm</v>
      </c>
      <c r="C104" s="47" t="str">
        <f t="shared" si="38"/>
        <v>NEN 7120</v>
      </c>
      <c r="D104" s="943"/>
      <c r="E104" s="50"/>
      <c r="F104" s="15" t="s">
        <v>1480</v>
      </c>
      <c r="G104" s="15"/>
      <c r="H104" s="15"/>
      <c r="I104" s="905"/>
      <c r="J104" s="43" t="s">
        <v>1391</v>
      </c>
      <c r="K104" s="43"/>
      <c r="L104" s="16"/>
      <c r="M104" s="950">
        <f>SUM(M101,M102,M103)</f>
        <v>0</v>
      </c>
      <c r="N104" s="15" t="str">
        <f t="shared" si="28"/>
        <v>MJ</v>
      </c>
      <c r="O104" s="15"/>
      <c r="P104" s="15"/>
      <c r="Q104" s="15"/>
      <c r="R104" s="15"/>
      <c r="S104" s="39"/>
      <c r="T104" s="39"/>
      <c r="U104" s="39"/>
      <c r="V104" s="899"/>
      <c r="W104" s="39"/>
      <c r="X104" s="39"/>
      <c r="Y104" s="39"/>
      <c r="Z104" s="922">
        <f>SUM(Z101,Z102,Z103)</f>
        <v>0</v>
      </c>
      <c r="AA104" s="47" t="s">
        <v>468</v>
      </c>
      <c r="AB104" s="1393"/>
      <c r="AC104" s="1001"/>
      <c r="AD104" s="1405"/>
      <c r="AE104" s="1405"/>
      <c r="AF104" s="1405"/>
      <c r="AG104" s="1405"/>
      <c r="AH104" s="1405"/>
      <c r="AI104" s="1405"/>
      <c r="AJ104" s="1405"/>
      <c r="AK104" s="1405"/>
      <c r="AL104" s="1405"/>
      <c r="AM104" s="1405"/>
      <c r="AN104" s="1405"/>
      <c r="AO104" s="1405"/>
      <c r="AP104" s="1405"/>
      <c r="AQ104" s="1405"/>
      <c r="AR104" s="1405"/>
      <c r="AS104" s="1393"/>
      <c r="AT104" s="1001"/>
      <c r="AU104" s="12"/>
      <c r="AV104" s="22" t="str">
        <f t="shared" si="26"/>
        <v>Eptot</v>
      </c>
      <c r="AW104" s="46" t="str">
        <f t="shared" si="27"/>
        <v>totaal</v>
      </c>
      <c r="AX104" s="24"/>
      <c r="AY104" s="12"/>
      <c r="AZ104" s="15"/>
      <c r="BA104" s="12"/>
      <c r="BB104" s="15"/>
      <c r="BC104" s="15"/>
      <c r="BD104" s="15"/>
      <c r="BE104" s="15"/>
      <c r="BF104" s="15"/>
      <c r="BG104" s="899"/>
      <c r="BH104" s="899"/>
      <c r="BI104" s="15"/>
    </row>
    <row r="105" spans="1:61" s="49" customFormat="1" hidden="1">
      <c r="A105" s="139" t="s">
        <v>396</v>
      </c>
      <c r="B105" s="47" t="str">
        <f t="shared" si="38"/>
        <v>Enorm</v>
      </c>
      <c r="C105" s="47" t="str">
        <f t="shared" si="38"/>
        <v>NEN 7120</v>
      </c>
      <c r="D105" s="943"/>
      <c r="E105" s="50"/>
      <c r="F105" s="452" t="str">
        <f>IFERROR(IF($P$23=$B105,_xlfn.CONCAT("Bij 1.1 ingevuld: ",FIXED($J$35,2,FALSE)," ",$K$35),""),"invoer niet correct")</f>
        <v/>
      </c>
      <c r="G105" s="452"/>
      <c r="H105" s="452"/>
      <c r="I105" s="905"/>
      <c r="J105" s="909" t="str">
        <f>IFERROR(IF($P$23=$B105,IF(ABS((M105-$J$35)/$J$35)&gt;1%,"Afwijking &gt;1% met subthema 1.1",""),""),"invoer niet correct")</f>
        <v/>
      </c>
      <c r="K105" s="909"/>
      <c r="L105" s="910"/>
      <c r="M105" s="1339" t="str">
        <f>IFERROR(IF($P$23=$B105,M104/$J$59,""),"")</f>
        <v/>
      </c>
      <c r="N105" s="452" t="str">
        <f>IF($P$23=$B105,_xlfn.CONCAT(N104,"/m2"),"")</f>
        <v/>
      </c>
      <c r="O105" s="452"/>
      <c r="P105" s="39"/>
      <c r="Q105" s="39"/>
      <c r="R105" s="899"/>
      <c r="S105" s="899"/>
      <c r="T105" s="899"/>
      <c r="U105" s="39"/>
      <c r="V105" s="39"/>
      <c r="W105" s="910" t="str">
        <f>IFERROR(IF($P$23=$B105,_xlfn.CONCAT("Bij 1.1 ingevuld: ",FIXED($AG$40,1,FALSE)," ",$AH$40),""),"invoer niet correct")</f>
        <v/>
      </c>
      <c r="X105" s="909" t="str">
        <f>IFERROR(IF($P$23=$B105,IF(ABS((Z105-$AG$40)/$AG$40)&gt;1%,"afwijking &gt;1% met subthema 1.1",""),""),"invoer niet correct")</f>
        <v/>
      </c>
      <c r="Y105" s="12"/>
      <c r="Z105" s="951" t="str">
        <f>IFERROR(IF($P$23=$B105,Z104/$J$58,""),"")</f>
        <v/>
      </c>
      <c r="AA105" s="452" t="str">
        <f>IF($P$23=$B105,_xlfn.CONCAT(AA104,"/m2"),"")</f>
        <v/>
      </c>
      <c r="AB105" s="1393"/>
      <c r="AC105" s="1001"/>
      <c r="AD105" s="1405"/>
      <c r="AE105" s="1405"/>
      <c r="AF105" s="1405"/>
      <c r="AG105" s="1405"/>
      <c r="AH105" s="1405"/>
      <c r="AI105" s="1405"/>
      <c r="AJ105" s="1405"/>
      <c r="AK105" s="1405"/>
      <c r="AL105" s="1405"/>
      <c r="AM105" s="1405"/>
      <c r="AN105" s="1405"/>
      <c r="AO105" s="1405"/>
      <c r="AP105" s="1405"/>
      <c r="AQ105" s="1405"/>
      <c r="AR105" s="1405"/>
      <c r="AS105" s="1393"/>
      <c r="AT105" s="1001"/>
      <c r="AU105" s="12"/>
      <c r="AV105" s="452"/>
      <c r="AW105" s="452"/>
      <c r="AX105" s="452"/>
      <c r="AY105" s="452"/>
      <c r="AZ105" s="452"/>
      <c r="BA105" s="452"/>
      <c r="BB105" s="452"/>
      <c r="BC105" s="452"/>
      <c r="BD105" s="452"/>
      <c r="BE105" s="452"/>
      <c r="BF105" s="452"/>
      <c r="BG105" s="452"/>
      <c r="BH105" s="452"/>
      <c r="BI105" s="899"/>
    </row>
    <row r="106" spans="1:61" s="49" customFormat="1" hidden="1">
      <c r="B106" s="47" t="str">
        <f t="shared" si="38"/>
        <v>Enorm</v>
      </c>
      <c r="C106" s="47" t="str">
        <f t="shared" si="38"/>
        <v>NEN 7120</v>
      </c>
      <c r="D106" s="943"/>
      <c r="E106" s="50"/>
      <c r="F106" s="43"/>
      <c r="G106" s="43"/>
      <c r="H106" s="43"/>
      <c r="I106" s="905"/>
      <c r="J106" s="44"/>
      <c r="K106" s="44"/>
      <c r="L106" s="44"/>
      <c r="M106" s="44"/>
      <c r="N106" s="44"/>
      <c r="O106" s="44"/>
      <c r="P106" s="39"/>
      <c r="Q106" s="39"/>
      <c r="R106" s="39"/>
      <c r="S106" s="899"/>
      <c r="T106" s="899"/>
      <c r="U106" s="899"/>
      <c r="V106" s="899"/>
      <c r="W106" s="39"/>
      <c r="X106" s="39"/>
      <c r="Y106" s="39"/>
      <c r="Z106" s="899"/>
      <c r="AA106" s="899"/>
      <c r="AB106" s="1393"/>
      <c r="AC106" s="1001"/>
      <c r="AD106" s="1405"/>
      <c r="AE106" s="1405"/>
      <c r="AF106" s="1405"/>
      <c r="AG106" s="1405"/>
      <c r="AH106" s="1405"/>
      <c r="AI106" s="1405"/>
      <c r="AJ106" s="1405"/>
      <c r="AK106" s="1405"/>
      <c r="AL106" s="1405"/>
      <c r="AM106" s="1405"/>
      <c r="AN106" s="1405"/>
      <c r="AO106" s="1405"/>
      <c r="AP106" s="1405"/>
      <c r="AQ106" s="1405"/>
      <c r="AR106" s="1405"/>
      <c r="AS106" s="1393"/>
      <c r="AT106" s="1001"/>
      <c r="AU106" s="12"/>
      <c r="AV106" s="12"/>
      <c r="AW106" s="12"/>
      <c r="AX106" s="12"/>
      <c r="AY106" s="12"/>
      <c r="AZ106" s="44"/>
      <c r="BA106" s="12"/>
      <c r="BB106" s="44"/>
      <c r="BC106" s="899"/>
      <c r="BD106" s="899"/>
      <c r="BE106" s="899"/>
      <c r="BF106" s="899"/>
      <c r="BG106" s="899"/>
      <c r="BH106" s="899"/>
      <c r="BI106" s="899"/>
    </row>
    <row r="107" spans="1:61" hidden="1">
      <c r="A107" s="139" t="s">
        <v>396</v>
      </c>
      <c r="B107" s="939" t="str">
        <f>tabellen_EMD!$C$176</f>
        <v>Uniec 2 per functie</v>
      </c>
      <c r="C107" s="939" t="str">
        <f>VLOOKUP(B107,'NTA 8800 naar GPR4'!$AV$40:$AY$48,COLUMNS($AV$40:$AX$40),FALSE)</f>
        <v>NEN 7120</v>
      </c>
      <c r="D107" s="943"/>
      <c r="E107" s="14"/>
      <c r="F107" s="15" t="str">
        <f>_xlfn.CONCAT("Overnemen uit '",B107,"': ",VLOOKUP(B107,$AV$41:$AZ$48,COLUMNS($AV$40:$AZ$40),FALSE))</f>
        <v>Overnemen uit 'Uniec 2 per functie': Jaarlijkse hoeveelheid primaire energie voor de energiefunctie</v>
      </c>
      <c r="G107" s="15"/>
      <c r="H107" s="15"/>
      <c r="I107" s="905"/>
      <c r="J107" s="41"/>
      <c r="K107" s="41"/>
      <c r="L107" s="12"/>
      <c r="M107" s="909" t="s">
        <v>1485</v>
      </c>
      <c r="N107" s="41"/>
      <c r="O107" s="41"/>
      <c r="P107" s="453" t="s">
        <v>1487</v>
      </c>
      <c r="Q107" s="39"/>
      <c r="R107" s="39"/>
      <c r="S107" s="453" t="s">
        <v>1484</v>
      </c>
      <c r="T107" s="39"/>
      <c r="U107" s="39"/>
      <c r="V107" s="453" t="s">
        <v>1613</v>
      </c>
      <c r="W107" s="39"/>
      <c r="X107" s="39"/>
      <c r="Y107" s="12"/>
      <c r="Z107" s="453" t="s">
        <v>1536</v>
      </c>
      <c r="AA107" s="12"/>
      <c r="AB107" s="67"/>
      <c r="AC107" s="995"/>
      <c r="AD107" s="1405"/>
      <c r="AE107" s="1405"/>
      <c r="AF107" s="1405"/>
      <c r="AG107" s="1405"/>
      <c r="AH107" s="1405"/>
      <c r="AI107" s="1405"/>
      <c r="AJ107" s="1405"/>
      <c r="AK107" s="1405"/>
      <c r="AL107" s="1405"/>
      <c r="AM107" s="1405"/>
      <c r="AN107" s="1405"/>
      <c r="AO107" s="1405"/>
      <c r="AP107" s="1405"/>
      <c r="AQ107" s="1405"/>
      <c r="AR107" s="1405"/>
      <c r="AS107" s="67"/>
      <c r="AT107" s="995"/>
      <c r="AU107" s="12"/>
      <c r="AV107" s="12"/>
      <c r="AW107" s="12"/>
      <c r="AX107" s="12"/>
      <c r="AY107" s="12"/>
      <c r="AZ107" s="888" t="str">
        <f>AZ$63</f>
        <v>Eenheid energie</v>
      </c>
      <c r="BA107" s="888" t="s">
        <v>1628</v>
      </c>
      <c r="BB107" s="888" t="str">
        <f>BB$63</f>
        <v>PEF finaal → primair</v>
      </c>
      <c r="BC107" s="452"/>
      <c r="BD107" s="452" t="str">
        <f>BD$63</f>
        <v>eenheden omrekenen</v>
      </c>
      <c r="BE107" s="452"/>
      <c r="BF107" s="452"/>
      <c r="BG107" s="888" t="str">
        <f>BG$63</f>
        <v>CO2</v>
      </c>
      <c r="BH107" s="39"/>
      <c r="BI107" s="39"/>
    </row>
    <row r="108" spans="1:61" hidden="1">
      <c r="A108" s="86"/>
      <c r="B108" s="47" t="str">
        <f t="shared" ref="B108:C123" si="39">B107</f>
        <v>Uniec 2 per functie</v>
      </c>
      <c r="C108" s="47" t="str">
        <f t="shared" si="39"/>
        <v>NEN 7120</v>
      </c>
      <c r="D108" s="943"/>
      <c r="E108" s="14"/>
      <c r="F108" s="892" t="s">
        <v>496</v>
      </c>
      <c r="G108" s="892"/>
      <c r="H108" s="892"/>
      <c r="I108" s="905"/>
      <c r="J108" s="909" t="s">
        <v>458</v>
      </c>
      <c r="K108" s="909"/>
      <c r="L108" s="889"/>
      <c r="M108" s="910" t="s">
        <v>1534</v>
      </c>
      <c r="N108" s="452" t="s">
        <v>204</v>
      </c>
      <c r="O108" s="39"/>
      <c r="P108" s="888" t="s">
        <v>1533</v>
      </c>
      <c r="Q108" s="910" t="s">
        <v>1532</v>
      </c>
      <c r="R108" s="452"/>
      <c r="S108" s="888" t="s">
        <v>1534</v>
      </c>
      <c r="T108" s="889" t="s">
        <v>204</v>
      </c>
      <c r="U108" s="39"/>
      <c r="V108" s="888" t="s">
        <v>1533</v>
      </c>
      <c r="W108" s="910" t="s">
        <v>1532</v>
      </c>
      <c r="X108" s="889" t="s">
        <v>204</v>
      </c>
      <c r="Y108" s="12"/>
      <c r="Z108" s="888" t="s">
        <v>1534</v>
      </c>
      <c r="AA108" s="889" t="s">
        <v>204</v>
      </c>
      <c r="AB108" s="67"/>
      <c r="AC108" s="995"/>
      <c r="AD108" s="1405"/>
      <c r="AE108" s="1405"/>
      <c r="AF108" s="1405"/>
      <c r="AG108" s="1405"/>
      <c r="AH108" s="1405"/>
      <c r="AI108" s="1405"/>
      <c r="AJ108" s="1405"/>
      <c r="AK108" s="1405"/>
      <c r="AL108" s="1405"/>
      <c r="AM108" s="1405"/>
      <c r="AN108" s="1405"/>
      <c r="AO108" s="1405"/>
      <c r="AP108" s="1405"/>
      <c r="AQ108" s="1405"/>
      <c r="AR108" s="1405"/>
      <c r="AS108" s="67"/>
      <c r="AT108" s="995"/>
      <c r="AU108" s="12"/>
      <c r="AV108" s="892" t="str">
        <f t="shared" ref="AV108:AV121" si="40">F108</f>
        <v>energiefunctie</v>
      </c>
      <c r="AW108" s="452" t="str">
        <f t="shared" ref="AW108:AW121" si="41">J108</f>
        <v>energiedrager</v>
      </c>
      <c r="AX108" s="910"/>
      <c r="AY108" s="12"/>
      <c r="AZ108" s="888" t="str">
        <f>AZ$64</f>
        <v>pos/neg</v>
      </c>
      <c r="BA108" s="888"/>
      <c r="BB108" s="888" t="str">
        <f>BB$64</f>
        <v>default</v>
      </c>
      <c r="BC108" s="452"/>
      <c r="BD108" s="452" t="str">
        <f>BD$64</f>
        <v>waarde</v>
      </c>
      <c r="BE108" s="452" t="str">
        <f>BE$64</f>
        <v>eenheden</v>
      </c>
      <c r="BF108" s="452"/>
      <c r="BG108" s="888" t="str">
        <f>BG$64</f>
        <v>default</v>
      </c>
      <c r="BH108" s="888" t="str">
        <f>BH$64</f>
        <v>eenheid</v>
      </c>
      <c r="BI108" s="452"/>
    </row>
    <row r="109" spans="1:61" hidden="1">
      <c r="A109" s="86"/>
      <c r="B109" s="47" t="str">
        <f t="shared" si="39"/>
        <v>Uniec 2 per functie</v>
      </c>
      <c r="C109" s="47" t="str">
        <f t="shared" si="39"/>
        <v>NEN 7120</v>
      </c>
      <c r="D109" s="943"/>
      <c r="E109" s="14"/>
      <c r="F109" s="22" t="s">
        <v>1506</v>
      </c>
      <c r="G109" s="22"/>
      <c r="H109" s="22"/>
      <c r="I109" s="905"/>
      <c r="J109" s="1685"/>
      <c r="K109" s="1685"/>
      <c r="L109" s="16"/>
      <c r="M109" s="25"/>
      <c r="N109" s="22" t="str">
        <f t="shared" ref="N109:N121" si="42">INDEX(EP_methode_eenheid,1,MATCH($C109,EP_methode,0))</f>
        <v>MJ</v>
      </c>
      <c r="O109" s="213" t="s">
        <v>396</v>
      </c>
      <c r="P109" s="1326"/>
      <c r="Q109" s="59">
        <f t="shared" ref="Q109:Q120" si="43">IFERROR(IF(AND(P109&lt;&gt;"",$BA109=1),P109,BB109),1)</f>
        <v>1</v>
      </c>
      <c r="R109" s="15"/>
      <c r="S109" s="24">
        <f t="shared" ref="S109:S120" si="44">M109/Q109/BD109</f>
        <v>0</v>
      </c>
      <c r="T109" s="47" t="str">
        <f>IFERROR(INDEX(energiedragers_EP_eenheden,MATCH($J109,tabellen_EMD!$C$196:$C$204,0),MATCH($B109,energiedragers_EP_eenheden_titel,0)),"-")</f>
        <v>-</v>
      </c>
      <c r="U109" s="39"/>
      <c r="V109" s="1326"/>
      <c r="W109" s="59">
        <f t="shared" ref="W109:W120" si="45">IF(AND(V109&lt;&gt;"",$BA109=1),V109,BG109)</f>
        <v>0</v>
      </c>
      <c r="X109" s="47" t="str">
        <f t="shared" ref="X109:X120" si="46">BH109</f>
        <v>kg/-</v>
      </c>
      <c r="Y109" s="12"/>
      <c r="Z109" s="24">
        <f t="shared" ref="Z109:Z120" si="47">S109*W109*ABS(AZ109)</f>
        <v>0</v>
      </c>
      <c r="AA109" s="47" t="s">
        <v>468</v>
      </c>
      <c r="AB109" s="67"/>
      <c r="AC109" s="995"/>
      <c r="AD109" s="1405"/>
      <c r="AE109" s="1405"/>
      <c r="AF109" s="1405"/>
      <c r="AG109" s="1405"/>
      <c r="AH109" s="1405"/>
      <c r="AI109" s="1405"/>
      <c r="AJ109" s="1405"/>
      <c r="AK109" s="1405"/>
      <c r="AL109" s="1405"/>
      <c r="AM109" s="1405"/>
      <c r="AN109" s="1405"/>
      <c r="AO109" s="1405"/>
      <c r="AP109" s="1405"/>
      <c r="AQ109" s="1405"/>
      <c r="AR109" s="1405"/>
      <c r="AS109" s="67"/>
      <c r="AT109" s="995"/>
      <c r="AU109" s="12"/>
      <c r="AV109" s="22" t="str">
        <f t="shared" si="40"/>
        <v>verwarming (excl. hulpenergie)</v>
      </c>
      <c r="AW109" s="46">
        <f t="shared" si="41"/>
        <v>0</v>
      </c>
      <c r="AX109" s="115"/>
      <c r="AY109" s="12"/>
      <c r="AZ109" s="115">
        <v>1</v>
      </c>
      <c r="BA109" s="24">
        <f>IFERROR(INDEX(tabellen_EMD!$C$185:$N$193,MATCH($J109,tabellen_EMD!$C$185:$C$193,0),MATCH(BA$63,tabellen_EMD!$C$185:$N$185,0)),0)</f>
        <v>0</v>
      </c>
      <c r="BB109" s="115" t="e">
        <f t="shared" ref="BB109:BB120" si="48">VLOOKUP($J109,energiedragers_EP_PEF,MATCH(_xlfn.CONCAT($C109," | PEF"),energiedragers_EP_PEF_titel,0),FALSE)</f>
        <v>#N/A</v>
      </c>
      <c r="BC109" s="15"/>
      <c r="BD109" s="115">
        <f t="shared" ref="BD109:BD120" si="49">IFERROR(VLOOKUP($J109,energiedragers_EP_omrekenen,MATCH($B109,energiedragers_EP_omrekenen_titel,0),FALSE),1)</f>
        <v>1</v>
      </c>
      <c r="BE109" s="47" t="str">
        <f t="shared" ref="BE109:BE120" si="50">_xlfn.CONCAT(N109,"/",T109)</f>
        <v>MJ/-</v>
      </c>
      <c r="BF109" s="15"/>
      <c r="BG109" s="218">
        <f>IFERROR(INDEX(tabellen_EMD!$C$240:$Z$248,MATCH($J109,tabellen_EMD!$C$240:$C$248,0),MATCH($B109,tabellen_EMD!$C$240:$Z$240,0))*(F109&lt;&gt;"zomercomfort"),0)</f>
        <v>0</v>
      </c>
      <c r="BH109" s="47" t="str">
        <f t="shared" ref="BH109:BH120" si="51">"kg/"&amp;T109</f>
        <v>kg/-</v>
      </c>
      <c r="BI109" s="15"/>
    </row>
    <row r="110" spans="1:61" hidden="1">
      <c r="A110" s="86"/>
      <c r="B110" s="47" t="str">
        <f t="shared" si="39"/>
        <v>Uniec 2 per functie</v>
      </c>
      <c r="C110" s="47" t="str">
        <f t="shared" si="39"/>
        <v>NEN 7120</v>
      </c>
      <c r="D110" s="943"/>
      <c r="E110" s="14"/>
      <c r="F110" s="209" t="s">
        <v>1502</v>
      </c>
      <c r="G110" s="209"/>
      <c r="H110" s="209"/>
      <c r="I110" s="905"/>
      <c r="J110" s="1691" t="s">
        <v>465</v>
      </c>
      <c r="K110" s="1698"/>
      <c r="L110" s="16"/>
      <c r="M110" s="25"/>
      <c r="N110" s="22" t="str">
        <f t="shared" si="42"/>
        <v>MJ</v>
      </c>
      <c r="O110" s="15"/>
      <c r="P110" s="39"/>
      <c r="Q110" s="59">
        <f t="shared" si="43"/>
        <v>2.56</v>
      </c>
      <c r="R110" s="15"/>
      <c r="S110" s="24">
        <f t="shared" si="44"/>
        <v>0</v>
      </c>
      <c r="T110" s="47" t="str">
        <f>IFERROR(INDEX(energiedragers_EP_eenheden,MATCH($J110,tabellen_EMD!$C$196:$C$204,0),MATCH($B110,energiedragers_EP_eenheden_titel,0)),"-")</f>
        <v>kWh</v>
      </c>
      <c r="U110" s="39"/>
      <c r="V110" s="15"/>
      <c r="W110" s="59">
        <f t="shared" si="45"/>
        <v>0.56499999999999995</v>
      </c>
      <c r="X110" s="47" t="str">
        <f t="shared" si="46"/>
        <v>kg/kWh</v>
      </c>
      <c r="Y110" s="12"/>
      <c r="Z110" s="24">
        <f t="shared" si="47"/>
        <v>0</v>
      </c>
      <c r="AA110" s="47" t="s">
        <v>468</v>
      </c>
      <c r="AB110" s="67"/>
      <c r="AC110" s="995"/>
      <c r="AD110" s="1405"/>
      <c r="AE110" s="1405"/>
      <c r="AF110" s="1405"/>
      <c r="AG110" s="1405"/>
      <c r="AH110" s="1405"/>
      <c r="AI110" s="1405"/>
      <c r="AJ110" s="1405"/>
      <c r="AK110" s="1405"/>
      <c r="AL110" s="1405"/>
      <c r="AM110" s="1405"/>
      <c r="AN110" s="1405"/>
      <c r="AO110" s="1405"/>
      <c r="AP110" s="1405"/>
      <c r="AQ110" s="1405"/>
      <c r="AR110" s="1405"/>
      <c r="AS110" s="67"/>
      <c r="AT110" s="995"/>
      <c r="AU110" s="12"/>
      <c r="AV110" s="22" t="str">
        <f t="shared" si="40"/>
        <v>hulpenergie</v>
      </c>
      <c r="AW110" s="46" t="str">
        <f t="shared" si="41"/>
        <v>elektriciteit</v>
      </c>
      <c r="AX110" s="115"/>
      <c r="AY110" s="12"/>
      <c r="AZ110" s="115">
        <v>1</v>
      </c>
      <c r="BA110" s="24">
        <f>IFERROR(INDEX(tabellen_EMD!$C$185:$N$193,MATCH($J110,tabellen_EMD!$C$185:$C$193,0),MATCH(BA$63,tabellen_EMD!$C$185:$N$185,0)),0)</f>
        <v>0</v>
      </c>
      <c r="BB110" s="115">
        <f t="shared" si="48"/>
        <v>2.56</v>
      </c>
      <c r="BC110" s="15"/>
      <c r="BD110" s="115">
        <f t="shared" si="49"/>
        <v>3.6</v>
      </c>
      <c r="BE110" s="47" t="str">
        <f t="shared" si="50"/>
        <v>MJ/kWh</v>
      </c>
      <c r="BF110" s="15"/>
      <c r="BG110" s="218">
        <f>IFERROR(INDEX(tabellen_EMD!$C$240:$Z$248,MATCH($J110,tabellen_EMD!$C$240:$C$248,0),MATCH($B110,tabellen_EMD!$C$240:$Z$240,0))*(F110&lt;&gt;"zomercomfort"),0)</f>
        <v>0.56499999999999995</v>
      </c>
      <c r="BH110" s="47" t="str">
        <f t="shared" si="51"/>
        <v>kg/kWh</v>
      </c>
      <c r="BI110" s="15"/>
    </row>
    <row r="111" spans="1:61" hidden="1">
      <c r="A111" s="86"/>
      <c r="B111" s="47" t="str">
        <f t="shared" si="39"/>
        <v>Uniec 2 per functie</v>
      </c>
      <c r="C111" s="47" t="str">
        <f t="shared" si="39"/>
        <v>NEN 7120</v>
      </c>
      <c r="D111" s="943"/>
      <c r="E111" s="14"/>
      <c r="F111" s="22" t="s">
        <v>1507</v>
      </c>
      <c r="G111" s="22"/>
      <c r="H111" s="22"/>
      <c r="I111" s="905"/>
      <c r="J111" s="1685"/>
      <c r="K111" s="1685"/>
      <c r="L111" s="16"/>
      <c r="M111" s="25"/>
      <c r="N111" s="22" t="str">
        <f t="shared" si="42"/>
        <v>MJ</v>
      </c>
      <c r="O111" s="15"/>
      <c r="P111" s="154"/>
      <c r="Q111" s="59">
        <f t="shared" si="43"/>
        <v>1</v>
      </c>
      <c r="R111" s="15"/>
      <c r="S111" s="24">
        <f t="shared" si="44"/>
        <v>0</v>
      </c>
      <c r="T111" s="47" t="str">
        <f>IFERROR(INDEX(energiedragers_EP_eenheden,MATCH($J111,tabellen_EMD!$C$196:$C$204,0),MATCH($B111,energiedragers_EP_eenheden_titel,0)),"-")</f>
        <v>-</v>
      </c>
      <c r="U111" s="39"/>
      <c r="V111" s="1326"/>
      <c r="W111" s="59">
        <f t="shared" si="45"/>
        <v>0</v>
      </c>
      <c r="X111" s="47" t="str">
        <f t="shared" si="46"/>
        <v>kg/-</v>
      </c>
      <c r="Y111" s="12"/>
      <c r="Z111" s="24">
        <f t="shared" si="47"/>
        <v>0</v>
      </c>
      <c r="AA111" s="47" t="s">
        <v>468</v>
      </c>
      <c r="AB111" s="67"/>
      <c r="AC111" s="995"/>
      <c r="AD111" s="1405"/>
      <c r="AE111" s="1405"/>
      <c r="AF111" s="1405"/>
      <c r="AG111" s="1405"/>
      <c r="AH111" s="1405"/>
      <c r="AI111" s="1405"/>
      <c r="AJ111" s="1405"/>
      <c r="AK111" s="1405"/>
      <c r="AL111" s="1405"/>
      <c r="AM111" s="1405"/>
      <c r="AN111" s="1405"/>
      <c r="AO111" s="1405"/>
      <c r="AP111" s="1405"/>
      <c r="AQ111" s="1405"/>
      <c r="AR111" s="1405"/>
      <c r="AS111" s="67"/>
      <c r="AT111" s="995"/>
      <c r="AU111" s="12"/>
      <c r="AV111" s="22" t="str">
        <f t="shared" si="40"/>
        <v>warm tapwater (excl. hulpenergie)</v>
      </c>
      <c r="AW111" s="46">
        <f t="shared" si="41"/>
        <v>0</v>
      </c>
      <c r="AX111" s="115"/>
      <c r="AY111" s="12"/>
      <c r="AZ111" s="115">
        <v>1</v>
      </c>
      <c r="BA111" s="24">
        <f>IFERROR(INDEX(tabellen_EMD!$C$185:$N$193,MATCH($J111,tabellen_EMD!$C$185:$C$193,0),MATCH(BA$63,tabellen_EMD!$C$185:$N$185,0)),0)</f>
        <v>0</v>
      </c>
      <c r="BB111" s="115" t="e">
        <f t="shared" si="48"/>
        <v>#N/A</v>
      </c>
      <c r="BC111" s="15"/>
      <c r="BD111" s="115">
        <f t="shared" si="49"/>
        <v>1</v>
      </c>
      <c r="BE111" s="47" t="str">
        <f t="shared" si="50"/>
        <v>MJ/-</v>
      </c>
      <c r="BF111" s="15"/>
      <c r="BG111" s="218">
        <f>IFERROR(INDEX(tabellen_EMD!$C$240:$Z$248,MATCH($J111,tabellen_EMD!$C$240:$C$248,0),MATCH($B111,tabellen_EMD!$C$240:$Z$240,0))*(F111&lt;&gt;"zomercomfort"),0)</f>
        <v>0</v>
      </c>
      <c r="BH111" s="47" t="str">
        <f t="shared" si="51"/>
        <v>kg/-</v>
      </c>
      <c r="BI111" s="15"/>
    </row>
    <row r="112" spans="1:61" hidden="1">
      <c r="A112" s="86"/>
      <c r="B112" s="47" t="str">
        <f t="shared" si="39"/>
        <v>Uniec 2 per functie</v>
      </c>
      <c r="C112" s="47" t="str">
        <f t="shared" si="39"/>
        <v>NEN 7120</v>
      </c>
      <c r="D112" s="943"/>
      <c r="E112" s="14"/>
      <c r="F112" s="209" t="s">
        <v>1502</v>
      </c>
      <c r="G112" s="209"/>
      <c r="H112" s="209"/>
      <c r="I112" s="905"/>
      <c r="J112" s="1691" t="s">
        <v>465</v>
      </c>
      <c r="K112" s="1698"/>
      <c r="L112" s="16"/>
      <c r="M112" s="25"/>
      <c r="N112" s="22" t="str">
        <f t="shared" si="42"/>
        <v>MJ</v>
      </c>
      <c r="O112" s="15"/>
      <c r="P112" s="39"/>
      <c r="Q112" s="59">
        <f t="shared" si="43"/>
        <v>2.56</v>
      </c>
      <c r="R112" s="15"/>
      <c r="S112" s="24">
        <f t="shared" si="44"/>
        <v>0</v>
      </c>
      <c r="T112" s="47" t="str">
        <f>IFERROR(INDEX(energiedragers_EP_eenheden,MATCH($J112,tabellen_EMD!$C$196:$C$204,0),MATCH($B112,energiedragers_EP_eenheden_titel,0)),"-")</f>
        <v>kWh</v>
      </c>
      <c r="U112" s="39"/>
      <c r="V112" s="15"/>
      <c r="W112" s="59">
        <f t="shared" si="45"/>
        <v>0.56499999999999995</v>
      </c>
      <c r="X112" s="47" t="str">
        <f t="shared" si="46"/>
        <v>kg/kWh</v>
      </c>
      <c r="Y112" s="12"/>
      <c r="Z112" s="24">
        <f t="shared" si="47"/>
        <v>0</v>
      </c>
      <c r="AA112" s="47" t="s">
        <v>468</v>
      </c>
      <c r="AB112" s="67"/>
      <c r="AC112" s="995"/>
      <c r="AD112" s="1405"/>
      <c r="AE112" s="1405"/>
      <c r="AF112" s="1405"/>
      <c r="AG112" s="1405"/>
      <c r="AH112" s="1405"/>
      <c r="AI112" s="1405"/>
      <c r="AJ112" s="1405"/>
      <c r="AK112" s="1405"/>
      <c r="AL112" s="1405"/>
      <c r="AM112" s="1405"/>
      <c r="AN112" s="1405"/>
      <c r="AO112" s="1405"/>
      <c r="AP112" s="1405"/>
      <c r="AQ112" s="1405"/>
      <c r="AR112" s="1405"/>
      <c r="AS112" s="67"/>
      <c r="AT112" s="995"/>
      <c r="AU112" s="12"/>
      <c r="AV112" s="22" t="str">
        <f t="shared" si="40"/>
        <v>hulpenergie</v>
      </c>
      <c r="AW112" s="46" t="str">
        <f t="shared" si="41"/>
        <v>elektriciteit</v>
      </c>
      <c r="AX112" s="115"/>
      <c r="AY112" s="12"/>
      <c r="AZ112" s="115">
        <v>1</v>
      </c>
      <c r="BA112" s="24">
        <f>IFERROR(INDEX(tabellen_EMD!$C$185:$N$193,MATCH($J112,tabellen_EMD!$C$185:$C$193,0),MATCH(BA$63,tabellen_EMD!$C$185:$N$185,0)),0)</f>
        <v>0</v>
      </c>
      <c r="BB112" s="115">
        <f t="shared" si="48"/>
        <v>2.56</v>
      </c>
      <c r="BC112" s="15"/>
      <c r="BD112" s="115">
        <f t="shared" si="49"/>
        <v>3.6</v>
      </c>
      <c r="BE112" s="47" t="str">
        <f t="shared" si="50"/>
        <v>MJ/kWh</v>
      </c>
      <c r="BF112" s="15"/>
      <c r="BG112" s="218">
        <f>IFERROR(INDEX(tabellen_EMD!$C$240:$Z$248,MATCH($J112,tabellen_EMD!$C$240:$C$248,0),MATCH($B112,tabellen_EMD!$C$240:$Z$240,0))*(F112&lt;&gt;"zomercomfort"),0)</f>
        <v>0.56499999999999995</v>
      </c>
      <c r="BH112" s="47" t="str">
        <f t="shared" si="51"/>
        <v>kg/kWh</v>
      </c>
      <c r="BI112" s="15"/>
    </row>
    <row r="113" spans="1:61" hidden="1">
      <c r="A113" s="86"/>
      <c r="B113" s="47" t="str">
        <f t="shared" si="39"/>
        <v>Uniec 2 per functie</v>
      </c>
      <c r="C113" s="47" t="str">
        <f t="shared" si="39"/>
        <v>NEN 7120</v>
      </c>
      <c r="D113" s="943"/>
      <c r="E113" s="14"/>
      <c r="F113" s="22" t="s">
        <v>1508</v>
      </c>
      <c r="G113" s="22"/>
      <c r="H113" s="22"/>
      <c r="I113" s="905"/>
      <c r="J113" s="1685"/>
      <c r="K113" s="1685"/>
      <c r="L113" s="16"/>
      <c r="M113" s="25"/>
      <c r="N113" s="22" t="str">
        <f t="shared" si="42"/>
        <v>MJ</v>
      </c>
      <c r="O113" s="15"/>
      <c r="P113" s="1326"/>
      <c r="Q113" s="59">
        <f t="shared" si="43"/>
        <v>1</v>
      </c>
      <c r="R113" s="15"/>
      <c r="S113" s="59">
        <f t="shared" si="44"/>
        <v>0</v>
      </c>
      <c r="T113" s="47" t="str">
        <f>IFERROR(INDEX(energiedragers_EP_eenheden,MATCH($J113,tabellen_EMD!$C$196:$C$204,0),MATCH($B113,energiedragers_EP_eenheden_titel,0)),"-")</f>
        <v>-</v>
      </c>
      <c r="U113" s="39"/>
      <c r="V113" s="154"/>
      <c r="W113" s="59">
        <f t="shared" si="45"/>
        <v>0</v>
      </c>
      <c r="X113" s="47" t="str">
        <f t="shared" si="46"/>
        <v>kg/-</v>
      </c>
      <c r="Y113" s="12"/>
      <c r="Z113" s="24">
        <f t="shared" si="47"/>
        <v>0</v>
      </c>
      <c r="AA113" s="47" t="s">
        <v>468</v>
      </c>
      <c r="AB113" s="67"/>
      <c r="AC113" s="995"/>
      <c r="AD113" s="1405"/>
      <c r="AE113" s="1405"/>
      <c r="AF113" s="1405"/>
      <c r="AG113" s="1405"/>
      <c r="AH113" s="1405"/>
      <c r="AI113" s="1405"/>
      <c r="AJ113" s="1405"/>
      <c r="AK113" s="1405"/>
      <c r="AL113" s="1405"/>
      <c r="AM113" s="1405"/>
      <c r="AN113" s="1405"/>
      <c r="AO113" s="1405"/>
      <c r="AP113" s="1405"/>
      <c r="AQ113" s="1405"/>
      <c r="AR113" s="1405"/>
      <c r="AS113" s="67"/>
      <c r="AT113" s="995"/>
      <c r="AU113" s="12"/>
      <c r="AV113" s="22" t="str">
        <f t="shared" si="40"/>
        <v>koeling (excl. hulpenergie)</v>
      </c>
      <c r="AW113" s="46">
        <f t="shared" si="41"/>
        <v>0</v>
      </c>
      <c r="AX113" s="115"/>
      <c r="AY113" s="12"/>
      <c r="AZ113" s="115">
        <v>1</v>
      </c>
      <c r="BA113" s="24">
        <f>IFERROR(INDEX(tabellen_EMD!$C$185:$N$193,MATCH($J113,tabellen_EMD!$C$185:$C$193,0),MATCH(BA$63,tabellen_EMD!$C$185:$N$185,0)),0)</f>
        <v>0</v>
      </c>
      <c r="BB113" s="115" t="e">
        <f t="shared" si="48"/>
        <v>#N/A</v>
      </c>
      <c r="BC113" s="15"/>
      <c r="BD113" s="115">
        <f t="shared" si="49"/>
        <v>1</v>
      </c>
      <c r="BE113" s="47" t="str">
        <f t="shared" si="50"/>
        <v>MJ/-</v>
      </c>
      <c r="BF113" s="15"/>
      <c r="BG113" s="218">
        <f>IFERROR(INDEX(tabellen_EMD!$C$240:$Z$248,MATCH($J113,tabellen_EMD!$C$240:$C$248,0),MATCH($B113,tabellen_EMD!$C$240:$Z$240,0))*(F113&lt;&gt;"zomercomfort"),0)</f>
        <v>0</v>
      </c>
      <c r="BH113" s="47" t="str">
        <f t="shared" si="51"/>
        <v>kg/-</v>
      </c>
      <c r="BI113" s="15"/>
    </row>
    <row r="114" spans="1:61" hidden="1">
      <c r="A114" s="86"/>
      <c r="B114" s="47" t="str">
        <f t="shared" si="39"/>
        <v>Uniec 2 per functie</v>
      </c>
      <c r="C114" s="47" t="str">
        <f t="shared" si="39"/>
        <v>NEN 7120</v>
      </c>
      <c r="D114" s="943"/>
      <c r="E114" s="14"/>
      <c r="F114" s="209" t="s">
        <v>1502</v>
      </c>
      <c r="G114" s="209"/>
      <c r="H114" s="209"/>
      <c r="I114" s="905"/>
      <c r="J114" s="1691" t="s">
        <v>465</v>
      </c>
      <c r="K114" s="1698"/>
      <c r="L114" s="16"/>
      <c r="M114" s="25"/>
      <c r="N114" s="22" t="str">
        <f t="shared" si="42"/>
        <v>MJ</v>
      </c>
      <c r="O114" s="15"/>
      <c r="P114" s="39"/>
      <c r="Q114" s="59">
        <f t="shared" si="43"/>
        <v>2.56</v>
      </c>
      <c r="R114" s="15"/>
      <c r="S114" s="24">
        <f t="shared" si="44"/>
        <v>0</v>
      </c>
      <c r="T114" s="47" t="str">
        <f>IFERROR(INDEX(energiedragers_EP_eenheden,MATCH($J114,tabellen_EMD!$C$196:$C$204,0),MATCH($B114,energiedragers_EP_eenheden_titel,0)),"-")</f>
        <v>kWh</v>
      </c>
      <c r="U114" s="39"/>
      <c r="V114" s="15"/>
      <c r="W114" s="59">
        <f t="shared" si="45"/>
        <v>0.56499999999999995</v>
      </c>
      <c r="X114" s="47" t="str">
        <f t="shared" si="46"/>
        <v>kg/kWh</v>
      </c>
      <c r="Y114" s="12"/>
      <c r="Z114" s="24">
        <f t="shared" si="47"/>
        <v>0</v>
      </c>
      <c r="AA114" s="47" t="s">
        <v>468</v>
      </c>
      <c r="AB114" s="67"/>
      <c r="AC114" s="995"/>
      <c r="AD114" s="1405"/>
      <c r="AE114" s="1405"/>
      <c r="AF114" s="1405"/>
      <c r="AG114" s="1405"/>
      <c r="AH114" s="1405"/>
      <c r="AI114" s="1405"/>
      <c r="AJ114" s="1405"/>
      <c r="AK114" s="1405"/>
      <c r="AL114" s="1405"/>
      <c r="AM114" s="1405"/>
      <c r="AN114" s="1405"/>
      <c r="AO114" s="1405"/>
      <c r="AP114" s="1405"/>
      <c r="AQ114" s="1405"/>
      <c r="AR114" s="1405"/>
      <c r="AS114" s="67"/>
      <c r="AT114" s="995"/>
      <c r="AU114" s="12"/>
      <c r="AV114" s="22" t="str">
        <f t="shared" si="40"/>
        <v>hulpenergie</v>
      </c>
      <c r="AW114" s="46" t="str">
        <f t="shared" si="41"/>
        <v>elektriciteit</v>
      </c>
      <c r="AX114" s="115"/>
      <c r="AY114" s="12"/>
      <c r="AZ114" s="115">
        <v>1</v>
      </c>
      <c r="BA114" s="24">
        <f>IFERROR(INDEX(tabellen_EMD!$C$185:$N$193,MATCH($J114,tabellen_EMD!$C$185:$C$193,0),MATCH(BA$63,tabellen_EMD!$C$185:$N$185,0)),0)</f>
        <v>0</v>
      </c>
      <c r="BB114" s="115">
        <f t="shared" si="48"/>
        <v>2.56</v>
      </c>
      <c r="BC114" s="15"/>
      <c r="BD114" s="115">
        <f t="shared" si="49"/>
        <v>3.6</v>
      </c>
      <c r="BE114" s="47" t="str">
        <f t="shared" si="50"/>
        <v>MJ/kWh</v>
      </c>
      <c r="BF114" s="15"/>
      <c r="BG114" s="218">
        <f>IFERROR(INDEX(tabellen_EMD!$C$240:$Z$248,MATCH($J114,tabellen_EMD!$C$240:$C$248,0),MATCH($B114,tabellen_EMD!$C$240:$Z$240,0))*(F114&lt;&gt;"zomercomfort"),0)</f>
        <v>0.56499999999999995</v>
      </c>
      <c r="BH114" s="47" t="str">
        <f t="shared" si="51"/>
        <v>kg/kWh</v>
      </c>
      <c r="BI114" s="15"/>
    </row>
    <row r="115" spans="1:61" hidden="1">
      <c r="A115" s="18"/>
      <c r="B115" s="47" t="str">
        <f t="shared" si="39"/>
        <v>Uniec 2 per functie</v>
      </c>
      <c r="C115" s="47" t="str">
        <f t="shared" si="39"/>
        <v>NEN 7120</v>
      </c>
      <c r="D115" s="943"/>
      <c r="E115" s="14"/>
      <c r="F115" s="22" t="s">
        <v>1396</v>
      </c>
      <c r="G115" s="22"/>
      <c r="H115" s="22"/>
      <c r="I115" s="905"/>
      <c r="J115" s="1691" t="s">
        <v>465</v>
      </c>
      <c r="K115" s="1698"/>
      <c r="L115" s="16"/>
      <c r="M115" s="25"/>
      <c r="N115" s="22" t="str">
        <f t="shared" si="42"/>
        <v>MJ</v>
      </c>
      <c r="O115" s="15"/>
      <c r="P115" s="39"/>
      <c r="Q115" s="59">
        <f t="shared" si="43"/>
        <v>2.56</v>
      </c>
      <c r="R115" s="15"/>
      <c r="S115" s="24">
        <f t="shared" si="44"/>
        <v>0</v>
      </c>
      <c r="T115" s="47" t="str">
        <f>IFERROR(INDEX(energiedragers_EP_eenheden,MATCH($J115,tabellen_EMD!$C$196:$C$204,0),MATCH($B115,energiedragers_EP_eenheden_titel,0)),"-")</f>
        <v>kWh</v>
      </c>
      <c r="U115" s="39"/>
      <c r="V115" s="15"/>
      <c r="W115" s="59">
        <f t="shared" si="45"/>
        <v>0</v>
      </c>
      <c r="X115" s="47" t="str">
        <f t="shared" si="46"/>
        <v>kg/kWh</v>
      </c>
      <c r="Y115" s="12"/>
      <c r="Z115" s="24">
        <f t="shared" si="47"/>
        <v>0</v>
      </c>
      <c r="AA115" s="47" t="s">
        <v>468</v>
      </c>
      <c r="AB115" s="67"/>
      <c r="AC115" s="995"/>
      <c r="AD115" s="1405"/>
      <c r="AE115" s="1405"/>
      <c r="AF115" s="1405"/>
      <c r="AG115" s="1405"/>
      <c r="AH115" s="1405"/>
      <c r="AI115" s="1405"/>
      <c r="AJ115" s="1405"/>
      <c r="AK115" s="1405"/>
      <c r="AL115" s="1405"/>
      <c r="AM115" s="1405"/>
      <c r="AN115" s="1405"/>
      <c r="AO115" s="1405"/>
      <c r="AP115" s="1405"/>
      <c r="AQ115" s="1405"/>
      <c r="AR115" s="1405"/>
      <c r="AS115" s="67"/>
      <c r="AT115" s="995"/>
      <c r="AU115" s="12"/>
      <c r="AV115" s="22" t="str">
        <f t="shared" si="40"/>
        <v>zomercomfort</v>
      </c>
      <c r="AW115" s="46" t="str">
        <f t="shared" si="41"/>
        <v>elektriciteit</v>
      </c>
      <c r="AX115" s="115"/>
      <c r="AY115" s="12"/>
      <c r="AZ115" s="115">
        <v>1</v>
      </c>
      <c r="BA115" s="24">
        <f>IFERROR(INDEX(tabellen_EMD!$C$185:$N$193,MATCH($J115,tabellen_EMD!$C$185:$C$193,0),MATCH(BA$63,tabellen_EMD!$C$185:$N$185,0)),0)</f>
        <v>0</v>
      </c>
      <c r="BB115" s="115">
        <f t="shared" si="48"/>
        <v>2.56</v>
      </c>
      <c r="BC115" s="15"/>
      <c r="BD115" s="115">
        <f t="shared" si="49"/>
        <v>3.6</v>
      </c>
      <c r="BE115" s="47" t="str">
        <f t="shared" si="50"/>
        <v>MJ/kWh</v>
      </c>
      <c r="BF115" s="15"/>
      <c r="BG115" s="218">
        <f>IFERROR(INDEX(tabellen_EMD!$C$240:$Z$248,MATCH($J115,tabellen_EMD!$C$240:$C$248,0),MATCH($B115,tabellen_EMD!$C$240:$Z$240,0))*(F115&lt;&gt;"zomercomfort"),0)</f>
        <v>0</v>
      </c>
      <c r="BH115" s="47" t="str">
        <f t="shared" si="51"/>
        <v>kg/kWh</v>
      </c>
      <c r="BI115" s="15"/>
    </row>
    <row r="116" spans="1:61" hidden="1">
      <c r="A116" s="18"/>
      <c r="B116" s="47" t="str">
        <f t="shared" si="39"/>
        <v>Uniec 2 per functie</v>
      </c>
      <c r="C116" s="47" t="str">
        <f t="shared" si="39"/>
        <v>NEN 7120</v>
      </c>
      <c r="D116" s="943"/>
      <c r="E116" s="14"/>
      <c r="F116" s="22" t="s">
        <v>1375</v>
      </c>
      <c r="G116" s="22"/>
      <c r="H116" s="22"/>
      <c r="I116" s="905"/>
      <c r="J116" s="1691" t="s">
        <v>465</v>
      </c>
      <c r="K116" s="1698"/>
      <c r="L116" s="16"/>
      <c r="M116" s="25"/>
      <c r="N116" s="22" t="str">
        <f t="shared" si="42"/>
        <v>MJ</v>
      </c>
      <c r="O116" s="15"/>
      <c r="P116" s="39"/>
      <c r="Q116" s="59">
        <f t="shared" si="43"/>
        <v>2.56</v>
      </c>
      <c r="R116" s="15"/>
      <c r="S116" s="24">
        <f t="shared" si="44"/>
        <v>0</v>
      </c>
      <c r="T116" s="47" t="str">
        <f>IFERROR(INDEX(energiedragers_EP_eenheden,MATCH($J116,tabellen_EMD!$C$196:$C$204,0),MATCH($B116,energiedragers_EP_eenheden_titel,0)),"-")</f>
        <v>kWh</v>
      </c>
      <c r="U116" s="39"/>
      <c r="V116" s="15"/>
      <c r="W116" s="59">
        <f t="shared" si="45"/>
        <v>0.56499999999999995</v>
      </c>
      <c r="X116" s="47" t="str">
        <f t="shared" si="46"/>
        <v>kg/kWh</v>
      </c>
      <c r="Y116" s="12"/>
      <c r="Z116" s="24">
        <f t="shared" si="47"/>
        <v>0</v>
      </c>
      <c r="AA116" s="47" t="s">
        <v>468</v>
      </c>
      <c r="AB116" s="67"/>
      <c r="AC116" s="995"/>
      <c r="AD116" s="1405"/>
      <c r="AE116" s="1405"/>
      <c r="AF116" s="1405"/>
      <c r="AG116" s="1405"/>
      <c r="AH116" s="1405"/>
      <c r="AI116" s="1405"/>
      <c r="AJ116" s="1405"/>
      <c r="AK116" s="1405"/>
      <c r="AL116" s="1405"/>
      <c r="AM116" s="1405"/>
      <c r="AN116" s="1405"/>
      <c r="AO116" s="1405"/>
      <c r="AP116" s="1405"/>
      <c r="AQ116" s="1405"/>
      <c r="AR116" s="1405"/>
      <c r="AS116" s="67"/>
      <c r="AT116" s="995"/>
      <c r="AU116" s="12"/>
      <c r="AV116" s="22" t="str">
        <f t="shared" si="40"/>
        <v>ventilatoren</v>
      </c>
      <c r="AW116" s="46" t="str">
        <f t="shared" si="41"/>
        <v>elektriciteit</v>
      </c>
      <c r="AX116" s="115"/>
      <c r="AY116" s="12"/>
      <c r="AZ116" s="115">
        <v>1</v>
      </c>
      <c r="BA116" s="24">
        <f>IFERROR(INDEX(tabellen_EMD!$C$185:$N$193,MATCH($J116,tabellen_EMD!$C$185:$C$193,0),MATCH(BA$63,tabellen_EMD!$C$185:$N$185,0)),0)</f>
        <v>0</v>
      </c>
      <c r="BB116" s="115">
        <f t="shared" si="48"/>
        <v>2.56</v>
      </c>
      <c r="BC116" s="899"/>
      <c r="BD116" s="115">
        <f t="shared" si="49"/>
        <v>3.6</v>
      </c>
      <c r="BE116" s="47" t="str">
        <f t="shared" si="50"/>
        <v>MJ/kWh</v>
      </c>
      <c r="BF116" s="899"/>
      <c r="BG116" s="218">
        <f>IFERROR(INDEX(tabellen_EMD!$C$240:$Z$248,MATCH($J116,tabellen_EMD!$C$240:$C$248,0),MATCH($B116,tabellen_EMD!$C$240:$Z$240,0))*(F116&lt;&gt;"zomercomfort"),0)</f>
        <v>0.56499999999999995</v>
      </c>
      <c r="BH116" s="47" t="str">
        <f t="shared" si="51"/>
        <v>kg/kWh</v>
      </c>
      <c r="BI116" s="899"/>
    </row>
    <row r="117" spans="1:61" s="18" customFormat="1" hidden="1">
      <c r="A117" s="86"/>
      <c r="B117" s="47" t="str">
        <f t="shared" si="39"/>
        <v>Uniec 2 per functie</v>
      </c>
      <c r="C117" s="47" t="str">
        <f t="shared" si="39"/>
        <v>NEN 7120</v>
      </c>
      <c r="D117" s="943"/>
      <c r="E117" s="14"/>
      <c r="F117" s="22" t="s">
        <v>507</v>
      </c>
      <c r="G117" s="22"/>
      <c r="H117" s="22"/>
      <c r="I117" s="905"/>
      <c r="J117" s="1691" t="s">
        <v>465</v>
      </c>
      <c r="K117" s="1698"/>
      <c r="L117" s="16"/>
      <c r="M117" s="25"/>
      <c r="N117" s="22" t="str">
        <f t="shared" si="42"/>
        <v>MJ</v>
      </c>
      <c r="O117" s="15"/>
      <c r="P117" s="39"/>
      <c r="Q117" s="59">
        <f t="shared" si="43"/>
        <v>2.56</v>
      </c>
      <c r="R117" s="15"/>
      <c r="S117" s="24">
        <f t="shared" si="44"/>
        <v>0</v>
      </c>
      <c r="T117" s="47" t="str">
        <f>IFERROR(INDEX(energiedragers_EP_eenheden,MATCH($J117,tabellen_EMD!$C$196:$C$204,0),MATCH($B117,energiedragers_EP_eenheden_titel,0)),"-")</f>
        <v>kWh</v>
      </c>
      <c r="U117" s="39"/>
      <c r="V117" s="15"/>
      <c r="W117" s="59">
        <f t="shared" si="45"/>
        <v>0.56499999999999995</v>
      </c>
      <c r="X117" s="47" t="str">
        <f t="shared" si="46"/>
        <v>kg/kWh</v>
      </c>
      <c r="Y117" s="12"/>
      <c r="Z117" s="24">
        <f t="shared" si="47"/>
        <v>0</v>
      </c>
      <c r="AA117" s="47" t="s">
        <v>468</v>
      </c>
      <c r="AB117" s="67"/>
      <c r="AC117" s="995"/>
      <c r="AD117" s="1405"/>
      <c r="AE117" s="1405"/>
      <c r="AF117" s="1405"/>
      <c r="AG117" s="1405"/>
      <c r="AH117" s="1405"/>
      <c r="AI117" s="1405"/>
      <c r="AJ117" s="1405"/>
      <c r="AK117" s="1405"/>
      <c r="AL117" s="1405"/>
      <c r="AM117" s="1405"/>
      <c r="AN117" s="1405"/>
      <c r="AO117" s="1405"/>
      <c r="AP117" s="1405"/>
      <c r="AQ117" s="1405"/>
      <c r="AR117" s="1405"/>
      <c r="AS117" s="67"/>
      <c r="AT117" s="995"/>
      <c r="AU117" s="12"/>
      <c r="AV117" s="22" t="str">
        <f t="shared" si="40"/>
        <v>verlichting</v>
      </c>
      <c r="AW117" s="46" t="str">
        <f t="shared" si="41"/>
        <v>elektriciteit</v>
      </c>
      <c r="AX117" s="115"/>
      <c r="AY117" s="12"/>
      <c r="AZ117" s="115">
        <v>1</v>
      </c>
      <c r="BA117" s="24">
        <f>IFERROR(INDEX(tabellen_EMD!$C$185:$N$193,MATCH($J117,tabellen_EMD!$C$185:$C$193,0),MATCH(BA$63,tabellen_EMD!$C$185:$N$185,0)),0)</f>
        <v>0</v>
      </c>
      <c r="BB117" s="115">
        <f t="shared" si="48"/>
        <v>2.56</v>
      </c>
      <c r="BC117" s="899"/>
      <c r="BD117" s="115">
        <f t="shared" si="49"/>
        <v>3.6</v>
      </c>
      <c r="BE117" s="47" t="str">
        <f t="shared" si="50"/>
        <v>MJ/kWh</v>
      </c>
      <c r="BF117" s="899"/>
      <c r="BG117" s="218">
        <f>IFERROR(INDEX(tabellen_EMD!$C$240:$Z$248,MATCH($J117,tabellen_EMD!$C$240:$C$248,0),MATCH($B117,tabellen_EMD!$C$240:$Z$240,0))*(F117&lt;&gt;"zomercomfort"),0)</f>
        <v>0.56499999999999995</v>
      </c>
      <c r="BH117" s="47" t="str">
        <f t="shared" si="51"/>
        <v>kg/kWh</v>
      </c>
      <c r="BI117" s="899"/>
    </row>
    <row r="118" spans="1:61" hidden="1">
      <c r="A118" s="86"/>
      <c r="B118" s="47" t="str">
        <f t="shared" si="39"/>
        <v>Uniec 2 per functie</v>
      </c>
      <c r="C118" s="47" t="str">
        <f t="shared" si="39"/>
        <v>NEN 7120</v>
      </c>
      <c r="D118" s="943"/>
      <c r="E118" s="14"/>
      <c r="F118" s="22" t="s">
        <v>1503</v>
      </c>
      <c r="G118" s="22"/>
      <c r="H118" s="22"/>
      <c r="I118" s="905"/>
      <c r="J118" s="1691" t="s">
        <v>1538</v>
      </c>
      <c r="K118" s="1698"/>
      <c r="L118" s="16"/>
      <c r="M118" s="25"/>
      <c r="N118" s="22" t="str">
        <f t="shared" si="42"/>
        <v>MJ</v>
      </c>
      <c r="O118" s="15"/>
      <c r="P118" s="39"/>
      <c r="Q118" s="59">
        <f t="shared" si="43"/>
        <v>2</v>
      </c>
      <c r="R118" s="15"/>
      <c r="S118" s="24">
        <f t="shared" si="44"/>
        <v>0</v>
      </c>
      <c r="T118" s="47" t="str">
        <f>IFERROR(INDEX(energiedragers_EP_eenheden,MATCH($J118,tabellen_EMD!$C$196:$C$204,0),MATCH($B118,energiedragers_EP_eenheden_titel,0)),"-")</f>
        <v>kWh</v>
      </c>
      <c r="U118" s="39"/>
      <c r="V118" s="15"/>
      <c r="W118" s="59">
        <f t="shared" si="45"/>
        <v>0.56499999999999995</v>
      </c>
      <c r="X118" s="47" t="str">
        <f t="shared" si="46"/>
        <v>kg/kWh</v>
      </c>
      <c r="Y118" s="12"/>
      <c r="Z118" s="24">
        <f t="shared" si="47"/>
        <v>0</v>
      </c>
      <c r="AA118" s="47" t="s">
        <v>468</v>
      </c>
      <c r="AB118" s="67"/>
      <c r="AC118" s="995"/>
      <c r="AD118" s="1405"/>
      <c r="AE118" s="1405"/>
      <c r="AF118" s="1405"/>
      <c r="AG118" s="1405"/>
      <c r="AH118" s="1405"/>
      <c r="AI118" s="1405"/>
      <c r="AJ118" s="1405"/>
      <c r="AK118" s="1405"/>
      <c r="AL118" s="1405"/>
      <c r="AM118" s="1405"/>
      <c r="AN118" s="1405"/>
      <c r="AO118" s="1405"/>
      <c r="AP118" s="1405"/>
      <c r="AQ118" s="1405"/>
      <c r="AR118" s="1405"/>
      <c r="AS118" s="67"/>
      <c r="AT118" s="995"/>
      <c r="AU118" s="12"/>
      <c r="AV118" s="22" t="str">
        <f t="shared" si="40"/>
        <v>geëxporteerde elektriciteit</v>
      </c>
      <c r="AW118" s="46" t="str">
        <f t="shared" si="41"/>
        <v>elektriciteit geëxporteerd</v>
      </c>
      <c r="AX118" s="115"/>
      <c r="AY118" s="12"/>
      <c r="AZ118" s="115">
        <v>1</v>
      </c>
      <c r="BA118" s="24">
        <f>IFERROR(INDEX(tabellen_EMD!$C$185:$N$193,MATCH($J118,tabellen_EMD!$C$185:$C$193,0),MATCH(BA$63,tabellen_EMD!$C$185:$N$185,0)),0)</f>
        <v>0</v>
      </c>
      <c r="BB118" s="115">
        <f t="shared" si="48"/>
        <v>2</v>
      </c>
      <c r="BC118" s="899"/>
      <c r="BD118" s="115">
        <f t="shared" si="49"/>
        <v>3.6</v>
      </c>
      <c r="BE118" s="47" t="str">
        <f t="shared" si="50"/>
        <v>MJ/kWh</v>
      </c>
      <c r="BF118" s="899"/>
      <c r="BG118" s="218">
        <f>IFERROR(INDEX(tabellen_EMD!$C$240:$Z$248,MATCH($J118,tabellen_EMD!$C$240:$C$248,0),MATCH($B118,tabellen_EMD!$C$240:$Z$240,0))*(F118&lt;&gt;"zomercomfort"),0)</f>
        <v>0.56499999999999995</v>
      </c>
      <c r="BH118" s="47" t="str">
        <f t="shared" si="51"/>
        <v>kg/kWh</v>
      </c>
      <c r="BI118" s="899"/>
    </row>
    <row r="119" spans="1:61" hidden="1">
      <c r="A119" s="86"/>
      <c r="B119" s="47" t="str">
        <f t="shared" si="39"/>
        <v>Uniec 2 per functie</v>
      </c>
      <c r="C119" s="47" t="str">
        <f t="shared" si="39"/>
        <v>NEN 7120</v>
      </c>
      <c r="D119" s="943"/>
      <c r="E119" s="14"/>
      <c r="F119" s="22" t="s">
        <v>1504</v>
      </c>
      <c r="G119" s="22"/>
      <c r="H119" s="22"/>
      <c r="I119" s="905"/>
      <c r="J119" s="1691" t="s">
        <v>466</v>
      </c>
      <c r="K119" s="1698"/>
      <c r="L119" s="16"/>
      <c r="M119" s="25"/>
      <c r="N119" s="22" t="str">
        <f t="shared" si="42"/>
        <v>MJ</v>
      </c>
      <c r="O119" s="15"/>
      <c r="P119" s="39"/>
      <c r="Q119" s="59">
        <f t="shared" si="43"/>
        <v>2.56</v>
      </c>
      <c r="R119" s="15"/>
      <c r="S119" s="24">
        <f t="shared" si="44"/>
        <v>0</v>
      </c>
      <c r="T119" s="47" t="str">
        <f>IFERROR(INDEX(energiedragers_EP_eenheden,MATCH($J119,tabellen_EMD!$C$196:$C$204,0),MATCH($B119,energiedragers_EP_eenheden_titel,0)),"-")</f>
        <v>kWh</v>
      </c>
      <c r="U119" s="39"/>
      <c r="V119" s="15"/>
      <c r="W119" s="59">
        <f t="shared" si="45"/>
        <v>0.56499999999999995</v>
      </c>
      <c r="X119" s="47" t="str">
        <f t="shared" si="46"/>
        <v>kg/kWh</v>
      </c>
      <c r="Y119" s="12"/>
      <c r="Z119" s="24">
        <f t="shared" si="47"/>
        <v>0</v>
      </c>
      <c r="AA119" s="47" t="s">
        <v>468</v>
      </c>
      <c r="AB119" s="67"/>
      <c r="AC119" s="995"/>
      <c r="AD119" s="1405"/>
      <c r="AE119" s="1405"/>
      <c r="AF119" s="1405"/>
      <c r="AG119" s="1405"/>
      <c r="AH119" s="1405"/>
      <c r="AI119" s="1405"/>
      <c r="AJ119" s="1405"/>
      <c r="AK119" s="1405"/>
      <c r="AL119" s="1405"/>
      <c r="AM119" s="1405"/>
      <c r="AN119" s="1405"/>
      <c r="AO119" s="1405"/>
      <c r="AP119" s="1405"/>
      <c r="AQ119" s="1405"/>
      <c r="AR119" s="1405"/>
      <c r="AS119" s="67"/>
      <c r="AT119" s="995"/>
      <c r="AU119" s="12"/>
      <c r="AV119" s="22" t="str">
        <f t="shared" si="40"/>
        <v>op eigen perceel opgewekte &amp; verbruikte elektriciteit</v>
      </c>
      <c r="AW119" s="46" t="str">
        <f t="shared" si="41"/>
        <v>elektriciteit opgewekt</v>
      </c>
      <c r="AX119" s="115"/>
      <c r="AY119" s="12"/>
      <c r="AZ119" s="115">
        <v>1</v>
      </c>
      <c r="BA119" s="24">
        <f>IFERROR(INDEX(tabellen_EMD!$C$185:$N$193,MATCH($J119,tabellen_EMD!$C$185:$C$193,0),MATCH(BA$63,tabellen_EMD!$C$185:$N$185,0)),0)</f>
        <v>0</v>
      </c>
      <c r="BB119" s="115">
        <f t="shared" si="48"/>
        <v>2.56</v>
      </c>
      <c r="BC119" s="899"/>
      <c r="BD119" s="115">
        <f t="shared" si="49"/>
        <v>3.6</v>
      </c>
      <c r="BE119" s="47" t="str">
        <f t="shared" si="50"/>
        <v>MJ/kWh</v>
      </c>
      <c r="BF119" s="899"/>
      <c r="BG119" s="218">
        <f>IFERROR(INDEX(tabellen_EMD!$C$240:$Z$248,MATCH($J119,tabellen_EMD!$C$240:$C$248,0),MATCH($B119,tabellen_EMD!$C$240:$Z$240,0))*(F119&lt;&gt;"zomercomfort"),0)</f>
        <v>0.56499999999999995</v>
      </c>
      <c r="BH119" s="47" t="str">
        <f t="shared" si="51"/>
        <v>kg/kWh</v>
      </c>
      <c r="BI119" s="899"/>
    </row>
    <row r="120" spans="1:61" hidden="1">
      <c r="A120" s="86"/>
      <c r="B120" s="47" t="str">
        <f t="shared" si="39"/>
        <v>Uniec 2 per functie</v>
      </c>
      <c r="C120" s="47" t="str">
        <f t="shared" si="39"/>
        <v>NEN 7120</v>
      </c>
      <c r="D120" s="943"/>
      <c r="E120" s="14"/>
      <c r="F120" s="22" t="s">
        <v>1505</v>
      </c>
      <c r="G120" s="22"/>
      <c r="H120" s="22"/>
      <c r="I120" s="905"/>
      <c r="J120" s="1691" t="s">
        <v>466</v>
      </c>
      <c r="K120" s="1698"/>
      <c r="L120" s="16"/>
      <c r="M120" s="25"/>
      <c r="N120" s="22" t="str">
        <f t="shared" si="42"/>
        <v>MJ</v>
      </c>
      <c r="O120" s="15"/>
      <c r="P120" s="39"/>
      <c r="Q120" s="59">
        <f t="shared" si="43"/>
        <v>2.56</v>
      </c>
      <c r="R120" s="15"/>
      <c r="S120" s="24">
        <f t="shared" si="44"/>
        <v>0</v>
      </c>
      <c r="T120" s="47" t="str">
        <f>IFERROR(INDEX(energiedragers_EP_eenheden,MATCH($J120,tabellen_EMD!$C$196:$C$204,0),MATCH($B120,energiedragers_EP_eenheden_titel,0)),"-")</f>
        <v>kWh</v>
      </c>
      <c r="U120" s="39"/>
      <c r="V120" s="15"/>
      <c r="W120" s="59">
        <f t="shared" si="45"/>
        <v>0.56499999999999995</v>
      </c>
      <c r="X120" s="47" t="str">
        <f t="shared" si="46"/>
        <v>kg/kWh</v>
      </c>
      <c r="Y120" s="12"/>
      <c r="Z120" s="24">
        <f t="shared" si="47"/>
        <v>0</v>
      </c>
      <c r="AA120" s="47" t="s">
        <v>468</v>
      </c>
      <c r="AB120" s="67"/>
      <c r="AC120" s="995"/>
      <c r="AD120" s="1405"/>
      <c r="AE120" s="1405"/>
      <c r="AF120" s="1405"/>
      <c r="AG120" s="1405"/>
      <c r="AH120" s="1405"/>
      <c r="AI120" s="1405"/>
      <c r="AJ120" s="1405"/>
      <c r="AK120" s="1405"/>
      <c r="AL120" s="1405"/>
      <c r="AM120" s="1405"/>
      <c r="AN120" s="1405"/>
      <c r="AO120" s="1405"/>
      <c r="AP120" s="1405"/>
      <c r="AQ120" s="1405"/>
      <c r="AR120" s="1405"/>
      <c r="AS120" s="67"/>
      <c r="AT120" s="995"/>
      <c r="AU120" s="12"/>
      <c r="AV120" s="22" t="str">
        <f t="shared" si="40"/>
        <v>in het gebied opgewekte elektriciteit</v>
      </c>
      <c r="AW120" s="46" t="str">
        <f t="shared" si="41"/>
        <v>elektriciteit opgewekt</v>
      </c>
      <c r="AX120" s="115"/>
      <c r="AY120" s="12"/>
      <c r="AZ120" s="115">
        <v>1</v>
      </c>
      <c r="BA120" s="24">
        <f>IFERROR(INDEX(tabellen_EMD!$C$185:$N$193,MATCH($J120,tabellen_EMD!$C$185:$C$193,0),MATCH(BA$63,tabellen_EMD!$C$185:$N$185,0)),0)</f>
        <v>0</v>
      </c>
      <c r="BB120" s="115">
        <f t="shared" si="48"/>
        <v>2.56</v>
      </c>
      <c r="BC120" s="899"/>
      <c r="BD120" s="115">
        <f t="shared" si="49"/>
        <v>3.6</v>
      </c>
      <c r="BE120" s="47" t="str">
        <f t="shared" si="50"/>
        <v>MJ/kWh</v>
      </c>
      <c r="BF120" s="899"/>
      <c r="BG120" s="218">
        <f>IFERROR(INDEX(tabellen_EMD!$C$240:$Z$248,MATCH($J120,tabellen_EMD!$C$240:$C$248,0),MATCH($B120,tabellen_EMD!$C$240:$Z$240,0))*(F120&lt;&gt;"zomercomfort"),0)</f>
        <v>0.56499999999999995</v>
      </c>
      <c r="BH120" s="47" t="str">
        <f t="shared" si="51"/>
        <v>kg/kWh</v>
      </c>
      <c r="BI120" s="899"/>
    </row>
    <row r="121" spans="1:61" s="940" customFormat="1" hidden="1">
      <c r="A121" s="86"/>
      <c r="B121" s="47" t="str">
        <f t="shared" si="39"/>
        <v>Uniec 2 per functie</v>
      </c>
      <c r="C121" s="47" t="str">
        <f t="shared" si="39"/>
        <v>NEN 7120</v>
      </c>
      <c r="D121" s="943"/>
      <c r="E121" s="14"/>
      <c r="F121" s="15" t="s">
        <v>1391</v>
      </c>
      <c r="G121" s="15"/>
      <c r="H121" s="15"/>
      <c r="I121" s="905"/>
      <c r="J121" s="43" t="s">
        <v>1391</v>
      </c>
      <c r="K121" s="43"/>
      <c r="L121" s="16"/>
      <c r="M121" s="950">
        <f>SUM(M109:M117)-SUM(M118:M120)</f>
        <v>0</v>
      </c>
      <c r="N121" s="15" t="str">
        <f t="shared" si="42"/>
        <v>MJ</v>
      </c>
      <c r="O121" s="15"/>
      <c r="P121" s="39"/>
      <c r="Q121" s="39"/>
      <c r="R121" s="15"/>
      <c r="S121" s="899"/>
      <c r="T121" s="899"/>
      <c r="U121" s="39"/>
      <c r="V121" s="39"/>
      <c r="W121" s="39"/>
      <c r="X121" s="39"/>
      <c r="Y121" s="12"/>
      <c r="Z121" s="950">
        <f>SUM(Z109:Z117)-SUM(Z118:Z120)</f>
        <v>0</v>
      </c>
      <c r="AA121" s="15" t="s">
        <v>468</v>
      </c>
      <c r="AB121" s="67"/>
      <c r="AC121" s="995"/>
      <c r="AD121" s="1405"/>
      <c r="AE121" s="1405"/>
      <c r="AF121" s="1405"/>
      <c r="AG121" s="1405"/>
      <c r="AH121" s="1405"/>
      <c r="AI121" s="1405"/>
      <c r="AJ121" s="1405"/>
      <c r="AK121" s="1405"/>
      <c r="AL121" s="1405"/>
      <c r="AM121" s="1405"/>
      <c r="AN121" s="1405"/>
      <c r="AO121" s="1405"/>
      <c r="AP121" s="1405"/>
      <c r="AQ121" s="1405"/>
      <c r="AR121" s="1405"/>
      <c r="AS121" s="67"/>
      <c r="AT121" s="995"/>
      <c r="AU121" s="12"/>
      <c r="AV121" s="22" t="str">
        <f t="shared" si="40"/>
        <v>totaal</v>
      </c>
      <c r="AW121" s="46" t="str">
        <f t="shared" si="41"/>
        <v>totaal</v>
      </c>
      <c r="AX121" s="115"/>
      <c r="AY121" s="12"/>
      <c r="AZ121" s="12"/>
      <c r="BA121" s="12"/>
      <c r="BB121" s="12"/>
      <c r="BC121" s="899"/>
      <c r="BD121" s="899"/>
      <c r="BE121" s="899"/>
      <c r="BF121" s="899"/>
      <c r="BG121" s="15"/>
      <c r="BH121" s="15"/>
      <c r="BI121" s="899"/>
    </row>
    <row r="122" spans="1:61" s="49" customFormat="1" hidden="1">
      <c r="A122" s="212"/>
      <c r="B122" s="47" t="str">
        <f t="shared" si="39"/>
        <v>Uniec 2 per functie</v>
      </c>
      <c r="C122" s="47" t="str">
        <f t="shared" si="39"/>
        <v>NEN 7120</v>
      </c>
      <c r="D122" s="943"/>
      <c r="E122" s="50"/>
      <c r="F122" s="452" t="str">
        <f>IFERROR(IF($P$23=$B122,_xlfn.CONCAT("Bij 1.1 ingevuld: ",FIXED($J$35,2,FALSE)," ",$K$35),""),"invoer niet correct")</f>
        <v/>
      </c>
      <c r="G122" s="452"/>
      <c r="H122" s="452"/>
      <c r="I122" s="905"/>
      <c r="J122" s="909" t="str">
        <f>IFERROR(IF($P$23=$B122,IF(ABS((M122-$J$35)/$J$35)&gt;1%,"Afwijking &gt;1% met subthema 1.1",""),""),"invoer niet correct")</f>
        <v/>
      </c>
      <c r="K122" s="909"/>
      <c r="L122" s="910"/>
      <c r="M122" s="1339" t="str">
        <f>IFERROR(IF($P$23=$B122,M121/$J$59,""),"")</f>
        <v/>
      </c>
      <c r="N122" s="452" t="str">
        <f>IF($P$23=$B122,_xlfn.CONCAT(N121,"/m2"),"")</f>
        <v/>
      </c>
      <c r="O122" s="452"/>
      <c r="P122" s="39"/>
      <c r="Q122" s="39"/>
      <c r="R122" s="899"/>
      <c r="S122" s="899"/>
      <c r="T122" s="899"/>
      <c r="U122" s="39"/>
      <c r="V122" s="39"/>
      <c r="W122" s="910" t="str">
        <f>IFERROR(IF($P$23=$B122,_xlfn.CONCAT("Bij 1.1 ingevuld: ",FIXED($AG$40,1,FALSE)," ",$AH$40),""),"invoer niet correct")</f>
        <v/>
      </c>
      <c r="X122" s="909" t="str">
        <f>IFERROR(IF($P$23=$B122,IF(ABS((Z122-$AG$40)/$AG$40)&gt;1%,"afwijking &gt;1% met subthema 1.1",""),""),"invoer niet correct")</f>
        <v/>
      </c>
      <c r="Y122" s="12"/>
      <c r="Z122" s="951" t="str">
        <f>IFERROR(IF($P$23=$B122,Z121/$J$58,""),"")</f>
        <v/>
      </c>
      <c r="AA122" s="452" t="str">
        <f>IF($P$23=$B122,_xlfn.CONCAT(AA121,"/m2"),"")</f>
        <v/>
      </c>
      <c r="AB122" s="1393"/>
      <c r="AC122" s="1001"/>
      <c r="AD122" s="1405"/>
      <c r="AE122" s="1405"/>
      <c r="AF122" s="1405"/>
      <c r="AG122" s="1405"/>
      <c r="AH122" s="1405"/>
      <c r="AI122" s="1405"/>
      <c r="AJ122" s="1405"/>
      <c r="AK122" s="1405"/>
      <c r="AL122" s="1405"/>
      <c r="AM122" s="1405"/>
      <c r="AN122" s="1405"/>
      <c r="AO122" s="1405"/>
      <c r="AP122" s="1405"/>
      <c r="AQ122" s="1405"/>
      <c r="AR122" s="1405"/>
      <c r="AS122" s="1393"/>
      <c r="AT122" s="1001"/>
      <c r="AU122" s="12"/>
      <c r="AV122" s="452"/>
      <c r="AW122" s="452"/>
      <c r="AX122" s="452"/>
      <c r="AY122" s="452"/>
      <c r="AZ122" s="452"/>
      <c r="BA122" s="452"/>
      <c r="BB122" s="452"/>
      <c r="BC122" s="452"/>
      <c r="BD122" s="452"/>
      <c r="BE122" s="452"/>
      <c r="BF122" s="452"/>
      <c r="BG122" s="452"/>
      <c r="BH122" s="452"/>
      <c r="BI122" s="899"/>
    </row>
    <row r="123" spans="1:61" s="49" customFormat="1" hidden="1">
      <c r="B123" s="47" t="str">
        <f t="shared" si="39"/>
        <v>Uniec 2 per functie</v>
      </c>
      <c r="C123" s="47" t="str">
        <f t="shared" si="39"/>
        <v>NEN 7120</v>
      </c>
      <c r="D123" s="943"/>
      <c r="E123" s="50"/>
      <c r="F123" s="43"/>
      <c r="G123" s="43"/>
      <c r="H123" s="43"/>
      <c r="I123" s="905"/>
      <c r="J123" s="44"/>
      <c r="K123" s="44"/>
      <c r="L123" s="44"/>
      <c r="M123" s="917"/>
      <c r="N123" s="44"/>
      <c r="O123" s="44"/>
      <c r="P123" s="39"/>
      <c r="Q123" s="39"/>
      <c r="R123" s="899"/>
      <c r="S123" s="899"/>
      <c r="T123" s="899"/>
      <c r="U123" s="39"/>
      <c r="V123" s="1155"/>
      <c r="W123" s="39"/>
      <c r="X123" s="39"/>
      <c r="Y123" s="12"/>
      <c r="Z123" s="899"/>
      <c r="AA123" s="899"/>
      <c r="AB123" s="1393"/>
      <c r="AC123" s="1001"/>
      <c r="AD123" s="1405"/>
      <c r="AE123" s="1405"/>
      <c r="AF123" s="1405"/>
      <c r="AG123" s="1405"/>
      <c r="AH123" s="1405"/>
      <c r="AI123" s="1405"/>
      <c r="AJ123" s="1405"/>
      <c r="AK123" s="1405"/>
      <c r="AL123" s="1405"/>
      <c r="AM123" s="1405"/>
      <c r="AN123" s="1405"/>
      <c r="AO123" s="1405"/>
      <c r="AP123" s="1405"/>
      <c r="AQ123" s="1405"/>
      <c r="AR123" s="1405"/>
      <c r="AS123" s="1393"/>
      <c r="AT123" s="1001"/>
      <c r="AU123" s="12"/>
      <c r="AV123" s="12"/>
      <c r="AW123" s="12"/>
      <c r="AX123" s="12"/>
      <c r="AY123" s="12"/>
      <c r="AZ123" s="44"/>
      <c r="BA123" s="12"/>
      <c r="BB123" s="44"/>
      <c r="BC123" s="899"/>
      <c r="BD123" s="899"/>
      <c r="BE123" s="899"/>
      <c r="BF123" s="899"/>
      <c r="BG123" s="899"/>
      <c r="BH123" s="899"/>
      <c r="BI123" s="899"/>
    </row>
    <row r="124" spans="1:61" hidden="1">
      <c r="A124" s="86"/>
      <c r="B124" s="939" t="str">
        <f>tabellen_EMD!$C$177</f>
        <v>Uniec 2 finaal</v>
      </c>
      <c r="C124" s="939" t="str">
        <f>VLOOKUP(B124,'NTA 8800 naar GPR4'!$AV$40:$AY$48,COLUMNS($AV$40:$AX$40),FALSE)</f>
        <v>NEN 7120</v>
      </c>
      <c r="D124" s="943"/>
      <c r="E124" s="14"/>
      <c r="F124" s="15" t="str">
        <f>_xlfn.CONCAT("Overnemen uit '",B124,"': ",VLOOKUP(B124,$AV$41:$AZ$48,COLUMNS($AV$40:$AZ$40),FALSE))</f>
        <v>Overnemen uit 'Uniec 2 finaal': Jaarlijkse hoeveelheid primaire energie voor de energiefunctie</v>
      </c>
      <c r="G124" s="15"/>
      <c r="H124" s="15"/>
      <c r="I124" s="905"/>
      <c r="J124" s="43"/>
      <c r="K124" s="43"/>
      <c r="L124" s="16"/>
      <c r="M124" s="909" t="s">
        <v>1485</v>
      </c>
      <c r="N124" s="41"/>
      <c r="O124" s="41"/>
      <c r="P124" s="453" t="s">
        <v>1487</v>
      </c>
      <c r="Q124" s="39"/>
      <c r="R124" s="39"/>
      <c r="S124" s="453" t="s">
        <v>1484</v>
      </c>
      <c r="T124" s="39"/>
      <c r="U124" s="39"/>
      <c r="V124" s="453" t="s">
        <v>1613</v>
      </c>
      <c r="W124" s="39"/>
      <c r="X124" s="39"/>
      <c r="Y124" s="12"/>
      <c r="Z124" s="453" t="s">
        <v>1536</v>
      </c>
      <c r="AA124" s="12"/>
      <c r="AB124" s="67"/>
      <c r="AC124" s="995"/>
      <c r="AD124" s="1405"/>
      <c r="AE124" s="1405"/>
      <c r="AF124" s="1405"/>
      <c r="AG124" s="1405"/>
      <c r="AH124" s="1405"/>
      <c r="AI124" s="1405"/>
      <c r="AJ124" s="1405"/>
      <c r="AK124" s="1405"/>
      <c r="AL124" s="1405"/>
      <c r="AM124" s="1405"/>
      <c r="AN124" s="1405"/>
      <c r="AO124" s="1405"/>
      <c r="AP124" s="1405"/>
      <c r="AQ124" s="1405"/>
      <c r="AR124" s="1405"/>
      <c r="AS124" s="67"/>
      <c r="AT124" s="995"/>
      <c r="AU124" s="12"/>
      <c r="AV124" s="12"/>
      <c r="AW124" s="12"/>
      <c r="AX124" s="12"/>
      <c r="AY124" s="12"/>
      <c r="AZ124" s="888" t="str">
        <f>AZ$63</f>
        <v>Eenheid energie</v>
      </c>
      <c r="BA124" s="888" t="s">
        <v>1628</v>
      </c>
      <c r="BB124" s="888" t="str">
        <f>BB$63</f>
        <v>PEF finaal → primair</v>
      </c>
      <c r="BC124" s="452"/>
      <c r="BD124" s="452" t="str">
        <f>BD$63</f>
        <v>eenheden omrekenen</v>
      </c>
      <c r="BE124" s="452"/>
      <c r="BF124" s="452"/>
      <c r="BG124" s="888" t="str">
        <f>BG$63</f>
        <v>CO2</v>
      </c>
      <c r="BH124" s="39"/>
      <c r="BI124" s="899"/>
    </row>
    <row r="125" spans="1:61" hidden="1">
      <c r="A125" s="86"/>
      <c r="B125" s="47" t="str">
        <f t="shared" ref="B125:C135" si="52">B124</f>
        <v>Uniec 2 finaal</v>
      </c>
      <c r="C125" s="47" t="str">
        <f t="shared" si="52"/>
        <v>NEN 7120</v>
      </c>
      <c r="D125" s="943"/>
      <c r="E125" s="14"/>
      <c r="F125" s="892" t="s">
        <v>496</v>
      </c>
      <c r="G125" s="892"/>
      <c r="H125" s="892"/>
      <c r="I125" s="905"/>
      <c r="J125" s="909" t="s">
        <v>458</v>
      </c>
      <c r="K125" s="909"/>
      <c r="L125" s="889"/>
      <c r="M125" s="910" t="s">
        <v>1534</v>
      </c>
      <c r="N125" s="452" t="s">
        <v>204</v>
      </c>
      <c r="O125" s="39"/>
      <c r="P125" s="888" t="s">
        <v>1533</v>
      </c>
      <c r="Q125" s="910" t="s">
        <v>1532</v>
      </c>
      <c r="R125" s="452"/>
      <c r="S125" s="888" t="s">
        <v>1534</v>
      </c>
      <c r="T125" s="889" t="s">
        <v>204</v>
      </c>
      <c r="U125" s="39"/>
      <c r="V125" s="888" t="s">
        <v>1533</v>
      </c>
      <c r="W125" s="910" t="s">
        <v>1532</v>
      </c>
      <c r="X125" s="889" t="s">
        <v>204</v>
      </c>
      <c r="Y125" s="12"/>
      <c r="Z125" s="888" t="s">
        <v>1534</v>
      </c>
      <c r="AA125" s="889" t="s">
        <v>204</v>
      </c>
      <c r="AB125" s="67"/>
      <c r="AC125" s="995"/>
      <c r="AD125" s="1405"/>
      <c r="AE125" s="1405"/>
      <c r="AF125" s="1405"/>
      <c r="AG125" s="1405"/>
      <c r="AH125" s="1405"/>
      <c r="AI125" s="1405"/>
      <c r="AJ125" s="1405"/>
      <c r="AK125" s="1405"/>
      <c r="AL125" s="1405"/>
      <c r="AM125" s="1405"/>
      <c r="AN125" s="1405"/>
      <c r="AO125" s="1405"/>
      <c r="AP125" s="1405"/>
      <c r="AQ125" s="1405"/>
      <c r="AR125" s="1405"/>
      <c r="AS125" s="67"/>
      <c r="AT125" s="995"/>
      <c r="AU125" s="12"/>
      <c r="AV125" s="892" t="str">
        <f t="shared" ref="AV125:AV133" si="53">F125</f>
        <v>energiefunctie</v>
      </c>
      <c r="AW125" s="452" t="str">
        <f t="shared" ref="AW125:AW133" si="54">J125</f>
        <v>energiedrager</v>
      </c>
      <c r="AX125" s="910"/>
      <c r="AY125" s="12"/>
      <c r="AZ125" s="888" t="str">
        <f>AZ$64</f>
        <v>pos/neg</v>
      </c>
      <c r="BA125" s="888"/>
      <c r="BB125" s="888" t="str">
        <f>BB$64</f>
        <v>default</v>
      </c>
      <c r="BC125" s="452"/>
      <c r="BD125" s="452" t="str">
        <f>BD$64</f>
        <v>waarde</v>
      </c>
      <c r="BE125" s="452" t="str">
        <f>BE$64</f>
        <v>eenheden</v>
      </c>
      <c r="BF125" s="452"/>
      <c r="BG125" s="888" t="str">
        <f>BG$64</f>
        <v>default</v>
      </c>
      <c r="BH125" s="888" t="str">
        <f>BH$64</f>
        <v>eenheid</v>
      </c>
      <c r="BI125" s="452"/>
    </row>
    <row r="126" spans="1:61" hidden="1">
      <c r="A126" s="86"/>
      <c r="B126" s="47" t="str">
        <f t="shared" si="52"/>
        <v>Uniec 2 finaal</v>
      </c>
      <c r="C126" s="47" t="str">
        <f t="shared" si="52"/>
        <v>NEN 7120</v>
      </c>
      <c r="D126" s="943"/>
      <c r="E126" s="14"/>
      <c r="F126" s="22" t="s">
        <v>498</v>
      </c>
      <c r="G126" s="22"/>
      <c r="H126" s="22"/>
      <c r="I126" s="905"/>
      <c r="J126" s="1691" t="s">
        <v>465</v>
      </c>
      <c r="K126" s="1698"/>
      <c r="L126" s="16"/>
      <c r="M126" s="24">
        <f>Q126*S126*BD126</f>
        <v>0</v>
      </c>
      <c r="N126" s="47" t="str">
        <f t="shared" ref="N126:N133" si="55">INDEX(EP_methode_eenheid,1,MATCH($C126,EP_methode,0))</f>
        <v>MJ</v>
      </c>
      <c r="O126" s="909"/>
      <c r="P126" s="39"/>
      <c r="Q126" s="59">
        <f>IFERROR(IF(AND(P126&lt;&gt;"",$BA126=1),P126,BB126),1)</f>
        <v>2.56</v>
      </c>
      <c r="R126" s="15"/>
      <c r="S126" s="25"/>
      <c r="T126" s="47" t="str">
        <f>IFERROR(INDEX(energiedragers_EP_eenheden,MATCH($J126,tabellen_EMD!$C$196:$C$204,0),MATCH($B126,energiedragers_EP_eenheden_titel,0)),"-")</f>
        <v>kWh</v>
      </c>
      <c r="U126" s="39"/>
      <c r="V126" s="15"/>
      <c r="W126" s="59">
        <f>IF(AND(V126&lt;&gt;"",$BA126=1),V126,BG126)</f>
        <v>0.56499999999999995</v>
      </c>
      <c r="X126" s="47" t="str">
        <f t="shared" ref="X126:X132" si="56">BH126</f>
        <v>kg/kWh</v>
      </c>
      <c r="Y126" s="12"/>
      <c r="Z126" s="24">
        <f>S126*W126*ABS(AZ126)</f>
        <v>0</v>
      </c>
      <c r="AA126" s="47" t="s">
        <v>468</v>
      </c>
      <c r="AB126" s="67"/>
      <c r="AC126" s="995"/>
      <c r="AD126" s="1405"/>
      <c r="AE126" s="1405"/>
      <c r="AF126" s="1405"/>
      <c r="AG126" s="1405"/>
      <c r="AH126" s="1405"/>
      <c r="AI126" s="1405"/>
      <c r="AJ126" s="1405"/>
      <c r="AK126" s="1405"/>
      <c r="AL126" s="1405"/>
      <c r="AM126" s="1405"/>
      <c r="AN126" s="1405"/>
      <c r="AO126" s="1405"/>
      <c r="AP126" s="1405"/>
      <c r="AQ126" s="1405"/>
      <c r="AR126" s="1405"/>
      <c r="AS126" s="67"/>
      <c r="AT126" s="995"/>
      <c r="AU126" s="12"/>
      <c r="AV126" s="22" t="str">
        <f t="shared" si="53"/>
        <v>elektriciteit: gebouwgebonden installaties</v>
      </c>
      <c r="AW126" s="46" t="str">
        <f t="shared" si="54"/>
        <v>elektriciteit</v>
      </c>
      <c r="AX126" s="24"/>
      <c r="AY126" s="12"/>
      <c r="AZ126" s="115">
        <v>1</v>
      </c>
      <c r="BA126" s="24">
        <f>IFERROR(INDEX(tabellen_EMD!$C$185:$N$193,MATCH($J126,tabellen_EMD!$C$185:$C$193,0),MATCH(BA$63,tabellen_EMD!$C$185:$N$185,0)),0)</f>
        <v>0</v>
      </c>
      <c r="BB126" s="115">
        <f>VLOOKUP($J126,energiedragers_EP_PEF,MATCH(_xlfn.CONCAT($C126," | PEF"),energiedragers_EP_PEF_titel,0),FALSE)</f>
        <v>2.56</v>
      </c>
      <c r="BC126" s="899"/>
      <c r="BD126" s="115">
        <f t="shared" ref="BD126:BD132" si="57">IFERROR(VLOOKUP($J126,energiedragers_EP_omrekenen,MATCH($B126,energiedragers_EP_omrekenen_titel,0),FALSE),1)</f>
        <v>3.6</v>
      </c>
      <c r="BE126" s="47" t="str">
        <f t="shared" ref="BE126:BE132" si="58">_xlfn.CONCAT(N126,"/",T126)</f>
        <v>MJ/kWh</v>
      </c>
      <c r="BF126" s="899"/>
      <c r="BG126" s="218">
        <f>IFERROR(INDEX(tabellen_EMD!$C$240:$Z$248,MATCH($J126,tabellen_EMD!$C$240:$C$248,0),MATCH($B126,tabellen_EMD!$C$240:$Z$240,0))*(F126&lt;&gt;"zomercomfort"),0)</f>
        <v>0.56499999999999995</v>
      </c>
      <c r="BH126" s="47" t="str">
        <f t="shared" ref="BH126:BH132" si="59">"kg/"&amp;T126</f>
        <v>kg/kWh</v>
      </c>
      <c r="BI126" s="899"/>
    </row>
    <row r="127" spans="1:61" hidden="1">
      <c r="A127" s="86"/>
      <c r="B127" s="47" t="str">
        <f t="shared" si="52"/>
        <v>Uniec 2 finaal</v>
      </c>
      <c r="C127" s="47" t="str">
        <f t="shared" si="52"/>
        <v>NEN 7120</v>
      </c>
      <c r="D127" s="943"/>
      <c r="E127" s="14"/>
      <c r="F127" s="22" t="s">
        <v>1461</v>
      </c>
      <c r="G127" s="22"/>
      <c r="H127" s="22"/>
      <c r="I127" s="905"/>
      <c r="J127" s="965"/>
      <c r="K127" s="965"/>
      <c r="L127" s="965"/>
      <c r="M127" s="965"/>
      <c r="N127" s="965"/>
      <c r="O127" s="965"/>
      <c r="P127" s="965"/>
      <c r="Q127" s="965"/>
      <c r="R127" s="965"/>
      <c r="S127" s="965"/>
      <c r="T127" s="965"/>
      <c r="U127" s="965"/>
      <c r="V127" s="965"/>
      <c r="W127" s="965"/>
      <c r="X127" s="965"/>
      <c r="Y127" s="965"/>
      <c r="Z127" s="965"/>
      <c r="AA127" s="965"/>
      <c r="AB127" s="67"/>
      <c r="AC127" s="995"/>
      <c r="AD127" s="1405"/>
      <c r="AE127" s="1405"/>
      <c r="AF127" s="1405"/>
      <c r="AG127" s="1405"/>
      <c r="AH127" s="1405"/>
      <c r="AI127" s="1405"/>
      <c r="AJ127" s="1405"/>
      <c r="AK127" s="1405"/>
      <c r="AL127" s="1405"/>
      <c r="AM127" s="1405"/>
      <c r="AN127" s="1405"/>
      <c r="AO127" s="1405"/>
      <c r="AP127" s="1405"/>
      <c r="AQ127" s="1405"/>
      <c r="AR127" s="1405"/>
      <c r="AS127" s="67"/>
      <c r="AT127" s="995"/>
      <c r="AU127" s="12"/>
      <c r="AV127" s="22" t="str">
        <f t="shared" si="53"/>
        <v>elek: niet gebouwgebonden installaties (stelpost)</v>
      </c>
      <c r="AW127" s="46">
        <f t="shared" si="54"/>
        <v>0</v>
      </c>
      <c r="AX127" s="899"/>
      <c r="AY127" s="899"/>
      <c r="AZ127" s="115">
        <v>1</v>
      </c>
      <c r="BA127" s="24">
        <f>IFERROR(INDEX(tabellen_EMD!$C$185:$N$193,MATCH($J127,tabellen_EMD!$C$185:$C$193,0),MATCH(BA$63,tabellen_EMD!$C$185:$N$185,0)),0)</f>
        <v>0</v>
      </c>
      <c r="BB127" s="115" t="e">
        <f>VLOOKUP($J127,energiedragers_EP_PEF,MATCH(_xlfn.CONCAT($C127," | PEF"),energiedragers_EP_PEF_titel,0),FALSE)</f>
        <v>#N/A</v>
      </c>
      <c r="BC127" s="899"/>
      <c r="BD127" s="115">
        <f t="shared" si="57"/>
        <v>1</v>
      </c>
      <c r="BE127" s="47" t="str">
        <f t="shared" si="58"/>
        <v>/</v>
      </c>
      <c r="BF127" s="899"/>
      <c r="BG127" s="218">
        <f>IFERROR(INDEX(tabellen_EMD!$C$240:$Z$248,MATCH($J127,tabellen_EMD!$C$240:$C$248,0),MATCH($B127,tabellen_EMD!$C$240:$Z$240,0))*(F127&lt;&gt;"zomercomfort"),0)</f>
        <v>0</v>
      </c>
      <c r="BH127" s="47" t="str">
        <f t="shared" si="59"/>
        <v>kg/</v>
      </c>
      <c r="BI127" s="899"/>
    </row>
    <row r="128" spans="1:61" hidden="1">
      <c r="A128" s="86"/>
      <c r="B128" s="47" t="str">
        <f t="shared" si="52"/>
        <v>Uniec 2 finaal</v>
      </c>
      <c r="C128" s="47" t="str">
        <f t="shared" si="52"/>
        <v>NEN 7120</v>
      </c>
      <c r="D128" s="943"/>
      <c r="E128" s="14"/>
      <c r="F128" s="22" t="s">
        <v>1462</v>
      </c>
      <c r="G128" s="22"/>
      <c r="H128" s="22"/>
      <c r="I128" s="905"/>
      <c r="J128" s="1691" t="s">
        <v>466</v>
      </c>
      <c r="K128" s="1698"/>
      <c r="L128" s="16"/>
      <c r="M128" s="24">
        <f>Q128*S128*BD128</f>
        <v>0</v>
      </c>
      <c r="N128" s="47" t="str">
        <f t="shared" si="55"/>
        <v>MJ</v>
      </c>
      <c r="O128" s="909"/>
      <c r="P128" s="39"/>
      <c r="Q128" s="59">
        <f>IFERROR(IF(AND(P128&lt;&gt;"",$BA128=1),P128,BB128),1)</f>
        <v>2.56</v>
      </c>
      <c r="R128" s="15"/>
      <c r="S128" s="25"/>
      <c r="T128" s="47" t="str">
        <f>IFERROR(INDEX(energiedragers_EP_eenheden,MATCH($J128,tabellen_EMD!$C$196:$C$204,0),MATCH($B128,energiedragers_EP_eenheden_titel,0)),"-")</f>
        <v>kWh</v>
      </c>
      <c r="U128" s="39"/>
      <c r="V128" s="15"/>
      <c r="W128" s="59">
        <f>IF(AND(V128&lt;&gt;"",$BA128=1),V128,BG128)</f>
        <v>0.56499999999999995</v>
      </c>
      <c r="X128" s="47" t="str">
        <f t="shared" si="56"/>
        <v>kg/kWh</v>
      </c>
      <c r="Y128" s="12"/>
      <c r="Z128" s="24">
        <f>S128*W128*ABS(AZ128)</f>
        <v>0</v>
      </c>
      <c r="AA128" s="47" t="s">
        <v>468</v>
      </c>
      <c r="AB128" s="67"/>
      <c r="AC128" s="995"/>
      <c r="AD128" s="1405"/>
      <c r="AE128" s="1405"/>
      <c r="AF128" s="1405"/>
      <c r="AG128" s="1405"/>
      <c r="AH128" s="1405"/>
      <c r="AI128" s="1405"/>
      <c r="AJ128" s="1405"/>
      <c r="AK128" s="1405"/>
      <c r="AL128" s="1405"/>
      <c r="AM128" s="1405"/>
      <c r="AN128" s="1405"/>
      <c r="AO128" s="1405"/>
      <c r="AP128" s="1405"/>
      <c r="AQ128" s="1405"/>
      <c r="AR128" s="1405"/>
      <c r="AS128" s="67"/>
      <c r="AT128" s="995"/>
      <c r="AU128" s="12"/>
      <c r="AV128" s="22" t="str">
        <f t="shared" si="53"/>
        <v>opgewekte &amp; verbruikte elektriciteit</v>
      </c>
      <c r="AW128" s="46" t="str">
        <f t="shared" si="54"/>
        <v>elektriciteit opgewekt</v>
      </c>
      <c r="AX128" s="24"/>
      <c r="AY128" s="12"/>
      <c r="AZ128" s="115">
        <v>1</v>
      </c>
      <c r="BA128" s="24">
        <f>IFERROR(INDEX(tabellen_EMD!$C$185:$N$193,MATCH($J128,tabellen_EMD!$C$185:$C$193,0),MATCH(BA$63,tabellen_EMD!$C$185:$N$185,0)),0)</f>
        <v>0</v>
      </c>
      <c r="BB128" s="115">
        <f>VLOOKUP($J128,energiedragers_EP_PEF,MATCH(_xlfn.CONCAT($C128," | PEF"),energiedragers_EP_PEF_titel,0),FALSE)</f>
        <v>2.56</v>
      </c>
      <c r="BC128" s="899"/>
      <c r="BD128" s="115">
        <f t="shared" si="57"/>
        <v>3.6</v>
      </c>
      <c r="BE128" s="47" t="str">
        <f t="shared" si="58"/>
        <v>MJ/kWh</v>
      </c>
      <c r="BF128" s="899"/>
      <c r="BG128" s="218">
        <f>IFERROR(INDEX(tabellen_EMD!$C$240:$Z$248,MATCH($J128,tabellen_EMD!$C$240:$C$248,0),MATCH($B128,tabellen_EMD!$C$240:$Z$240,0))*(F128&lt;&gt;"zomercomfort"),0)</f>
        <v>0.56499999999999995</v>
      </c>
      <c r="BH128" s="47" t="str">
        <f t="shared" si="59"/>
        <v>kg/kWh</v>
      </c>
      <c r="BI128" s="899"/>
    </row>
    <row r="129" spans="1:61" hidden="1">
      <c r="A129" s="86"/>
      <c r="B129" s="47" t="str">
        <f t="shared" si="52"/>
        <v>Uniec 2 finaal</v>
      </c>
      <c r="C129" s="47" t="str">
        <f t="shared" si="52"/>
        <v>NEN 7120</v>
      </c>
      <c r="D129" s="943"/>
      <c r="E129" s="14"/>
      <c r="F129" s="22" t="s">
        <v>1450</v>
      </c>
      <c r="G129" s="22"/>
      <c r="H129" s="22"/>
      <c r="I129" s="905"/>
      <c r="J129" s="1691" t="s">
        <v>463</v>
      </c>
      <c r="K129" s="1698"/>
      <c r="L129" s="16"/>
      <c r="M129" s="24">
        <f>Q129*S129*BD129</f>
        <v>0</v>
      </c>
      <c r="N129" s="47" t="str">
        <f t="shared" si="55"/>
        <v>MJ</v>
      </c>
      <c r="O129" s="909"/>
      <c r="P129" s="39"/>
      <c r="Q129" s="59">
        <f>IFERROR(IF(AND(P129&lt;&gt;"",$BA129=1),P129,BB129),1)</f>
        <v>1</v>
      </c>
      <c r="R129" s="15"/>
      <c r="S129" s="25"/>
      <c r="T129" s="47" t="str">
        <f>IFERROR(INDEX(energiedragers_EP_eenheden,MATCH($J129,tabellen_EMD!$C$196:$C$204,0),MATCH($B129,energiedragers_EP_eenheden_titel,0)),"-")</f>
        <v>m3 aeq</v>
      </c>
      <c r="U129" s="39"/>
      <c r="V129" s="15"/>
      <c r="W129" s="59">
        <f>IF(AND(V129&lt;&gt;"",$BA129=1),V129,BG129)</f>
        <v>1.78</v>
      </c>
      <c r="X129" s="47" t="str">
        <f t="shared" si="56"/>
        <v>kg/m3 aeq</v>
      </c>
      <c r="Y129" s="12"/>
      <c r="Z129" s="24">
        <f>S129*W129*ABS(AZ129)</f>
        <v>0</v>
      </c>
      <c r="AA129" s="47" t="s">
        <v>468</v>
      </c>
      <c r="AB129" s="67"/>
      <c r="AC129" s="995"/>
      <c r="AD129" s="1405"/>
      <c r="AE129" s="1405"/>
      <c r="AF129" s="1405"/>
      <c r="AG129" s="1405"/>
      <c r="AH129" s="1405"/>
      <c r="AI129" s="1405"/>
      <c r="AJ129" s="1405"/>
      <c r="AK129" s="1405"/>
      <c r="AL129" s="1405"/>
      <c r="AM129" s="1405"/>
      <c r="AN129" s="1405"/>
      <c r="AO129" s="1405"/>
      <c r="AP129" s="1405"/>
      <c r="AQ129" s="1405"/>
      <c r="AR129" s="1405"/>
      <c r="AS129" s="67"/>
      <c r="AT129" s="995"/>
      <c r="AU129" s="12"/>
      <c r="AV129" s="22" t="str">
        <f t="shared" si="53"/>
        <v>gas (tbv verwarming / tapwater)</v>
      </c>
      <c r="AW129" s="46" t="str">
        <f t="shared" si="54"/>
        <v>aardgas</v>
      </c>
      <c r="AX129" s="24"/>
      <c r="AY129" s="12"/>
      <c r="AZ129" s="115">
        <v>1</v>
      </c>
      <c r="BA129" s="24">
        <f>IFERROR(INDEX(tabellen_EMD!$C$185:$N$193,MATCH($J129,tabellen_EMD!$C$185:$C$193,0),MATCH(BA$63,tabellen_EMD!$C$185:$N$185,0)),0)</f>
        <v>0</v>
      </c>
      <c r="BB129" s="115">
        <f>VLOOKUP($J129,energiedragers_EP_PEF,MATCH(_xlfn.CONCAT($C$65," | PEF"),energiedragers_EP_PEF_titel,0),FALSE)</f>
        <v>1</v>
      </c>
      <c r="BC129" s="899"/>
      <c r="BD129" s="115">
        <f t="shared" si="57"/>
        <v>35.17</v>
      </c>
      <c r="BE129" s="47" t="str">
        <f t="shared" si="58"/>
        <v>MJ/m3 aeq</v>
      </c>
      <c r="BF129" s="899"/>
      <c r="BG129" s="218">
        <f>IFERROR(INDEX(tabellen_EMD!$C$240:$Z$248,MATCH($J129,tabellen_EMD!$C$240:$C$248,0),MATCH($B129,tabellen_EMD!$C$240:$Z$240,0))*(F129&lt;&gt;"zomercomfort"),0)</f>
        <v>1.78</v>
      </c>
      <c r="BH129" s="47" t="str">
        <f t="shared" si="59"/>
        <v>kg/m3 aeq</v>
      </c>
      <c r="BI129" s="899"/>
    </row>
    <row r="130" spans="1:61" hidden="1">
      <c r="A130" s="139" t="s">
        <v>396</v>
      </c>
      <c r="B130" s="47" t="str">
        <f t="shared" si="52"/>
        <v>Uniec 2 finaal</v>
      </c>
      <c r="C130" s="47" t="str">
        <f t="shared" si="52"/>
        <v>NEN 7120</v>
      </c>
      <c r="D130" s="943"/>
      <c r="E130" s="14"/>
      <c r="F130" s="22" t="s">
        <v>1449</v>
      </c>
      <c r="G130" s="22"/>
      <c r="H130" s="22"/>
      <c r="I130" s="905"/>
      <c r="J130" s="1691" t="s">
        <v>467</v>
      </c>
      <c r="K130" s="1698"/>
      <c r="L130" s="16"/>
      <c r="M130" s="24">
        <f>Q130*S130*BD130</f>
        <v>0</v>
      </c>
      <c r="N130" s="47" t="str">
        <f t="shared" si="55"/>
        <v>MJ</v>
      </c>
      <c r="O130" s="909"/>
      <c r="P130" s="1326"/>
      <c r="Q130" s="59">
        <f>IFERROR(IF(AND(P130&lt;&gt;"",$BA130=1),P130,BB130),1)</f>
        <v>1</v>
      </c>
      <c r="R130" s="15"/>
      <c r="S130" s="25"/>
      <c r="T130" s="47" t="str">
        <f>IFERROR(INDEX(energiedragers_EP_eenheden,MATCH($J130,tabellen_EMD!$C$196:$C$204,0),MATCH($B130,energiedragers_EP_eenheden_titel,0)),"-")</f>
        <v>MJ</v>
      </c>
      <c r="U130" s="39"/>
      <c r="V130" s="1326"/>
      <c r="W130" s="59">
        <f>IF(AND(V130&lt;&gt;"",$BA130=1),V130,BG130)</f>
        <v>0.109</v>
      </c>
      <c r="X130" s="47" t="str">
        <f t="shared" si="56"/>
        <v>kg/MJ</v>
      </c>
      <c r="Y130" s="12"/>
      <c r="Z130" s="24">
        <f>S130*W130*ABS(AZ130)</f>
        <v>0</v>
      </c>
      <c r="AA130" s="47" t="s">
        <v>468</v>
      </c>
      <c r="AB130" s="67"/>
      <c r="AC130" s="995"/>
      <c r="AD130" s="1405"/>
      <c r="AE130" s="1405"/>
      <c r="AF130" s="1405"/>
      <c r="AG130" s="1405"/>
      <c r="AH130" s="1405"/>
      <c r="AI130" s="1405"/>
      <c r="AJ130" s="1405"/>
      <c r="AK130" s="1405"/>
      <c r="AL130" s="1405"/>
      <c r="AM130" s="1405"/>
      <c r="AN130" s="1405"/>
      <c r="AO130" s="1405"/>
      <c r="AP130" s="1405"/>
      <c r="AQ130" s="1405"/>
      <c r="AR130" s="1405"/>
      <c r="AS130" s="67"/>
      <c r="AT130" s="995"/>
      <c r="AU130" s="12"/>
      <c r="AV130" s="22" t="str">
        <f t="shared" si="53"/>
        <v>biomassa (tbv verwarming / tapwater)</v>
      </c>
      <c r="AW130" s="46" t="str">
        <f t="shared" si="54"/>
        <v>hout / biomassa</v>
      </c>
      <c r="AX130" s="24"/>
      <c r="AY130" s="12"/>
      <c r="AZ130" s="115">
        <v>1</v>
      </c>
      <c r="BA130" s="24">
        <f>IFERROR(INDEX(tabellen_EMD!$C$185:$N$193,MATCH($J130,tabellen_EMD!$C$185:$C$193,0),MATCH(BA$63,tabellen_EMD!$C$185:$N$185,0)),0)</f>
        <v>1</v>
      </c>
      <c r="BB130" s="115">
        <f>VLOOKUP($J130,energiedragers_EP_PEF,MATCH(_xlfn.CONCAT($C$65," | PEF"),energiedragers_EP_PEF_titel,0),FALSE)</f>
        <v>1</v>
      </c>
      <c r="BC130" s="899"/>
      <c r="BD130" s="115">
        <f t="shared" si="57"/>
        <v>1</v>
      </c>
      <c r="BE130" s="47" t="str">
        <f t="shared" si="58"/>
        <v>MJ/MJ</v>
      </c>
      <c r="BF130" s="899"/>
      <c r="BG130" s="218">
        <f>IFERROR(INDEX(tabellen_EMD!$C$240:$Z$248,MATCH($J130,tabellen_EMD!$C$240:$C$248,0),MATCH($B130,tabellen_EMD!$C$240:$Z$240,0))*(F130&lt;&gt;"zomercomfort"),0)</f>
        <v>0.109</v>
      </c>
      <c r="BH130" s="47" t="str">
        <f t="shared" si="59"/>
        <v>kg/MJ</v>
      </c>
      <c r="BI130" s="899"/>
    </row>
    <row r="131" spans="1:61" hidden="1">
      <c r="A131" s="139" t="s">
        <v>396</v>
      </c>
      <c r="B131" s="47" t="str">
        <f>B130</f>
        <v>Uniec 2 finaal</v>
      </c>
      <c r="C131" s="47" t="str">
        <f>C130</f>
        <v>NEN 7120</v>
      </c>
      <c r="D131" s="943"/>
      <c r="E131" s="14"/>
      <c r="F131" s="52" t="s">
        <v>500</v>
      </c>
      <c r="G131" s="52"/>
      <c r="H131" s="52"/>
      <c r="I131" s="905"/>
      <c r="J131" s="1691" t="s">
        <v>1539</v>
      </c>
      <c r="K131" s="1698"/>
      <c r="L131" s="16"/>
      <c r="M131" s="24">
        <f>Q131*S131*BD131</f>
        <v>0</v>
      </c>
      <c r="N131" s="47" t="str">
        <f t="shared" si="55"/>
        <v>MJ</v>
      </c>
      <c r="O131" s="909"/>
      <c r="P131" s="1326"/>
      <c r="Q131" s="59">
        <f>IFERROR(IF(AND(P131&lt;&gt;"",$BA131=1),P131,BB131),1)</f>
        <v>0.90909090909090906</v>
      </c>
      <c r="R131" s="15"/>
      <c r="S131" s="789"/>
      <c r="T131" s="47" t="str">
        <f>IFERROR(INDEX(energiedragers_EP_eenheden,MATCH($J131,tabellen_EMD!$C$196:$C$204,0),MATCH($B131,energiedragers_EP_eenheden_titel,0)),"-")</f>
        <v>GJ</v>
      </c>
      <c r="U131" s="39"/>
      <c r="V131" s="1326"/>
      <c r="W131" s="59">
        <f>IF(AND(V131&lt;&gt;"",$BA131=1),V131,BG131)</f>
        <v>87.7</v>
      </c>
      <c r="X131" s="47" t="str">
        <f t="shared" si="56"/>
        <v>kg/GJ</v>
      </c>
      <c r="Y131" s="12"/>
      <c r="Z131" s="24">
        <f>S131*W131*ABS(AZ131)</f>
        <v>0</v>
      </c>
      <c r="AA131" s="47" t="s">
        <v>468</v>
      </c>
      <c r="AB131" s="67"/>
      <c r="AC131" s="995"/>
      <c r="AD131" s="1405"/>
      <c r="AE131" s="1405"/>
      <c r="AF131" s="1405"/>
      <c r="AG131" s="1405"/>
      <c r="AH131" s="1405"/>
      <c r="AI131" s="1405"/>
      <c r="AJ131" s="1405"/>
      <c r="AK131" s="1405"/>
      <c r="AL131" s="1405"/>
      <c r="AM131" s="1405"/>
      <c r="AN131" s="1405"/>
      <c r="AO131" s="1405"/>
      <c r="AP131" s="1405"/>
      <c r="AQ131" s="1405"/>
      <c r="AR131" s="1405"/>
      <c r="AS131" s="67"/>
      <c r="AT131" s="995"/>
      <c r="AU131" s="12"/>
      <c r="AV131" s="22" t="str">
        <f t="shared" si="53"/>
        <v>externe warmtelevering</v>
      </c>
      <c r="AW131" s="46" t="str">
        <f t="shared" si="54"/>
        <v>externe warmte</v>
      </c>
      <c r="AX131" s="24"/>
      <c r="AY131" s="12"/>
      <c r="AZ131" s="115">
        <v>1</v>
      </c>
      <c r="BA131" s="24">
        <f>IFERROR(INDEX(tabellen_EMD!$C$185:$N$193,MATCH($J131,tabellen_EMD!$C$185:$C$193,0),MATCH(BA$63,tabellen_EMD!$C$185:$N$185,0)),0)</f>
        <v>1</v>
      </c>
      <c r="BB131" s="115">
        <f>VLOOKUP($J131,energiedragers_EP_PEF,MATCH(_xlfn.CONCAT($C$65," | PEF"),energiedragers_EP_PEF_titel,0),FALSE)</f>
        <v>0.90909090909090906</v>
      </c>
      <c r="BC131" s="899"/>
      <c r="BD131" s="115">
        <f t="shared" si="57"/>
        <v>1000</v>
      </c>
      <c r="BE131" s="47" t="str">
        <f t="shared" si="58"/>
        <v>MJ/GJ</v>
      </c>
      <c r="BF131" s="899"/>
      <c r="BG131" s="218">
        <f>IFERROR(INDEX(tabellen_EMD!$C$240:$Z$248,MATCH($J131,tabellen_EMD!$C$240:$C$248,0),MATCH($B131,tabellen_EMD!$C$240:$Z$240,0))*(F131&lt;&gt;"zomercomfort"),0)</f>
        <v>87.7</v>
      </c>
      <c r="BH131" s="47" t="str">
        <f t="shared" si="59"/>
        <v>kg/GJ</v>
      </c>
      <c r="BI131" s="899"/>
    </row>
    <row r="132" spans="1:61" hidden="1">
      <c r="A132" s="139" t="s">
        <v>396</v>
      </c>
      <c r="B132" s="47" t="str">
        <f>B131</f>
        <v>Uniec 2 finaal</v>
      </c>
      <c r="C132" s="47" t="str">
        <f>C131</f>
        <v>NEN 7120</v>
      </c>
      <c r="D132" s="943"/>
      <c r="E132" s="14"/>
      <c r="F132" s="52" t="s">
        <v>1598</v>
      </c>
      <c r="G132" s="52"/>
      <c r="H132" s="52"/>
      <c r="I132" s="905"/>
      <c r="J132" s="1691" t="s">
        <v>1599</v>
      </c>
      <c r="K132" s="1698"/>
      <c r="L132" s="16"/>
      <c r="M132" s="24">
        <f>Q132*S132*BD132</f>
        <v>0</v>
      </c>
      <c r="N132" s="47" t="str">
        <f t="shared" si="55"/>
        <v>MJ</v>
      </c>
      <c r="O132" s="909"/>
      <c r="P132" s="1326"/>
      <c r="Q132" s="59">
        <f>IFERROR(IF(AND(P132&lt;&gt;"",$BA132=1),P132,BB132),1)</f>
        <v>0.90909090909090906</v>
      </c>
      <c r="R132" s="15"/>
      <c r="S132" s="789"/>
      <c r="T132" s="47" t="str">
        <f>IFERROR(INDEX(energiedragers_EP_eenheden,MATCH($J132,tabellen_EMD!$C$196:$C$204,0),MATCH($B132,energiedragers_EP_eenheden_titel,0)),"-")</f>
        <v>GJ</v>
      </c>
      <c r="U132" s="39"/>
      <c r="V132" s="1326"/>
      <c r="W132" s="59">
        <f>IF(AND(V132&lt;&gt;"",$BA132=1),V132,BG132)</f>
        <v>87.7</v>
      </c>
      <c r="X132" s="47" t="str">
        <f t="shared" si="56"/>
        <v>kg/GJ</v>
      </c>
      <c r="Y132" s="12"/>
      <c r="Z132" s="24">
        <f>S132*W132*ABS(AZ132)</f>
        <v>0</v>
      </c>
      <c r="AA132" s="47" t="s">
        <v>468</v>
      </c>
      <c r="AB132" s="67"/>
      <c r="AC132" s="995"/>
      <c r="AD132" s="1405"/>
      <c r="AE132" s="1405"/>
      <c r="AF132" s="1405"/>
      <c r="AG132" s="1405"/>
      <c r="AH132" s="1405"/>
      <c r="AI132" s="1405"/>
      <c r="AJ132" s="1405"/>
      <c r="AK132" s="1405"/>
      <c r="AL132" s="1405"/>
      <c r="AM132" s="1405"/>
      <c r="AN132" s="1405"/>
      <c r="AO132" s="1405"/>
      <c r="AP132" s="1405"/>
      <c r="AQ132" s="1405"/>
      <c r="AR132" s="1405"/>
      <c r="AS132" s="67"/>
      <c r="AT132" s="995"/>
      <c r="AU132" s="12"/>
      <c r="AV132" s="22" t="str">
        <f t="shared" si="53"/>
        <v>externe koudelevering</v>
      </c>
      <c r="AW132" s="46" t="str">
        <f t="shared" si="54"/>
        <v>externe koude</v>
      </c>
      <c r="AX132" s="24"/>
      <c r="AY132" s="12"/>
      <c r="AZ132" s="115">
        <v>1</v>
      </c>
      <c r="BA132" s="24">
        <f>IFERROR(INDEX(tabellen_EMD!$C$185:$N$193,MATCH($J132,tabellen_EMD!$C$185:$C$193,0),MATCH(BA$63,tabellen_EMD!$C$185:$N$185,0)),0)</f>
        <v>1</v>
      </c>
      <c r="BB132" s="115">
        <f>VLOOKUP($J132,energiedragers_EP_PEF,MATCH(_xlfn.CONCAT($C$65," | PEF"),energiedragers_EP_PEF_titel,0),FALSE)</f>
        <v>0.90909090909090906</v>
      </c>
      <c r="BC132" s="899"/>
      <c r="BD132" s="115">
        <f t="shared" si="57"/>
        <v>1000</v>
      </c>
      <c r="BE132" s="47" t="str">
        <f t="shared" si="58"/>
        <v>MJ/GJ</v>
      </c>
      <c r="BF132" s="899"/>
      <c r="BG132" s="218">
        <f>IFERROR(INDEX(tabellen_EMD!$C$240:$Z$248,MATCH($J132,tabellen_EMD!$C$240:$C$248,0),MATCH($B132,tabellen_EMD!$C$240:$Z$240,0))*(F132&lt;&gt;"zomercomfort"),0)</f>
        <v>87.7</v>
      </c>
      <c r="BH132" s="47" t="str">
        <f t="shared" si="59"/>
        <v>kg/GJ</v>
      </c>
      <c r="BI132" s="899"/>
    </row>
    <row r="133" spans="1:61" s="940" customFormat="1" hidden="1">
      <c r="A133" s="86"/>
      <c r="B133" s="47" t="str">
        <f>B131</f>
        <v>Uniec 2 finaal</v>
      </c>
      <c r="C133" s="47" t="str">
        <f>C131</f>
        <v>NEN 7120</v>
      </c>
      <c r="D133" s="943"/>
      <c r="E133" s="14"/>
      <c r="F133" s="15" t="s">
        <v>1391</v>
      </c>
      <c r="G133" s="15"/>
      <c r="H133" s="15"/>
      <c r="I133" s="905"/>
      <c r="J133" s="43" t="s">
        <v>1391</v>
      </c>
      <c r="K133" s="43"/>
      <c r="L133" s="16"/>
      <c r="M133" s="950">
        <f>SUM(M126,M129:M132)-M128</f>
        <v>0</v>
      </c>
      <c r="N133" s="15" t="str">
        <f t="shared" si="55"/>
        <v>MJ</v>
      </c>
      <c r="O133" s="15"/>
      <c r="P133" s="39"/>
      <c r="Q133" s="39"/>
      <c r="R133" s="15"/>
      <c r="S133" s="899"/>
      <c r="T133" s="899"/>
      <c r="U133" s="39"/>
      <c r="V133" s="39"/>
      <c r="W133" s="39"/>
      <c r="X133" s="39"/>
      <c r="Y133" s="12"/>
      <c r="Z133" s="950">
        <f>SUM(Z126,Z129:Z132)-Z128</f>
        <v>0</v>
      </c>
      <c r="AA133" s="15" t="s">
        <v>468</v>
      </c>
      <c r="AB133" s="67"/>
      <c r="AC133" s="995"/>
      <c r="AD133" s="1405"/>
      <c r="AE133" s="1405"/>
      <c r="AF133" s="1405"/>
      <c r="AG133" s="1405"/>
      <c r="AH133" s="1405"/>
      <c r="AI133" s="1405"/>
      <c r="AJ133" s="1405"/>
      <c r="AK133" s="1405"/>
      <c r="AL133" s="1405"/>
      <c r="AM133" s="1405"/>
      <c r="AN133" s="1405"/>
      <c r="AO133" s="1405"/>
      <c r="AP133" s="1405"/>
      <c r="AQ133" s="1405"/>
      <c r="AR133" s="1405"/>
      <c r="AS133" s="67"/>
      <c r="AT133" s="995"/>
      <c r="AU133" s="12"/>
      <c r="AV133" s="22" t="str">
        <f t="shared" si="53"/>
        <v>totaal</v>
      </c>
      <c r="AW133" s="46" t="str">
        <f t="shared" si="54"/>
        <v>totaal</v>
      </c>
      <c r="AX133" s="24"/>
      <c r="AY133" s="12"/>
      <c r="AZ133" s="12"/>
      <c r="BA133" s="12"/>
      <c r="BB133" s="12"/>
      <c r="BC133" s="899"/>
      <c r="BD133" s="899"/>
      <c r="BE133" s="899"/>
      <c r="BF133" s="899"/>
      <c r="BG133" s="15"/>
      <c r="BH133" s="15"/>
      <c r="BI133" s="899"/>
    </row>
    <row r="134" spans="1:61" s="49" customFormat="1" hidden="1">
      <c r="A134" s="212"/>
      <c r="B134" s="47" t="str">
        <f t="shared" si="52"/>
        <v>Uniec 2 finaal</v>
      </c>
      <c r="C134" s="47" t="str">
        <f t="shared" si="52"/>
        <v>NEN 7120</v>
      </c>
      <c r="D134" s="943"/>
      <c r="E134" s="50"/>
      <c r="F134" s="452" t="str">
        <f>IFERROR(IF($P$23=$B134,_xlfn.CONCAT("Bij 1.1 ingevuld: ",FIXED($J$35,2,FALSE)," ",$K$35),""),"invoer niet correct")</f>
        <v/>
      </c>
      <c r="G134" s="452"/>
      <c r="H134" s="452"/>
      <c r="I134" s="905"/>
      <c r="J134" s="909" t="str">
        <f>IFERROR(IF($P$23=$B134,IF(ABS((M134-$J$35)/$J$35)&gt;1%,"Afwijking &gt;1% met subthema 1.1",""),""),"invoer niet correct")</f>
        <v/>
      </c>
      <c r="K134" s="909"/>
      <c r="L134" s="910"/>
      <c r="M134" s="1339" t="str">
        <f>IFERROR(IF($P$23=$B134,M133/$J$59,""),"")</f>
        <v/>
      </c>
      <c r="N134" s="452" t="str">
        <f>IF($P$23=$B134,_xlfn.CONCAT(N133,"/m2"),"")</f>
        <v/>
      </c>
      <c r="O134" s="452"/>
      <c r="P134" s="39"/>
      <c r="Q134" s="39"/>
      <c r="R134" s="899"/>
      <c r="S134" s="899"/>
      <c r="T134" s="899"/>
      <c r="U134" s="39"/>
      <c r="V134" s="39"/>
      <c r="W134" s="910" t="str">
        <f>IFERROR(IF($P$23=$B134,_xlfn.CONCAT("Bij 1.1 ingevuld: ",FIXED($AG$40,1,FALSE)," ",$AH$40),""),"invoer niet correct")</f>
        <v/>
      </c>
      <c r="X134" s="909" t="str">
        <f>IFERROR(IF($P$23=$B134,IF(ABS((Z134-$AG$40)/$AG$40)&gt;1%,"afwijking &gt;1% met subthema 1.1",""),""),"invoer niet correct")</f>
        <v/>
      </c>
      <c r="Y134" s="12"/>
      <c r="Z134" s="951" t="str">
        <f>IFERROR(IF($P$23=$B134,Z133/$J$58,""),"")</f>
        <v/>
      </c>
      <c r="AA134" s="452" t="str">
        <f>IF($P$23=$B134,_xlfn.CONCAT(AA133,"/m2"),"")</f>
        <v/>
      </c>
      <c r="AB134" s="1393"/>
      <c r="AC134" s="1001"/>
      <c r="AD134" s="1405"/>
      <c r="AE134" s="1405"/>
      <c r="AF134" s="1405"/>
      <c r="AG134" s="1405"/>
      <c r="AH134" s="1405"/>
      <c r="AI134" s="1405"/>
      <c r="AJ134" s="1405"/>
      <c r="AK134" s="1405"/>
      <c r="AL134" s="1405"/>
      <c r="AM134" s="1405"/>
      <c r="AN134" s="1405"/>
      <c r="AO134" s="1405"/>
      <c r="AP134" s="1405"/>
      <c r="AQ134" s="1405"/>
      <c r="AR134" s="1405"/>
      <c r="AS134" s="1393"/>
      <c r="AT134" s="1001"/>
      <c r="AU134" s="12"/>
      <c r="AV134" s="452"/>
      <c r="AW134" s="452"/>
      <c r="AX134" s="452"/>
      <c r="AY134" s="452"/>
      <c r="AZ134" s="452"/>
      <c r="BA134" s="452"/>
      <c r="BB134" s="452"/>
      <c r="BC134" s="452"/>
      <c r="BD134" s="452"/>
      <c r="BE134" s="452"/>
      <c r="BF134" s="452"/>
      <c r="BG134" s="452"/>
      <c r="BH134" s="452"/>
      <c r="BI134" s="899"/>
    </row>
    <row r="135" spans="1:61" hidden="1">
      <c r="A135" s="86"/>
      <c r="B135" s="47" t="str">
        <f t="shared" si="52"/>
        <v>Uniec 2 finaal</v>
      </c>
      <c r="C135" s="47" t="str">
        <f t="shared" si="52"/>
        <v>NEN 7120</v>
      </c>
      <c r="D135" s="943"/>
      <c r="E135" s="14"/>
      <c r="F135" s="43"/>
      <c r="G135" s="43"/>
      <c r="H135" s="43"/>
      <c r="I135" s="905"/>
      <c r="J135" s="55"/>
      <c r="K135" s="55"/>
      <c r="L135" s="53"/>
      <c r="M135" s="55"/>
      <c r="N135" s="56"/>
      <c r="O135" s="148"/>
      <c r="P135" s="39"/>
      <c r="Q135" s="39"/>
      <c r="R135" s="53"/>
      <c r="S135" s="1"/>
      <c r="T135" s="53"/>
      <c r="U135" s="39"/>
      <c r="V135" s="39"/>
      <c r="W135" s="39"/>
      <c r="X135" s="39"/>
      <c r="Y135" s="12"/>
      <c r="Z135" s="16"/>
      <c r="AA135" s="13"/>
      <c r="AB135" s="67"/>
      <c r="AC135" s="995"/>
      <c r="AD135" s="1405"/>
      <c r="AE135" s="1405"/>
      <c r="AF135" s="1405"/>
      <c r="AG135" s="1405"/>
      <c r="AH135" s="1405"/>
      <c r="AI135" s="1405"/>
      <c r="AJ135" s="1405"/>
      <c r="AK135" s="1405"/>
      <c r="AL135" s="1405"/>
      <c r="AM135" s="1405"/>
      <c r="AN135" s="1405"/>
      <c r="AO135" s="1405"/>
      <c r="AP135" s="1405"/>
      <c r="AQ135" s="1405"/>
      <c r="AR135" s="1405"/>
      <c r="AS135" s="67"/>
      <c r="AT135" s="995"/>
      <c r="AU135" s="12"/>
      <c r="AV135" s="12"/>
      <c r="AW135" s="12"/>
      <c r="AX135" s="12"/>
      <c r="AY135" s="12"/>
      <c r="AZ135" s="54"/>
      <c r="BA135" s="12"/>
      <c r="BB135" s="54"/>
      <c r="BC135" s="148"/>
      <c r="BD135" s="1"/>
      <c r="BE135" s="1"/>
      <c r="BF135" s="148"/>
      <c r="BG135" s="54"/>
      <c r="BH135" s="16"/>
      <c r="BI135" s="148"/>
    </row>
    <row r="136" spans="1:61" s="49" customFormat="1">
      <c r="B136" s="939" t="str">
        <f>tabellen_EMD!$C$178</f>
        <v>VABI NTA 8800</v>
      </c>
      <c r="C136" s="939" t="str">
        <f>VLOOKUP(B136,'NTA 8800 naar GPR4'!$AV$40:$AY$48,COLUMNS($AV$40:$AX$40),FALSE)</f>
        <v>NTA 8800</v>
      </c>
      <c r="D136" s="943"/>
      <c r="E136" s="50"/>
      <c r="F136" s="15" t="str">
        <f>_xlfn.CONCAT("Overnemen uit '",B136,"': ",VLOOKUP(B136,$AV$41:$AZ$48,COLUMNS($AV$40:$AZ$40),FALSE))</f>
        <v>Overnemen uit 'VABI NTA 8800': Totale deelposten (niet primair)</v>
      </c>
      <c r="G136" s="43"/>
      <c r="H136" s="43"/>
      <c r="I136" s="905"/>
      <c r="J136" s="44"/>
      <c r="K136" s="44"/>
      <c r="L136" s="44"/>
      <c r="M136" s="909" t="s">
        <v>1485</v>
      </c>
      <c r="N136" s="41"/>
      <c r="O136" s="41"/>
      <c r="P136" s="453" t="s">
        <v>1487</v>
      </c>
      <c r="Q136" s="39"/>
      <c r="R136" s="39"/>
      <c r="S136" s="453" t="s">
        <v>1484</v>
      </c>
      <c r="T136" s="39"/>
      <c r="U136" s="39"/>
      <c r="V136" s="453" t="s">
        <v>1614</v>
      </c>
      <c r="W136" s="39"/>
      <c r="X136" s="39"/>
      <c r="Y136" s="12"/>
      <c r="Z136" s="453" t="s">
        <v>1536</v>
      </c>
      <c r="AA136" s="12"/>
      <c r="AB136" s="1393"/>
      <c r="AC136" s="1001"/>
      <c r="AD136" s="1405"/>
      <c r="AE136" s="1405"/>
      <c r="AF136" s="1405"/>
      <c r="AG136" s="1405"/>
      <c r="AH136" s="1405"/>
      <c r="AI136" s="1405"/>
      <c r="AJ136" s="1405"/>
      <c r="AK136" s="1405"/>
      <c r="AL136" s="1405"/>
      <c r="AM136" s="1405"/>
      <c r="AN136" s="1405"/>
      <c r="AO136" s="1405"/>
      <c r="AP136" s="1405"/>
      <c r="AQ136" s="1405"/>
      <c r="AR136" s="1405"/>
      <c r="AS136" s="1393"/>
      <c r="AT136" s="1001"/>
      <c r="AU136" s="12"/>
      <c r="AV136" s="12"/>
      <c r="AW136" s="12"/>
      <c r="AX136" s="12"/>
      <c r="AY136" s="12"/>
      <c r="AZ136" s="888" t="str">
        <f>AZ$63</f>
        <v>Eenheid energie</v>
      </c>
      <c r="BA136" s="888" t="s">
        <v>1628</v>
      </c>
      <c r="BB136" s="888" t="str">
        <f>BB$63</f>
        <v>PEF finaal → primair</v>
      </c>
      <c r="BC136" s="452"/>
      <c r="BD136" s="452" t="str">
        <f>BD$63</f>
        <v>eenheden omrekenen</v>
      </c>
      <c r="BE136" s="452"/>
      <c r="BF136" s="452"/>
      <c r="BG136" s="888" t="str">
        <f>BG$63</f>
        <v>CO2</v>
      </c>
      <c r="BH136" s="39"/>
      <c r="BI136" s="899"/>
    </row>
    <row r="137" spans="1:61">
      <c r="A137" s="49"/>
      <c r="B137" s="47" t="str">
        <f t="shared" ref="B137:C149" si="60">B136</f>
        <v>VABI NTA 8800</v>
      </c>
      <c r="C137" s="47" t="str">
        <f t="shared" si="60"/>
        <v>NTA 8800</v>
      </c>
      <c r="D137" s="943"/>
      <c r="E137" s="14"/>
      <c r="F137" s="892" t="s">
        <v>496</v>
      </c>
      <c r="G137" s="892"/>
      <c r="H137" s="892"/>
      <c r="I137" s="905"/>
      <c r="J137" s="909" t="s">
        <v>458</v>
      </c>
      <c r="K137" s="909"/>
      <c r="L137" s="889"/>
      <c r="M137" s="910" t="s">
        <v>1534</v>
      </c>
      <c r="N137" s="452" t="s">
        <v>204</v>
      </c>
      <c r="O137" s="39"/>
      <c r="P137" s="888" t="s">
        <v>1533</v>
      </c>
      <c r="Q137" s="910" t="s">
        <v>1532</v>
      </c>
      <c r="R137" s="452"/>
      <c r="S137" s="888" t="s">
        <v>1534</v>
      </c>
      <c r="T137" s="889" t="s">
        <v>204</v>
      </c>
      <c r="U137" s="39"/>
      <c r="V137" s="888" t="s">
        <v>1533</v>
      </c>
      <c r="W137" s="910" t="s">
        <v>1532</v>
      </c>
      <c r="X137" s="889" t="s">
        <v>204</v>
      </c>
      <c r="Y137" s="12"/>
      <c r="Z137" s="888" t="s">
        <v>1534</v>
      </c>
      <c r="AA137" s="889" t="s">
        <v>204</v>
      </c>
      <c r="AB137" s="67"/>
      <c r="AC137" s="995"/>
      <c r="AD137" s="1405"/>
      <c r="AE137" s="1405"/>
      <c r="AF137" s="1405"/>
      <c r="AG137" s="1405"/>
      <c r="AH137" s="1405"/>
      <c r="AI137" s="1405"/>
      <c r="AJ137" s="1405"/>
      <c r="AK137" s="1405"/>
      <c r="AL137" s="1405"/>
      <c r="AM137" s="1405"/>
      <c r="AN137" s="1405"/>
      <c r="AO137" s="1405"/>
      <c r="AP137" s="1405"/>
      <c r="AQ137" s="1405"/>
      <c r="AR137" s="1405"/>
      <c r="AS137" s="67"/>
      <c r="AT137" s="995"/>
      <c r="AU137" s="12"/>
      <c r="AV137" s="892" t="str">
        <f t="shared" ref="AV137:AV148" si="61">F137</f>
        <v>energiefunctie</v>
      </c>
      <c r="AW137" s="452" t="str">
        <f t="shared" ref="AW137:AW148" si="62">J137</f>
        <v>energiedrager</v>
      </c>
      <c r="AX137" s="910"/>
      <c r="AY137" s="12"/>
      <c r="AZ137" s="888" t="str">
        <f>AZ$64</f>
        <v>pos/neg</v>
      </c>
      <c r="BA137" s="888"/>
      <c r="BB137" s="888" t="str">
        <f>BB$64</f>
        <v>default</v>
      </c>
      <c r="BC137" s="452"/>
      <c r="BD137" s="452" t="str">
        <f>BD$64</f>
        <v>waarde</v>
      </c>
      <c r="BE137" s="452" t="str">
        <f>BE$64</f>
        <v>eenheden</v>
      </c>
      <c r="BF137" s="452"/>
      <c r="BG137" s="888" t="str">
        <f>BG$64</f>
        <v>default</v>
      </c>
      <c r="BH137" s="888" t="str">
        <f>BH$64</f>
        <v>eenheid</v>
      </c>
      <c r="BI137" s="452"/>
    </row>
    <row r="138" spans="1:61">
      <c r="A138" s="86"/>
      <c r="B138" s="47" t="str">
        <f t="shared" si="60"/>
        <v>VABI NTA 8800</v>
      </c>
      <c r="C138" s="47" t="str">
        <f t="shared" si="60"/>
        <v>NTA 8800</v>
      </c>
      <c r="D138" s="943"/>
      <c r="E138" s="14"/>
      <c r="F138" s="22" t="s">
        <v>501</v>
      </c>
      <c r="G138" s="22"/>
      <c r="H138" s="22"/>
      <c r="I138" s="905"/>
      <c r="J138" s="1691" t="s">
        <v>465</v>
      </c>
      <c r="K138" s="1698"/>
      <c r="L138" s="16"/>
      <c r="M138" s="24">
        <f t="shared" ref="M138:M147" si="63">Q138*S138*BD138</f>
        <v>0</v>
      </c>
      <c r="N138" s="47" t="str">
        <f t="shared" ref="N138:N148" si="64">INDEX(EP_methode_eenheid,1,MATCH($C138,EP_methode,0))</f>
        <v>kWh</v>
      </c>
      <c r="O138" s="909"/>
      <c r="P138" s="39"/>
      <c r="Q138" s="59">
        <f t="shared" ref="Q138:Q147" si="65">IFERROR(IF(AND(P138&lt;&gt;"",$BA138=1),P138,BB138),1)</f>
        <v>1.45</v>
      </c>
      <c r="R138" s="15"/>
      <c r="S138" s="25"/>
      <c r="T138" s="47" t="str">
        <f>IFERROR(INDEX(energiedragers_EP_eenheden,MATCH($J138,tabellen_EMD!$C$196:$C$204,0),MATCH($B138,energiedragers_EP_eenheden_titel,0)),"-")</f>
        <v>kWh</v>
      </c>
      <c r="U138" s="39"/>
      <c r="V138" s="15"/>
      <c r="W138" s="59">
        <f t="shared" ref="W138:W147" si="66">IF(AND(V138&lt;&gt;"",$BA138=1),V138,BG138)</f>
        <v>0.34</v>
      </c>
      <c r="X138" s="47" t="str">
        <f t="shared" ref="X138:X147" si="67">BH138</f>
        <v>kg/kWh</v>
      </c>
      <c r="Y138" s="12"/>
      <c r="Z138" s="24">
        <f t="shared" ref="Z138:Z147" si="68">S138*W138*ABS(AZ138)</f>
        <v>0</v>
      </c>
      <c r="AA138" s="47" t="s">
        <v>468</v>
      </c>
      <c r="AB138" s="67"/>
      <c r="AC138" s="995"/>
      <c r="AD138" s="1405"/>
      <c r="AE138" s="1405"/>
      <c r="AF138" s="1405"/>
      <c r="AG138" s="1405"/>
      <c r="AH138" s="1405"/>
      <c r="AI138" s="1405"/>
      <c r="AJ138" s="1405"/>
      <c r="AK138" s="1405"/>
      <c r="AL138" s="1405"/>
      <c r="AM138" s="1405"/>
      <c r="AN138" s="1405"/>
      <c r="AO138" s="1405"/>
      <c r="AP138" s="1405"/>
      <c r="AQ138" s="1405"/>
      <c r="AR138" s="1405"/>
      <c r="AS138" s="67"/>
      <c r="AT138" s="995"/>
      <c r="AU138" s="12"/>
      <c r="AV138" s="22" t="str">
        <f t="shared" si="61"/>
        <v>ventilatie</v>
      </c>
      <c r="AW138" s="46" t="str">
        <f t="shared" si="62"/>
        <v>elektriciteit</v>
      </c>
      <c r="AX138" s="24"/>
      <c r="AY138" s="12"/>
      <c r="AZ138" s="115">
        <v>1</v>
      </c>
      <c r="BA138" s="24">
        <f>IFERROR(INDEX(tabellen_EMD!$C$185:$N$193,MATCH($J138,tabellen_EMD!$C$185:$C$193,0),MATCH(BA$63,tabellen_EMD!$C$185:$N$185,0)),0)</f>
        <v>0</v>
      </c>
      <c r="BB138" s="115">
        <f t="shared" ref="BB138:BB147" si="69">VLOOKUP($J138,energiedragers_EP_PEF,MATCH(_xlfn.CONCAT($C138," | PEF"),energiedragers_EP_PEF_titel,0),FALSE)</f>
        <v>1.45</v>
      </c>
      <c r="BC138" s="899"/>
      <c r="BD138" s="115">
        <f t="shared" ref="BD138:BD147" si="70">IFERROR(VLOOKUP($J138,energiedragers_EP_omrekenen,MATCH($B138,energiedragers_EP_omrekenen_titel,0),FALSE),1)</f>
        <v>1</v>
      </c>
      <c r="BE138" s="47" t="str">
        <f t="shared" ref="BE138:BE147" si="71">_xlfn.CONCAT(N138,"/",T138)</f>
        <v>kWh/kWh</v>
      </c>
      <c r="BF138" s="899"/>
      <c r="BG138" s="218">
        <f>IFERROR(INDEX(tabellen_EMD!$C$240:$Z$248,MATCH($J138,tabellen_EMD!$C$240:$C$248,0),MATCH($B138,tabellen_EMD!$C$240:$Z$240,0))*(F138&lt;&gt;"zomercomfort"),0)</f>
        <v>0.34</v>
      </c>
      <c r="BH138" s="47" t="str">
        <f t="shared" ref="BH138:BH147" si="72">"kg/"&amp;T138</f>
        <v>kg/kWh</v>
      </c>
      <c r="BI138" s="899"/>
    </row>
    <row r="139" spans="1:61">
      <c r="A139" s="49"/>
      <c r="B139" s="47" t="str">
        <f t="shared" si="60"/>
        <v>VABI NTA 8800</v>
      </c>
      <c r="C139" s="47" t="str">
        <f t="shared" si="60"/>
        <v>NTA 8800</v>
      </c>
      <c r="D139" s="943"/>
      <c r="E139" s="14"/>
      <c r="F139" s="22" t="s">
        <v>502</v>
      </c>
      <c r="G139" s="22"/>
      <c r="H139" s="22"/>
      <c r="I139" s="905"/>
      <c r="J139" s="1685"/>
      <c r="K139" s="1685"/>
      <c r="L139" s="16"/>
      <c r="M139" s="24">
        <f t="shared" si="63"/>
        <v>0</v>
      </c>
      <c r="N139" s="47" t="str">
        <f t="shared" si="64"/>
        <v>kWh</v>
      </c>
      <c r="O139" s="909"/>
      <c r="P139" s="154"/>
      <c r="Q139" s="59">
        <f t="shared" si="65"/>
        <v>1</v>
      </c>
      <c r="R139" s="15"/>
      <c r="S139" s="25"/>
      <c r="T139" s="47" t="str">
        <f>IFERROR(INDEX(energiedragers_EP_eenheden,MATCH($J139,tabellen_EMD!$C$196:$C$204,0),MATCH($B139,energiedragers_EP_eenheden_titel,0)),"-")</f>
        <v>-</v>
      </c>
      <c r="U139" s="39"/>
      <c r="V139" s="154"/>
      <c r="W139" s="59">
        <f t="shared" si="66"/>
        <v>0</v>
      </c>
      <c r="X139" s="47" t="str">
        <f t="shared" si="67"/>
        <v>kg/-</v>
      </c>
      <c r="Y139" s="12"/>
      <c r="Z139" s="24">
        <f t="shared" si="68"/>
        <v>0</v>
      </c>
      <c r="AA139" s="47" t="s">
        <v>468</v>
      </c>
      <c r="AB139" s="67"/>
      <c r="AC139" s="995"/>
      <c r="AD139" s="1405"/>
      <c r="AE139" s="1405"/>
      <c r="AF139" s="1405"/>
      <c r="AG139" s="1405"/>
      <c r="AH139" s="1405"/>
      <c r="AI139" s="1405"/>
      <c r="AJ139" s="1405"/>
      <c r="AK139" s="1405"/>
      <c r="AL139" s="1405"/>
      <c r="AM139" s="1405"/>
      <c r="AN139" s="1405"/>
      <c r="AO139" s="1405"/>
      <c r="AP139" s="1405"/>
      <c r="AQ139" s="1405"/>
      <c r="AR139" s="1405"/>
      <c r="AS139" s="67"/>
      <c r="AT139" s="995"/>
      <c r="AU139" s="12"/>
      <c r="AV139" s="22" t="str">
        <f t="shared" si="61"/>
        <v>verwarming</v>
      </c>
      <c r="AW139" s="46">
        <f t="shared" si="62"/>
        <v>0</v>
      </c>
      <c r="AX139" s="24"/>
      <c r="AY139" s="12"/>
      <c r="AZ139" s="115">
        <v>1</v>
      </c>
      <c r="BA139" s="24">
        <f>IFERROR(INDEX(tabellen_EMD!$C$185:$N$193,MATCH($J139,tabellen_EMD!$C$185:$C$193,0),MATCH(BA$63,tabellen_EMD!$C$185:$N$185,0)),0)</f>
        <v>0</v>
      </c>
      <c r="BB139" s="115" t="e">
        <f t="shared" si="69"/>
        <v>#N/A</v>
      </c>
      <c r="BC139" s="899"/>
      <c r="BD139" s="115">
        <f t="shared" si="70"/>
        <v>1</v>
      </c>
      <c r="BE139" s="47" t="str">
        <f t="shared" si="71"/>
        <v>kWh/-</v>
      </c>
      <c r="BF139" s="899"/>
      <c r="BG139" s="218">
        <f>IFERROR(INDEX(tabellen_EMD!$C$240:$Z$248,MATCH($J139,tabellen_EMD!$C$240:$C$248,0),MATCH($B139,tabellen_EMD!$C$240:$Z$240,0))*(F139&lt;&gt;"zomercomfort"),0)</f>
        <v>0</v>
      </c>
      <c r="BH139" s="47" t="str">
        <f t="shared" si="72"/>
        <v>kg/-</v>
      </c>
      <c r="BI139" s="899"/>
    </row>
    <row r="140" spans="1:61">
      <c r="A140" s="86"/>
      <c r="B140" s="47" t="str">
        <f t="shared" si="60"/>
        <v>VABI NTA 8800</v>
      </c>
      <c r="C140" s="47" t="str">
        <f t="shared" si="60"/>
        <v>NTA 8800</v>
      </c>
      <c r="D140" s="943"/>
      <c r="E140" s="14"/>
      <c r="F140" s="22" t="s">
        <v>503</v>
      </c>
      <c r="G140" s="22"/>
      <c r="H140" s="22"/>
      <c r="I140" s="905"/>
      <c r="J140" s="1685"/>
      <c r="K140" s="1685"/>
      <c r="L140" s="16"/>
      <c r="M140" s="24">
        <f t="shared" si="63"/>
        <v>0</v>
      </c>
      <c r="N140" s="47" t="str">
        <f t="shared" si="64"/>
        <v>kWh</v>
      </c>
      <c r="O140" s="909"/>
      <c r="P140" s="154"/>
      <c r="Q140" s="59">
        <f t="shared" si="65"/>
        <v>1</v>
      </c>
      <c r="R140" s="15"/>
      <c r="S140" s="25"/>
      <c r="T140" s="47" t="str">
        <f>IFERROR(INDEX(energiedragers_EP_eenheden,MATCH($J140,tabellen_EMD!$C$196:$C$204,0),MATCH($B140,energiedragers_EP_eenheden_titel,0)),"-")</f>
        <v>-</v>
      </c>
      <c r="U140" s="39"/>
      <c r="V140" s="154"/>
      <c r="W140" s="59">
        <f t="shared" si="66"/>
        <v>0</v>
      </c>
      <c r="X140" s="47" t="str">
        <f t="shared" si="67"/>
        <v>kg/-</v>
      </c>
      <c r="Y140" s="12"/>
      <c r="Z140" s="24">
        <f t="shared" si="68"/>
        <v>0</v>
      </c>
      <c r="AA140" s="47" t="s">
        <v>468</v>
      </c>
      <c r="AB140" s="67"/>
      <c r="AC140" s="995"/>
      <c r="AD140" s="1405"/>
      <c r="AE140" s="1405"/>
      <c r="AF140" s="1405"/>
      <c r="AG140" s="1405"/>
      <c r="AH140" s="1405"/>
      <c r="AI140" s="1405"/>
      <c r="AJ140" s="1405"/>
      <c r="AK140" s="1405"/>
      <c r="AL140" s="1405"/>
      <c r="AM140" s="1405"/>
      <c r="AN140" s="1405"/>
      <c r="AO140" s="1405"/>
      <c r="AP140" s="1405"/>
      <c r="AQ140" s="1405"/>
      <c r="AR140" s="1405"/>
      <c r="AS140" s="67"/>
      <c r="AT140" s="995"/>
      <c r="AU140" s="12"/>
      <c r="AV140" s="22" t="str">
        <f t="shared" si="61"/>
        <v>tapwater</v>
      </c>
      <c r="AW140" s="46">
        <f t="shared" si="62"/>
        <v>0</v>
      </c>
      <c r="AX140" s="24"/>
      <c r="AY140" s="12"/>
      <c r="AZ140" s="115">
        <v>1</v>
      </c>
      <c r="BA140" s="24">
        <f>IFERROR(INDEX(tabellen_EMD!$C$185:$N$193,MATCH($J140,tabellen_EMD!$C$185:$C$193,0),MATCH(BA$63,tabellen_EMD!$C$185:$N$185,0)),0)</f>
        <v>0</v>
      </c>
      <c r="BB140" s="115" t="e">
        <f t="shared" si="69"/>
        <v>#N/A</v>
      </c>
      <c r="BC140" s="899"/>
      <c r="BD140" s="115">
        <f t="shared" si="70"/>
        <v>1</v>
      </c>
      <c r="BE140" s="47" t="str">
        <f t="shared" si="71"/>
        <v>kWh/-</v>
      </c>
      <c r="BF140" s="899"/>
      <c r="BG140" s="218">
        <f>IFERROR(INDEX(tabellen_EMD!$C$240:$Z$248,MATCH($J140,tabellen_EMD!$C$240:$C$248,0),MATCH($B140,tabellen_EMD!$C$240:$Z$240,0))*(F140&lt;&gt;"zomercomfort"),0)</f>
        <v>0</v>
      </c>
      <c r="BH140" s="47" t="str">
        <f t="shared" si="72"/>
        <v>kg/-</v>
      </c>
      <c r="BI140" s="899"/>
    </row>
    <row r="141" spans="1:61">
      <c r="A141" s="86"/>
      <c r="B141" s="47" t="str">
        <f t="shared" si="60"/>
        <v>VABI NTA 8800</v>
      </c>
      <c r="C141" s="47" t="str">
        <f t="shared" si="60"/>
        <v>NTA 8800</v>
      </c>
      <c r="D141" s="943"/>
      <c r="E141" s="14"/>
      <c r="F141" s="22" t="s">
        <v>504</v>
      </c>
      <c r="G141" s="22"/>
      <c r="H141" s="22"/>
      <c r="I141" s="905"/>
      <c r="J141" s="1685"/>
      <c r="K141" s="1685"/>
      <c r="L141" s="16"/>
      <c r="M141" s="24">
        <f t="shared" si="63"/>
        <v>0</v>
      </c>
      <c r="N141" s="47" t="str">
        <f t="shared" si="64"/>
        <v>kWh</v>
      </c>
      <c r="O141" s="909"/>
      <c r="P141" s="154"/>
      <c r="Q141" s="59">
        <f t="shared" si="65"/>
        <v>1</v>
      </c>
      <c r="R141" s="15"/>
      <c r="S141" s="25"/>
      <c r="T141" s="47" t="str">
        <f>IFERROR(INDEX(energiedragers_EP_eenheden,MATCH($J141,tabellen_EMD!$C$196:$C$204,0),MATCH($B141,energiedragers_EP_eenheden_titel,0)),"-")</f>
        <v>-</v>
      </c>
      <c r="U141" s="39"/>
      <c r="V141" s="154"/>
      <c r="W141" s="59">
        <f t="shared" si="66"/>
        <v>0</v>
      </c>
      <c r="X141" s="47" t="str">
        <f t="shared" si="67"/>
        <v>kg/-</v>
      </c>
      <c r="Y141" s="12"/>
      <c r="Z141" s="24">
        <f t="shared" si="68"/>
        <v>0</v>
      </c>
      <c r="AA141" s="47" t="s">
        <v>468</v>
      </c>
      <c r="AB141" s="67"/>
      <c r="AC141" s="995"/>
      <c r="AD141" s="1405"/>
      <c r="AE141" s="1405"/>
      <c r="AF141" s="1405"/>
      <c r="AG141" s="1405"/>
      <c r="AH141" s="1405"/>
      <c r="AI141" s="1405"/>
      <c r="AJ141" s="1405"/>
      <c r="AK141" s="1405"/>
      <c r="AL141" s="1405"/>
      <c r="AM141" s="1405"/>
      <c r="AN141" s="1405"/>
      <c r="AO141" s="1405"/>
      <c r="AP141" s="1405"/>
      <c r="AQ141" s="1405"/>
      <c r="AR141" s="1405"/>
      <c r="AS141" s="67"/>
      <c r="AT141" s="995"/>
      <c r="AU141" s="12"/>
      <c r="AV141" s="22" t="str">
        <f t="shared" si="61"/>
        <v>koeling</v>
      </c>
      <c r="AW141" s="46">
        <f t="shared" si="62"/>
        <v>0</v>
      </c>
      <c r="AX141" s="24"/>
      <c r="AY141" s="12"/>
      <c r="AZ141" s="115">
        <v>1</v>
      </c>
      <c r="BA141" s="24">
        <f>IFERROR(INDEX(tabellen_EMD!$C$185:$N$193,MATCH($J141,tabellen_EMD!$C$185:$C$193,0),MATCH(BA$63,tabellen_EMD!$C$185:$N$185,0)),0)</f>
        <v>0</v>
      </c>
      <c r="BB141" s="115" t="e">
        <f t="shared" si="69"/>
        <v>#N/A</v>
      </c>
      <c r="BC141" s="899"/>
      <c r="BD141" s="115">
        <f t="shared" si="70"/>
        <v>1</v>
      </c>
      <c r="BE141" s="47" t="str">
        <f t="shared" si="71"/>
        <v>kWh/-</v>
      </c>
      <c r="BF141" s="899"/>
      <c r="BG141" s="218">
        <f>IFERROR(INDEX(tabellen_EMD!$C$240:$Z$248,MATCH($J141,tabellen_EMD!$C$240:$C$248,0),MATCH($B141,tabellen_EMD!$C$240:$Z$240,0))*(F141&lt;&gt;"zomercomfort"),0)</f>
        <v>0</v>
      </c>
      <c r="BH141" s="47" t="str">
        <f t="shared" si="72"/>
        <v>kg/-</v>
      </c>
      <c r="BI141" s="899"/>
    </row>
    <row r="142" spans="1:61">
      <c r="A142" s="86"/>
      <c r="B142" s="47" t="str">
        <f t="shared" si="60"/>
        <v>VABI NTA 8800</v>
      </c>
      <c r="C142" s="47" t="str">
        <f t="shared" si="60"/>
        <v>NTA 8800</v>
      </c>
      <c r="D142" s="943"/>
      <c r="E142" s="14"/>
      <c r="F142" s="22" t="s">
        <v>505</v>
      </c>
      <c r="G142" s="22"/>
      <c r="H142" s="22"/>
      <c r="I142" s="905"/>
      <c r="J142" s="1691" t="s">
        <v>465</v>
      </c>
      <c r="K142" s="1698"/>
      <c r="L142" s="16"/>
      <c r="M142" s="24">
        <f t="shared" si="63"/>
        <v>0</v>
      </c>
      <c r="N142" s="47" t="str">
        <f t="shared" si="64"/>
        <v>kWh</v>
      </c>
      <c r="O142" s="909"/>
      <c r="P142" s="39"/>
      <c r="Q142" s="59">
        <f t="shared" si="65"/>
        <v>1.45</v>
      </c>
      <c r="R142" s="15"/>
      <c r="S142" s="25"/>
      <c r="T142" s="47" t="str">
        <f>IFERROR(INDEX(energiedragers_EP_eenheden,MATCH($J142,tabellen_EMD!$C$196:$C$204,0),MATCH($B142,energiedragers_EP_eenheden_titel,0)),"-")</f>
        <v>kWh</v>
      </c>
      <c r="U142" s="39"/>
      <c r="V142" s="15"/>
      <c r="W142" s="59">
        <f t="shared" si="66"/>
        <v>0.34</v>
      </c>
      <c r="X142" s="47" t="str">
        <f t="shared" si="67"/>
        <v>kg/kWh</v>
      </c>
      <c r="Y142" s="12"/>
      <c r="Z142" s="24">
        <f t="shared" si="68"/>
        <v>0</v>
      </c>
      <c r="AA142" s="47" t="s">
        <v>468</v>
      </c>
      <c r="AB142" s="67"/>
      <c r="AC142" s="995"/>
      <c r="AD142" s="1405"/>
      <c r="AE142" s="1405"/>
      <c r="AF142" s="1405"/>
      <c r="AG142" s="1405"/>
      <c r="AH142" s="1405"/>
      <c r="AI142" s="1405"/>
      <c r="AJ142" s="1405"/>
      <c r="AK142" s="1405"/>
      <c r="AL142" s="1405"/>
      <c r="AM142" s="1405"/>
      <c r="AN142" s="1405"/>
      <c r="AO142" s="1405"/>
      <c r="AP142" s="1405"/>
      <c r="AQ142" s="1405"/>
      <c r="AR142" s="1405"/>
      <c r="AS142" s="67"/>
      <c r="AT142" s="995"/>
      <c r="AU142" s="12"/>
      <c r="AV142" s="22" t="str">
        <f t="shared" si="61"/>
        <v>bevochtiging</v>
      </c>
      <c r="AW142" s="46" t="str">
        <f t="shared" si="62"/>
        <v>elektriciteit</v>
      </c>
      <c r="AX142" s="24"/>
      <c r="AY142" s="12"/>
      <c r="AZ142" s="115">
        <v>1</v>
      </c>
      <c r="BA142" s="24">
        <f>IFERROR(INDEX(tabellen_EMD!$C$185:$N$193,MATCH($J142,tabellen_EMD!$C$185:$C$193,0),MATCH(BA$63,tabellen_EMD!$C$185:$N$185,0)),0)</f>
        <v>0</v>
      </c>
      <c r="BB142" s="115">
        <f t="shared" si="69"/>
        <v>1.45</v>
      </c>
      <c r="BC142" s="899"/>
      <c r="BD142" s="115">
        <f t="shared" si="70"/>
        <v>1</v>
      </c>
      <c r="BE142" s="47" t="str">
        <f t="shared" si="71"/>
        <v>kWh/kWh</v>
      </c>
      <c r="BF142" s="899"/>
      <c r="BG142" s="218">
        <f>IFERROR(INDEX(tabellen_EMD!$C$240:$Z$248,MATCH($J142,tabellen_EMD!$C$240:$C$248,0),MATCH($B142,tabellen_EMD!$C$240:$Z$240,0))*(F142&lt;&gt;"zomercomfort"),0)</f>
        <v>0.34</v>
      </c>
      <c r="BH142" s="47" t="str">
        <f t="shared" si="72"/>
        <v>kg/kWh</v>
      </c>
      <c r="BI142" s="899"/>
    </row>
    <row r="143" spans="1:61">
      <c r="A143" s="86"/>
      <c r="B143" s="47" t="str">
        <f t="shared" si="60"/>
        <v>VABI NTA 8800</v>
      </c>
      <c r="C143" s="47" t="str">
        <f t="shared" si="60"/>
        <v>NTA 8800</v>
      </c>
      <c r="D143" s="943"/>
      <c r="E143" s="14"/>
      <c r="F143" s="22" t="s">
        <v>506</v>
      </c>
      <c r="G143" s="22"/>
      <c r="H143" s="22"/>
      <c r="I143" s="905"/>
      <c r="J143" s="1691" t="s">
        <v>465</v>
      </c>
      <c r="K143" s="1698"/>
      <c r="L143" s="16"/>
      <c r="M143" s="24">
        <f t="shared" si="63"/>
        <v>0</v>
      </c>
      <c r="N143" s="47" t="str">
        <f t="shared" si="64"/>
        <v>kWh</v>
      </c>
      <c r="O143" s="909"/>
      <c r="P143" s="39"/>
      <c r="Q143" s="59">
        <f t="shared" si="65"/>
        <v>1.45</v>
      </c>
      <c r="R143" s="15"/>
      <c r="S143" s="25"/>
      <c r="T143" s="47" t="str">
        <f>IFERROR(INDEX(energiedragers_EP_eenheden,MATCH($J143,tabellen_EMD!$C$196:$C$204,0),MATCH($B143,energiedragers_EP_eenheden_titel,0)),"-")</f>
        <v>kWh</v>
      </c>
      <c r="U143" s="39"/>
      <c r="V143" s="15"/>
      <c r="W143" s="59">
        <f t="shared" si="66"/>
        <v>0.34</v>
      </c>
      <c r="X143" s="47" t="str">
        <f t="shared" si="67"/>
        <v>kg/kWh</v>
      </c>
      <c r="Y143" s="12"/>
      <c r="Z143" s="24">
        <f t="shared" si="68"/>
        <v>0</v>
      </c>
      <c r="AA143" s="47" t="s">
        <v>468</v>
      </c>
      <c r="AB143" s="67"/>
      <c r="AC143" s="995"/>
      <c r="AD143" s="1405"/>
      <c r="AE143" s="1405"/>
      <c r="AF143" s="1405"/>
      <c r="AG143" s="1405"/>
      <c r="AH143" s="1405"/>
      <c r="AI143" s="1405"/>
      <c r="AJ143" s="1405"/>
      <c r="AK143" s="1405"/>
      <c r="AL143" s="1405"/>
      <c r="AM143" s="1405"/>
      <c r="AN143" s="1405"/>
      <c r="AO143" s="1405"/>
      <c r="AP143" s="1405"/>
      <c r="AQ143" s="1405"/>
      <c r="AR143" s="1405"/>
      <c r="AS143" s="67"/>
      <c r="AT143" s="995"/>
      <c r="AU143" s="12"/>
      <c r="AV143" s="22" t="str">
        <f t="shared" si="61"/>
        <v>ontvochtiging</v>
      </c>
      <c r="AW143" s="46" t="str">
        <f t="shared" si="62"/>
        <v>elektriciteit</v>
      </c>
      <c r="AX143" s="24"/>
      <c r="AY143" s="12"/>
      <c r="AZ143" s="115">
        <v>1</v>
      </c>
      <c r="BA143" s="24">
        <f>IFERROR(INDEX(tabellen_EMD!$C$185:$N$193,MATCH($J143,tabellen_EMD!$C$185:$C$193,0),MATCH(BA$63,tabellen_EMD!$C$185:$N$185,0)),0)</f>
        <v>0</v>
      </c>
      <c r="BB143" s="115">
        <f t="shared" si="69"/>
        <v>1.45</v>
      </c>
      <c r="BC143" s="899"/>
      <c r="BD143" s="115">
        <f t="shared" si="70"/>
        <v>1</v>
      </c>
      <c r="BE143" s="47" t="str">
        <f t="shared" si="71"/>
        <v>kWh/kWh</v>
      </c>
      <c r="BF143" s="899"/>
      <c r="BG143" s="218">
        <f>IFERROR(INDEX(tabellen_EMD!$C$240:$Z$248,MATCH($J143,tabellen_EMD!$C$240:$C$248,0),MATCH($B143,tabellen_EMD!$C$240:$Z$240,0))*(F143&lt;&gt;"zomercomfort"),0)</f>
        <v>0.34</v>
      </c>
      <c r="BH143" s="47" t="str">
        <f t="shared" si="72"/>
        <v>kg/kWh</v>
      </c>
      <c r="BI143" s="899"/>
    </row>
    <row r="144" spans="1:61">
      <c r="A144" s="18"/>
      <c r="B144" s="47" t="str">
        <f t="shared" si="60"/>
        <v>VABI NTA 8800</v>
      </c>
      <c r="C144" s="47" t="str">
        <f t="shared" si="60"/>
        <v>NTA 8800</v>
      </c>
      <c r="D144" s="943"/>
      <c r="E144" s="14"/>
      <c r="F144" s="22" t="s">
        <v>507</v>
      </c>
      <c r="G144" s="22"/>
      <c r="H144" s="22"/>
      <c r="I144" s="905"/>
      <c r="J144" s="1691" t="s">
        <v>465</v>
      </c>
      <c r="K144" s="1698"/>
      <c r="L144" s="16"/>
      <c r="M144" s="24">
        <f t="shared" si="63"/>
        <v>0</v>
      </c>
      <c r="N144" s="47" t="str">
        <f t="shared" si="64"/>
        <v>kWh</v>
      </c>
      <c r="O144" s="909"/>
      <c r="P144" s="39"/>
      <c r="Q144" s="59">
        <f t="shared" si="65"/>
        <v>1.45</v>
      </c>
      <c r="R144" s="15"/>
      <c r="S144" s="25"/>
      <c r="T144" s="47" t="str">
        <f>IFERROR(INDEX(energiedragers_EP_eenheden,MATCH($J144,tabellen_EMD!$C$196:$C$204,0),MATCH($B144,energiedragers_EP_eenheden_titel,0)),"-")</f>
        <v>kWh</v>
      </c>
      <c r="U144" s="39"/>
      <c r="V144" s="15"/>
      <c r="W144" s="59">
        <f t="shared" si="66"/>
        <v>0.34</v>
      </c>
      <c r="X144" s="47" t="str">
        <f t="shared" si="67"/>
        <v>kg/kWh</v>
      </c>
      <c r="Y144" s="12"/>
      <c r="Z144" s="24">
        <f t="shared" si="68"/>
        <v>0</v>
      </c>
      <c r="AA144" s="47" t="s">
        <v>468</v>
      </c>
      <c r="AB144" s="67"/>
      <c r="AC144" s="995"/>
      <c r="AD144" s="1405"/>
      <c r="AE144" s="1405"/>
      <c r="AF144" s="1405"/>
      <c r="AG144" s="1405"/>
      <c r="AH144" s="1405"/>
      <c r="AI144" s="1405"/>
      <c r="AJ144" s="1405"/>
      <c r="AK144" s="1405"/>
      <c r="AL144" s="1405"/>
      <c r="AM144" s="1405"/>
      <c r="AN144" s="1405"/>
      <c r="AO144" s="1405"/>
      <c r="AP144" s="1405"/>
      <c r="AQ144" s="1405"/>
      <c r="AR144" s="1405"/>
      <c r="AS144" s="67"/>
      <c r="AT144" s="995"/>
      <c r="AU144" s="12"/>
      <c r="AV144" s="22" t="str">
        <f t="shared" si="61"/>
        <v>verlichting</v>
      </c>
      <c r="AW144" s="46" t="str">
        <f t="shared" si="62"/>
        <v>elektriciteit</v>
      </c>
      <c r="AX144" s="24"/>
      <c r="AY144" s="12"/>
      <c r="AZ144" s="115">
        <v>1</v>
      </c>
      <c r="BA144" s="24">
        <f>IFERROR(INDEX(tabellen_EMD!$C$185:$N$193,MATCH($J144,tabellen_EMD!$C$185:$C$193,0),MATCH(BA$63,tabellen_EMD!$C$185:$N$185,0)),0)</f>
        <v>0</v>
      </c>
      <c r="BB144" s="115">
        <f t="shared" si="69"/>
        <v>1.45</v>
      </c>
      <c r="BC144" s="899"/>
      <c r="BD144" s="115">
        <f t="shared" si="70"/>
        <v>1</v>
      </c>
      <c r="BE144" s="47" t="str">
        <f t="shared" si="71"/>
        <v>kWh/kWh</v>
      </c>
      <c r="BF144" s="899"/>
      <c r="BG144" s="218">
        <f>IFERROR(INDEX(tabellen_EMD!$C$240:$Z$248,MATCH($J144,tabellen_EMD!$C$240:$C$248,0),MATCH($B144,tabellen_EMD!$C$240:$Z$240,0))*(F144&lt;&gt;"zomercomfort"),0)</f>
        <v>0.34</v>
      </c>
      <c r="BH144" s="47" t="str">
        <f t="shared" si="72"/>
        <v>kg/kWh</v>
      </c>
      <c r="BI144" s="899"/>
    </row>
    <row r="145" spans="1:61" s="18" customFormat="1">
      <c r="A145" s="49"/>
      <c r="B145" s="47" t="str">
        <f t="shared" si="60"/>
        <v>VABI NTA 8800</v>
      </c>
      <c r="C145" s="47" t="str">
        <f t="shared" si="60"/>
        <v>NTA 8800</v>
      </c>
      <c r="D145" s="943"/>
      <c r="E145" s="14"/>
      <c r="F145" s="22" t="s">
        <v>508</v>
      </c>
      <c r="G145" s="22"/>
      <c r="H145" s="22"/>
      <c r="I145" s="905"/>
      <c r="J145" s="1691" t="s">
        <v>465</v>
      </c>
      <c r="K145" s="1698"/>
      <c r="L145" s="16"/>
      <c r="M145" s="24">
        <f t="shared" si="63"/>
        <v>0</v>
      </c>
      <c r="N145" s="47" t="str">
        <f t="shared" si="64"/>
        <v>kWh</v>
      </c>
      <c r="O145" s="909"/>
      <c r="P145" s="39"/>
      <c r="Q145" s="59">
        <f t="shared" si="65"/>
        <v>1.45</v>
      </c>
      <c r="R145" s="15"/>
      <c r="S145" s="25"/>
      <c r="T145" s="47" t="str">
        <f>IFERROR(INDEX(energiedragers_EP_eenheden,MATCH($J145,tabellen_EMD!$C$196:$C$204,0),MATCH($B145,energiedragers_EP_eenheden_titel,0)),"-")</f>
        <v>kWh</v>
      </c>
      <c r="U145" s="39"/>
      <c r="V145" s="15"/>
      <c r="W145" s="59">
        <f t="shared" si="66"/>
        <v>0.34</v>
      </c>
      <c r="X145" s="47" t="str">
        <f t="shared" si="67"/>
        <v>kg/kWh</v>
      </c>
      <c r="Y145" s="12"/>
      <c r="Z145" s="24">
        <f t="shared" si="68"/>
        <v>0</v>
      </c>
      <c r="AA145" s="47" t="s">
        <v>468</v>
      </c>
      <c r="AB145" s="67"/>
      <c r="AC145" s="995"/>
      <c r="AD145" s="1405"/>
      <c r="AE145" s="1405"/>
      <c r="AF145" s="1405"/>
      <c r="AG145" s="1405"/>
      <c r="AH145" s="1405"/>
      <c r="AI145" s="1405"/>
      <c r="AJ145" s="1405"/>
      <c r="AK145" s="1405"/>
      <c r="AL145" s="1405"/>
      <c r="AM145" s="1405"/>
      <c r="AN145" s="1405"/>
      <c r="AO145" s="1405"/>
      <c r="AP145" s="1405"/>
      <c r="AQ145" s="1405"/>
      <c r="AR145" s="1405"/>
      <c r="AS145" s="67"/>
      <c r="AT145" s="995"/>
      <c r="AU145" s="12"/>
      <c r="AV145" s="22" t="str">
        <f t="shared" si="61"/>
        <v>hulpenergie elektrisch</v>
      </c>
      <c r="AW145" s="46" t="str">
        <f t="shared" si="62"/>
        <v>elektriciteit</v>
      </c>
      <c r="AX145" s="24"/>
      <c r="AY145" s="12"/>
      <c r="AZ145" s="115">
        <v>1</v>
      </c>
      <c r="BA145" s="24">
        <f>IFERROR(INDEX(tabellen_EMD!$C$185:$N$193,MATCH($J145,tabellen_EMD!$C$185:$C$193,0),MATCH(BA$63,tabellen_EMD!$C$185:$N$185,0)),0)</f>
        <v>0</v>
      </c>
      <c r="BB145" s="115">
        <f t="shared" si="69"/>
        <v>1.45</v>
      </c>
      <c r="BC145" s="899"/>
      <c r="BD145" s="115">
        <f t="shared" si="70"/>
        <v>1</v>
      </c>
      <c r="BE145" s="47" t="str">
        <f t="shared" si="71"/>
        <v>kWh/kWh</v>
      </c>
      <c r="BF145" s="899"/>
      <c r="BG145" s="218">
        <f>IFERROR(INDEX(tabellen_EMD!$C$240:$Z$248,MATCH($J145,tabellen_EMD!$C$240:$C$248,0),MATCH($B145,tabellen_EMD!$C$240:$Z$240,0))*(F145&lt;&gt;"zomercomfort"),0)</f>
        <v>0.34</v>
      </c>
      <c r="BH145" s="47" t="str">
        <f t="shared" si="72"/>
        <v>kg/kWh</v>
      </c>
      <c r="BI145" s="899"/>
    </row>
    <row r="146" spans="1:61">
      <c r="A146" s="49"/>
      <c r="B146" s="47" t="str">
        <f t="shared" si="60"/>
        <v>VABI NTA 8800</v>
      </c>
      <c r="C146" s="47" t="str">
        <f t="shared" si="60"/>
        <v>NTA 8800</v>
      </c>
      <c r="D146" s="943"/>
      <c r="E146" s="14"/>
      <c r="F146" s="22" t="s">
        <v>1443</v>
      </c>
      <c r="G146" s="22"/>
      <c r="H146" s="22"/>
      <c r="I146" s="905"/>
      <c r="J146" s="1691" t="s">
        <v>463</v>
      </c>
      <c r="K146" s="1698"/>
      <c r="L146" s="16"/>
      <c r="M146" s="24">
        <f t="shared" si="63"/>
        <v>0</v>
      </c>
      <c r="N146" s="47" t="str">
        <f t="shared" si="64"/>
        <v>kWh</v>
      </c>
      <c r="O146" s="909"/>
      <c r="P146" s="39"/>
      <c r="Q146" s="59">
        <f t="shared" si="65"/>
        <v>1</v>
      </c>
      <c r="R146" s="15"/>
      <c r="S146" s="25"/>
      <c r="T146" s="47" t="str">
        <f>IFERROR(INDEX(energiedragers_EP_eenheden,MATCH($J146,tabellen_EMD!$C$196:$C$204,0),MATCH($B146,energiedragers_EP_eenheden_titel,0)),"-")</f>
        <v>kWh</v>
      </c>
      <c r="U146" s="39"/>
      <c r="V146" s="15"/>
      <c r="W146" s="59">
        <f t="shared" si="66"/>
        <v>0.183</v>
      </c>
      <c r="X146" s="47" t="str">
        <f t="shared" si="67"/>
        <v>kg/kWh</v>
      </c>
      <c r="Y146" s="12"/>
      <c r="Z146" s="24">
        <f t="shared" si="68"/>
        <v>0</v>
      </c>
      <c r="AA146" s="47" t="s">
        <v>468</v>
      </c>
      <c r="AB146" s="67"/>
      <c r="AC146" s="995"/>
      <c r="AD146" s="1405"/>
      <c r="AE146" s="1405"/>
      <c r="AF146" s="1405"/>
      <c r="AG146" s="1405"/>
      <c r="AH146" s="1405"/>
      <c r="AI146" s="1405"/>
      <c r="AJ146" s="1405"/>
      <c r="AK146" s="1405"/>
      <c r="AL146" s="1405"/>
      <c r="AM146" s="1405"/>
      <c r="AN146" s="1405"/>
      <c r="AO146" s="1405"/>
      <c r="AP146" s="1405"/>
      <c r="AQ146" s="1405"/>
      <c r="AR146" s="1405"/>
      <c r="AS146" s="67"/>
      <c r="AT146" s="995"/>
      <c r="AU146" s="12"/>
      <c r="AV146" s="22" t="str">
        <f t="shared" si="61"/>
        <v>hulpenergie waakvlam</v>
      </c>
      <c r="AW146" s="46" t="str">
        <f t="shared" si="62"/>
        <v>aardgas</v>
      </c>
      <c r="AX146" s="24"/>
      <c r="AY146" s="12"/>
      <c r="AZ146" s="115">
        <v>1</v>
      </c>
      <c r="BA146" s="24">
        <f>IFERROR(INDEX(tabellen_EMD!$C$185:$N$193,MATCH($J146,tabellen_EMD!$C$185:$C$193,0),MATCH(BA$63,tabellen_EMD!$C$185:$N$185,0)),0)</f>
        <v>0</v>
      </c>
      <c r="BB146" s="115">
        <f t="shared" si="69"/>
        <v>1</v>
      </c>
      <c r="BC146" s="899"/>
      <c r="BD146" s="115">
        <f t="shared" si="70"/>
        <v>1</v>
      </c>
      <c r="BE146" s="47" t="str">
        <f t="shared" si="71"/>
        <v>kWh/kWh</v>
      </c>
      <c r="BF146" s="899"/>
      <c r="BG146" s="218">
        <f>IFERROR(INDEX(tabellen_EMD!$C$240:$Z$248,MATCH($J146,tabellen_EMD!$C$240:$C$248,0),MATCH($B146,tabellen_EMD!$C$240:$Z$240,0))*(F146&lt;&gt;"zomercomfort"),0)</f>
        <v>0.183</v>
      </c>
      <c r="BH146" s="47" t="str">
        <f t="shared" si="72"/>
        <v>kg/kWh</v>
      </c>
      <c r="BI146" s="899"/>
    </row>
    <row r="147" spans="1:61">
      <c r="A147" s="86"/>
      <c r="B147" s="47" t="str">
        <f t="shared" si="60"/>
        <v>VABI NTA 8800</v>
      </c>
      <c r="C147" s="47" t="str">
        <f t="shared" si="60"/>
        <v>NTA 8800</v>
      </c>
      <c r="D147" s="943"/>
      <c r="E147" s="50"/>
      <c r="F147" s="22" t="s">
        <v>509</v>
      </c>
      <c r="G147" s="22"/>
      <c r="H147" s="22"/>
      <c r="I147" s="905"/>
      <c r="J147" s="1691" t="s">
        <v>466</v>
      </c>
      <c r="K147" s="1698"/>
      <c r="L147" s="16"/>
      <c r="M147" s="24">
        <f t="shared" si="63"/>
        <v>0</v>
      </c>
      <c r="N147" s="47" t="str">
        <f t="shared" si="64"/>
        <v>kWh</v>
      </c>
      <c r="O147" s="909"/>
      <c r="P147" s="39"/>
      <c r="Q147" s="59">
        <f t="shared" si="65"/>
        <v>1.45</v>
      </c>
      <c r="R147" s="15"/>
      <c r="S147" s="25"/>
      <c r="T147" s="47" t="str">
        <f>IFERROR(INDEX(energiedragers_EP_eenheden,MATCH($J147,tabellen_EMD!$C$196:$C$204,0),MATCH($B147,energiedragers_EP_eenheden_titel,0)),"-")</f>
        <v>kWh</v>
      </c>
      <c r="U147" s="39"/>
      <c r="V147" s="15"/>
      <c r="W147" s="59">
        <f t="shared" si="66"/>
        <v>0.34</v>
      </c>
      <c r="X147" s="47" t="str">
        <f t="shared" si="67"/>
        <v>kg/kWh</v>
      </c>
      <c r="Y147" s="12"/>
      <c r="Z147" s="24">
        <f t="shared" si="68"/>
        <v>0</v>
      </c>
      <c r="AA147" s="47" t="s">
        <v>468</v>
      </c>
      <c r="AB147" s="1393"/>
      <c r="AC147" s="1001"/>
      <c r="AD147" s="1405"/>
      <c r="AE147" s="1405"/>
      <c r="AF147" s="1405"/>
      <c r="AG147" s="1405"/>
      <c r="AH147" s="1405"/>
      <c r="AI147" s="1405"/>
      <c r="AJ147" s="1405"/>
      <c r="AK147" s="1405"/>
      <c r="AL147" s="1405"/>
      <c r="AM147" s="1405"/>
      <c r="AN147" s="1405"/>
      <c r="AO147" s="1405"/>
      <c r="AP147" s="1405"/>
      <c r="AQ147" s="1405"/>
      <c r="AR147" s="1405"/>
      <c r="AS147" s="1393"/>
      <c r="AT147" s="1001"/>
      <c r="AU147" s="12"/>
      <c r="AV147" s="22" t="str">
        <f t="shared" si="61"/>
        <v>elektriciteitsopwekking</v>
      </c>
      <c r="AW147" s="46" t="str">
        <f t="shared" si="62"/>
        <v>elektriciteit opgewekt</v>
      </c>
      <c r="AX147" s="24"/>
      <c r="AY147" s="12"/>
      <c r="AZ147" s="115">
        <v>1</v>
      </c>
      <c r="BA147" s="24">
        <f>IFERROR(INDEX(tabellen_EMD!$C$185:$N$193,MATCH($J147,tabellen_EMD!$C$185:$C$193,0),MATCH(BA$63,tabellen_EMD!$C$185:$N$185,0)),0)</f>
        <v>0</v>
      </c>
      <c r="BB147" s="115">
        <f t="shared" si="69"/>
        <v>1.45</v>
      </c>
      <c r="BC147" s="899"/>
      <c r="BD147" s="115">
        <f t="shared" si="70"/>
        <v>1</v>
      </c>
      <c r="BE147" s="47" t="str">
        <f t="shared" si="71"/>
        <v>kWh/kWh</v>
      </c>
      <c r="BF147" s="899"/>
      <c r="BG147" s="218">
        <f>IFERROR(INDEX(tabellen_EMD!$C$240:$Z$248,MATCH($J147,tabellen_EMD!$C$240:$C$248,0),MATCH($B147,tabellen_EMD!$C$240:$Z$240,0))*(F147&lt;&gt;"zomercomfort"),0)</f>
        <v>0.34</v>
      </c>
      <c r="BH147" s="47" t="str">
        <f t="shared" si="72"/>
        <v>kg/kWh</v>
      </c>
      <c r="BI147" s="899"/>
    </row>
    <row r="148" spans="1:61" s="940" customFormat="1">
      <c r="A148" s="49"/>
      <c r="B148" s="47" t="str">
        <f t="shared" si="60"/>
        <v>VABI NTA 8800</v>
      </c>
      <c r="C148" s="47" t="str">
        <f t="shared" si="60"/>
        <v>NTA 8800</v>
      </c>
      <c r="D148" s="943"/>
      <c r="E148" s="14"/>
      <c r="F148" s="15" t="s">
        <v>1391</v>
      </c>
      <c r="G148" s="951"/>
      <c r="H148" s="15"/>
      <c r="I148" s="905"/>
      <c r="J148" s="43" t="s">
        <v>1391</v>
      </c>
      <c r="K148" s="43"/>
      <c r="L148" s="16"/>
      <c r="M148" s="950">
        <f>SUM(M138:M146)-M147</f>
        <v>0</v>
      </c>
      <c r="N148" s="15" t="str">
        <f t="shared" si="64"/>
        <v>kWh</v>
      </c>
      <c r="O148" s="15"/>
      <c r="P148" s="39"/>
      <c r="Q148" s="39"/>
      <c r="R148" s="15"/>
      <c r="S148" s="899"/>
      <c r="T148" s="899"/>
      <c r="U148" s="39"/>
      <c r="V148" s="39"/>
      <c r="W148" s="39"/>
      <c r="X148" s="39"/>
      <c r="Y148" s="12"/>
      <c r="Z148" s="950">
        <f>SUM(Z138:Z145)-SUM(Z146:Z147)</f>
        <v>0</v>
      </c>
      <c r="AA148" s="15" t="s">
        <v>468</v>
      </c>
      <c r="AB148" s="67"/>
      <c r="AC148" s="995"/>
      <c r="AD148" s="1405"/>
      <c r="AE148" s="1405"/>
      <c r="AF148" s="1405"/>
      <c r="AG148" s="1405"/>
      <c r="AH148" s="1405"/>
      <c r="AI148" s="1405"/>
      <c r="AJ148" s="1405"/>
      <c r="AK148" s="1405"/>
      <c r="AL148" s="1405"/>
      <c r="AM148" s="1405"/>
      <c r="AN148" s="1405"/>
      <c r="AO148" s="1405"/>
      <c r="AP148" s="1405"/>
      <c r="AQ148" s="1405"/>
      <c r="AR148" s="1405"/>
      <c r="AS148" s="67"/>
      <c r="AT148" s="995"/>
      <c r="AU148" s="12"/>
      <c r="AV148" s="22" t="str">
        <f t="shared" si="61"/>
        <v>totaal</v>
      </c>
      <c r="AW148" s="46" t="str">
        <f t="shared" si="62"/>
        <v>totaal</v>
      </c>
      <c r="AX148" s="24"/>
      <c r="AY148" s="12"/>
      <c r="AZ148" s="12"/>
      <c r="BA148" s="12"/>
      <c r="BB148" s="12"/>
      <c r="BC148" s="899"/>
      <c r="BD148" s="899"/>
      <c r="BE148" s="899"/>
      <c r="BF148" s="899"/>
      <c r="BG148" s="15"/>
      <c r="BH148" s="15"/>
      <c r="BI148" s="899"/>
    </row>
    <row r="149" spans="1:61" s="49" customFormat="1">
      <c r="A149" s="212"/>
      <c r="B149" s="47" t="str">
        <f t="shared" si="60"/>
        <v>VABI NTA 8800</v>
      </c>
      <c r="C149" s="47" t="str">
        <f t="shared" si="60"/>
        <v>NTA 8800</v>
      </c>
      <c r="D149" s="943"/>
      <c r="E149" s="50"/>
      <c r="F149" s="452" t="str">
        <f>IFERROR(IF($P$23=$B149,_xlfn.CONCAT("Bij 1.1 ingevuld: ",FIXED($J$35,2,FALSE)," ",$K$35),""),"invoer niet correct")</f>
        <v/>
      </c>
      <c r="G149" s="452"/>
      <c r="H149" s="452"/>
      <c r="I149" s="905"/>
      <c r="J149" s="909" t="str">
        <f>IFERROR(IF($P$23=$B149,IF(ABS((M149-$J$35)/$J$35)&gt;1%,"Afwijking &gt;1% met subthema 1.1",""),""),"invoer niet correct")</f>
        <v/>
      </c>
      <c r="K149" s="909"/>
      <c r="L149" s="910"/>
      <c r="M149" s="1339" t="str">
        <f>IFERROR(IF($P$23=$B149,M148/$J$59,""),"")</f>
        <v/>
      </c>
      <c r="N149" s="452" t="str">
        <f>IF($P$23=$B149,_xlfn.CONCAT(N148,"/m2"),"")</f>
        <v/>
      </c>
      <c r="O149" s="452"/>
      <c r="P149" s="39"/>
      <c r="Q149" s="39"/>
      <c r="R149" s="899"/>
      <c r="S149" s="899"/>
      <c r="T149" s="899"/>
      <c r="U149" s="39"/>
      <c r="V149" s="39"/>
      <c r="W149" s="910" t="str">
        <f>IFERROR(IF($P$23=$B149,_xlfn.CONCAT("Bij 1.1 ingevuld: ",FIXED($AG$40,1,FALSE)," ",$AH$40),""),"invoer niet correct")</f>
        <v/>
      </c>
      <c r="X149" s="909" t="str">
        <f>IFERROR(IF($P$23=$B149,IF(ABS((Z149-$AG$40)/$AG$40)&gt;1%,"afwijking &gt;1% met subthema 1.1",""),""),"invoer niet correct")</f>
        <v/>
      </c>
      <c r="Y149" s="12"/>
      <c r="Z149" s="951" t="str">
        <f>IFERROR(IF($P$23=$B149,Z148/$J$58,""),"")</f>
        <v/>
      </c>
      <c r="AA149" s="452" t="str">
        <f>IF($P$23=$B149,_xlfn.CONCAT(AA148,"/m2"),"")</f>
        <v/>
      </c>
      <c r="AB149" s="1393"/>
      <c r="AC149" s="1001"/>
      <c r="AD149" s="1405"/>
      <c r="AE149" s="1405"/>
      <c r="AF149" s="1405"/>
      <c r="AG149" s="1405"/>
      <c r="AH149" s="1405"/>
      <c r="AI149" s="1405"/>
      <c r="AJ149" s="1405"/>
      <c r="AK149" s="1405"/>
      <c r="AL149" s="1405"/>
      <c r="AM149" s="1405"/>
      <c r="AN149" s="1405"/>
      <c r="AO149" s="1405"/>
      <c r="AP149" s="1405"/>
      <c r="AQ149" s="1405"/>
      <c r="AR149" s="1405"/>
      <c r="AS149" s="1393"/>
      <c r="AT149" s="1001"/>
      <c r="AU149" s="12"/>
      <c r="AV149" s="452"/>
      <c r="AW149" s="452"/>
      <c r="AX149" s="452"/>
      <c r="AY149" s="452"/>
      <c r="AZ149" s="452"/>
      <c r="BA149" s="452"/>
      <c r="BB149" s="452"/>
      <c r="BC149" s="452"/>
      <c r="BD149" s="452"/>
      <c r="BE149" s="452"/>
      <c r="BF149" s="452"/>
      <c r="BG149" s="452"/>
      <c r="BH149" s="452"/>
      <c r="BI149" s="899"/>
    </row>
    <row r="150" spans="1:61" s="49" customFormat="1">
      <c r="B150" s="47" t="str">
        <f>B149</f>
        <v>VABI NTA 8800</v>
      </c>
      <c r="C150" s="47" t="str">
        <f>C149</f>
        <v>NTA 8800</v>
      </c>
      <c r="D150" s="943"/>
      <c r="E150" s="50"/>
      <c r="F150" s="43"/>
      <c r="G150" s="43"/>
      <c r="H150" s="43"/>
      <c r="I150" s="905"/>
      <c r="J150" s="44"/>
      <c r="K150" s="44"/>
      <c r="L150" s="44"/>
      <c r="M150" s="917"/>
      <c r="N150" s="44"/>
      <c r="O150" s="44"/>
      <c r="P150" s="39"/>
      <c r="Q150" s="39"/>
      <c r="R150" s="899"/>
      <c r="S150" s="899"/>
      <c r="T150" s="899"/>
      <c r="U150" s="39"/>
      <c r="V150" s="39"/>
      <c r="W150" s="39"/>
      <c r="X150" s="39"/>
      <c r="Y150" s="12"/>
      <c r="Z150" s="899"/>
      <c r="AA150" s="899"/>
      <c r="AB150" s="1393"/>
      <c r="AC150" s="1001"/>
      <c r="AD150" s="1405"/>
      <c r="AE150" s="1405"/>
      <c r="AF150" s="1405"/>
      <c r="AG150" s="1405"/>
      <c r="AH150" s="1405"/>
      <c r="AI150" s="1405"/>
      <c r="AJ150" s="1405"/>
      <c r="AK150" s="1405"/>
      <c r="AL150" s="1405"/>
      <c r="AM150" s="1405"/>
      <c r="AN150" s="1405"/>
      <c r="AO150" s="1405"/>
      <c r="AP150" s="1405"/>
      <c r="AQ150" s="1405"/>
      <c r="AR150" s="1405"/>
      <c r="AS150" s="1393"/>
      <c r="AT150" s="1001"/>
      <c r="AU150" s="12"/>
      <c r="AV150" s="12"/>
      <c r="AW150" s="12"/>
      <c r="AX150" s="12"/>
      <c r="AY150" s="12"/>
      <c r="AZ150" s="44"/>
      <c r="BA150" s="12"/>
      <c r="BB150" s="44"/>
      <c r="BC150" s="899"/>
      <c r="BD150" s="899"/>
      <c r="BE150" s="899"/>
      <c r="BF150" s="899"/>
      <c r="BG150" s="899"/>
      <c r="BH150" s="899"/>
      <c r="BI150" s="899"/>
    </row>
    <row r="151" spans="1:61">
      <c r="A151" s="49"/>
      <c r="B151" s="939" t="str">
        <f>tabellen_EMD!$C$179</f>
        <v>Uniec 3 per functie</v>
      </c>
      <c r="C151" s="939" t="str">
        <f>VLOOKUP(B151,'NTA 8800 naar GPR4'!$AV$40:$AY$48,COLUMNS($AV$40:$AX$40),FALSE)</f>
        <v>NTA 8800</v>
      </c>
      <c r="D151" s="943"/>
      <c r="E151" s="14"/>
      <c r="F151" s="15" t="str">
        <f>_xlfn.CONCAT("Overnemen uit '",B151,"': ",VLOOKUP(B151,$AV$41:$AZ$48,COLUMNS($AV$40:$AZ$40),FALSE))</f>
        <v>Overnemen uit 'Uniec 3 per functie': Jaarlijkse hoeveelheid energiegebruik voor de energiefunctie</v>
      </c>
      <c r="G151" s="15"/>
      <c r="H151" s="15"/>
      <c r="I151" s="905"/>
      <c r="J151" s="41"/>
      <c r="K151" s="41"/>
      <c r="L151" s="12"/>
      <c r="M151" s="909" t="s">
        <v>1485</v>
      </c>
      <c r="N151" s="41"/>
      <c r="O151" s="41"/>
      <c r="P151" s="453" t="s">
        <v>1487</v>
      </c>
      <c r="Q151" s="39"/>
      <c r="R151" s="39"/>
      <c r="S151" s="453" t="s">
        <v>1484</v>
      </c>
      <c r="T151" s="39"/>
      <c r="U151" s="39"/>
      <c r="V151" s="453" t="s">
        <v>1613</v>
      </c>
      <c r="W151" s="39"/>
      <c r="X151" s="39"/>
      <c r="Y151" s="12"/>
      <c r="Z151" s="453" t="s">
        <v>1536</v>
      </c>
      <c r="AA151" s="12"/>
      <c r="AB151" s="67"/>
      <c r="AC151" s="995"/>
      <c r="AD151" s="1405"/>
      <c r="AE151" s="1405"/>
      <c r="AF151" s="1405"/>
      <c r="AG151" s="1405"/>
      <c r="AH151" s="1405"/>
      <c r="AI151" s="1405"/>
      <c r="AJ151" s="1405"/>
      <c r="AK151" s="1405"/>
      <c r="AL151" s="1405"/>
      <c r="AM151" s="1405"/>
      <c r="AN151" s="1405"/>
      <c r="AO151" s="1405"/>
      <c r="AP151" s="1405"/>
      <c r="AQ151" s="1405"/>
      <c r="AR151" s="1405"/>
      <c r="AS151" s="67"/>
      <c r="AT151" s="995"/>
      <c r="AU151" s="12"/>
      <c r="AV151" s="12"/>
      <c r="AW151" s="12"/>
      <c r="AX151" s="12"/>
      <c r="AY151" s="12"/>
      <c r="AZ151" s="888" t="str">
        <f>AZ$63</f>
        <v>Eenheid energie</v>
      </c>
      <c r="BA151" s="888" t="s">
        <v>1628</v>
      </c>
      <c r="BB151" s="888" t="str">
        <f>BB$63</f>
        <v>PEF finaal → primair</v>
      </c>
      <c r="BC151" s="452"/>
      <c r="BD151" s="452" t="str">
        <f>BD$63</f>
        <v>eenheden omrekenen</v>
      </c>
      <c r="BE151" s="452"/>
      <c r="BF151" s="452"/>
      <c r="BG151" s="888" t="str">
        <f>BG$63</f>
        <v>CO2</v>
      </c>
      <c r="BH151" s="39"/>
      <c r="BI151" s="39"/>
    </row>
    <row r="152" spans="1:61">
      <c r="A152" s="49"/>
      <c r="B152" s="47" t="str">
        <f t="shared" ref="B152:C167" si="73">B151</f>
        <v>Uniec 3 per functie</v>
      </c>
      <c r="C152" s="47" t="str">
        <f t="shared" si="73"/>
        <v>NTA 8800</v>
      </c>
      <c r="D152" s="943"/>
      <c r="E152" s="14"/>
      <c r="F152" s="892" t="s">
        <v>496</v>
      </c>
      <c r="G152" s="892"/>
      <c r="H152" s="892"/>
      <c r="I152" s="905"/>
      <c r="J152" s="909" t="s">
        <v>458</v>
      </c>
      <c r="K152" s="909"/>
      <c r="L152" s="889"/>
      <c r="M152" s="910" t="s">
        <v>1534</v>
      </c>
      <c r="N152" s="452" t="s">
        <v>204</v>
      </c>
      <c r="O152" s="39"/>
      <c r="P152" s="888" t="s">
        <v>1533</v>
      </c>
      <c r="Q152" s="910" t="s">
        <v>1532</v>
      </c>
      <c r="R152" s="452"/>
      <c r="S152" s="888" t="s">
        <v>1534</v>
      </c>
      <c r="T152" s="889" t="s">
        <v>204</v>
      </c>
      <c r="U152" s="39"/>
      <c r="V152" s="888" t="s">
        <v>1533</v>
      </c>
      <c r="W152" s="910" t="s">
        <v>1532</v>
      </c>
      <c r="X152" s="889" t="s">
        <v>204</v>
      </c>
      <c r="Y152" s="12"/>
      <c r="Z152" s="888" t="s">
        <v>1534</v>
      </c>
      <c r="AA152" s="889" t="s">
        <v>204</v>
      </c>
      <c r="AB152" s="67"/>
      <c r="AC152" s="995"/>
      <c r="AD152" s="1405"/>
      <c r="AE152" s="1405"/>
      <c r="AF152" s="1405"/>
      <c r="AG152" s="1405"/>
      <c r="AH152" s="1405"/>
      <c r="AI152" s="1405"/>
      <c r="AJ152" s="1405"/>
      <c r="AK152" s="1405"/>
      <c r="AL152" s="1405"/>
      <c r="AM152" s="1405"/>
      <c r="AN152" s="1405"/>
      <c r="AO152" s="1405"/>
      <c r="AP152" s="1405"/>
      <c r="AQ152" s="1405"/>
      <c r="AR152" s="1405"/>
      <c r="AS152" s="67"/>
      <c r="AT152" s="995"/>
      <c r="AU152" s="12"/>
      <c r="AV152" s="892" t="str">
        <f t="shared" ref="AV152:AV166" si="74">F152</f>
        <v>energiefunctie</v>
      </c>
      <c r="AW152" s="452" t="str">
        <f t="shared" ref="AW152:AW166" si="75">J152</f>
        <v>energiedrager</v>
      </c>
      <c r="AX152" s="910"/>
      <c r="AY152" s="12"/>
      <c r="AZ152" s="888" t="str">
        <f>AZ$64</f>
        <v>pos/neg</v>
      </c>
      <c r="BA152" s="888"/>
      <c r="BB152" s="888" t="str">
        <f>BB$64</f>
        <v>default</v>
      </c>
      <c r="BC152" s="452"/>
      <c r="BD152" s="452" t="str">
        <f>BD$64</f>
        <v>waarde</v>
      </c>
      <c r="BE152" s="452" t="str">
        <f>BE$64</f>
        <v>eenheden</v>
      </c>
      <c r="BF152" s="452"/>
      <c r="BG152" s="888" t="str">
        <f>BG$64</f>
        <v>default</v>
      </c>
      <c r="BH152" s="888" t="str">
        <f>BH$64</f>
        <v>eenheid</v>
      </c>
      <c r="BI152" s="452"/>
    </row>
    <row r="153" spans="1:61">
      <c r="A153" s="86"/>
      <c r="B153" s="47" t="str">
        <f>B156</f>
        <v>Uniec 3 per functie</v>
      </c>
      <c r="C153" s="47" t="str">
        <f>C156</f>
        <v>NTA 8800</v>
      </c>
      <c r="D153" s="943"/>
      <c r="E153" s="14"/>
      <c r="F153" s="22" t="s">
        <v>1508</v>
      </c>
      <c r="G153" s="22"/>
      <c r="H153" s="22"/>
      <c r="I153" s="905"/>
      <c r="J153" s="1685"/>
      <c r="K153" s="1685"/>
      <c r="L153" s="16"/>
      <c r="M153" s="25"/>
      <c r="N153" s="22" t="str">
        <f>INDEX(EP_methode_eenheid,1,MATCH($C153,EP_methode,0))</f>
        <v>kWh</v>
      </c>
      <c r="O153" s="15"/>
      <c r="P153" s="154"/>
      <c r="Q153" s="59">
        <f t="shared" ref="Q153:Q161" si="76">IFERROR(IF(AND(P153&lt;&gt;"",$BA153=1),P153,BB153),1)</f>
        <v>1</v>
      </c>
      <c r="R153" s="15"/>
      <c r="S153" s="59">
        <f t="shared" ref="S153:S161" si="77">M153/Q153/BD153</f>
        <v>0</v>
      </c>
      <c r="T153" s="47" t="str">
        <f>IFERROR(INDEX(energiedragers_EP_eenheden,MATCH($J153,tabellen_EMD!$C$196:$C$204,0),MATCH($B153,energiedragers_EP_eenheden_titel,0)),"-")</f>
        <v>-</v>
      </c>
      <c r="U153" s="213" t="s">
        <v>396</v>
      </c>
      <c r="V153" s="154"/>
      <c r="W153" s="59">
        <f t="shared" ref="W153:W161" si="78">IF(AND(V153&lt;&gt;"",$BA153=1),V153,BG153)</f>
        <v>0</v>
      </c>
      <c r="X153" s="47" t="str">
        <f t="shared" ref="X153:X165" si="79">BH153</f>
        <v>kg/-</v>
      </c>
      <c r="Y153" s="12"/>
      <c r="Z153" s="24">
        <f t="shared" ref="Z153:Z161" si="80">S153*W153*ABS(AZ153)</f>
        <v>0</v>
      </c>
      <c r="AA153" s="47" t="s">
        <v>468</v>
      </c>
      <c r="AB153" s="67"/>
      <c r="AC153" s="995"/>
      <c r="AD153" s="1405"/>
      <c r="AE153" s="1405"/>
      <c r="AF153" s="1405"/>
      <c r="AG153" s="1405"/>
      <c r="AH153" s="1405"/>
      <c r="AI153" s="1405"/>
      <c r="AJ153" s="1405"/>
      <c r="AK153" s="1405"/>
      <c r="AL153" s="1405"/>
      <c r="AM153" s="1405"/>
      <c r="AN153" s="1405"/>
      <c r="AO153" s="1405"/>
      <c r="AP153" s="1405"/>
      <c r="AQ153" s="1405"/>
      <c r="AR153" s="1405"/>
      <c r="AS153" s="67"/>
      <c r="AT153" s="995"/>
      <c r="AU153" s="12"/>
      <c r="AV153" s="22" t="str">
        <f t="shared" si="74"/>
        <v>koeling (excl. hulpenergie)</v>
      </c>
      <c r="AW153" s="46">
        <f t="shared" si="75"/>
        <v>0</v>
      </c>
      <c r="AX153" s="24"/>
      <c r="AY153" s="12"/>
      <c r="AZ153" s="115">
        <v>1</v>
      </c>
      <c r="BA153" s="24">
        <f>IFERROR(INDEX(tabellen_EMD!$C$185:$N$193,MATCH($J153,tabellen_EMD!$C$185:$C$193,0),MATCH(BA$63,tabellen_EMD!$C$185:$N$185,0)),0)</f>
        <v>0</v>
      </c>
      <c r="BB153" s="115" t="e">
        <f t="shared" ref="BB153:BB165" si="81">VLOOKUP($J153,energiedragers_EP_PEF,MATCH(_xlfn.CONCAT($C153," | PEF"),energiedragers_EP_PEF_titel,0),FALSE)</f>
        <v>#N/A</v>
      </c>
      <c r="BC153" s="15"/>
      <c r="BD153" s="115">
        <f t="shared" ref="BD153:BD161" si="82">IFERROR(VLOOKUP($J153,energiedragers_EP_omrekenen,MATCH($B153,energiedragers_EP_omrekenen_titel,0),FALSE),1)</f>
        <v>1</v>
      </c>
      <c r="BE153" s="47" t="str">
        <f t="shared" ref="BE153:BE161" si="83">_xlfn.CONCAT(N153,"/",T153)</f>
        <v>kWh/-</v>
      </c>
      <c r="BF153" s="15"/>
      <c r="BG153" s="218">
        <f>IFERROR(INDEX(tabellen_EMD!$C$240:$Z$248,MATCH($J153,tabellen_EMD!$C$240:$C$248,0),MATCH($B153,tabellen_EMD!$C$240:$Z$240,0))*(F153&lt;&gt;"zomercomfort"),0)</f>
        <v>0</v>
      </c>
      <c r="BH153" s="47" t="str">
        <f t="shared" ref="BH153:BH161" si="84">"kg/"&amp;T153</f>
        <v>kg/-</v>
      </c>
      <c r="BI153" s="15"/>
    </row>
    <row r="154" spans="1:61">
      <c r="A154" s="86"/>
      <c r="B154" s="47" t="str">
        <f>B153</f>
        <v>Uniec 3 per functie</v>
      </c>
      <c r="C154" s="47" t="str">
        <f>C153</f>
        <v>NTA 8800</v>
      </c>
      <c r="D154" s="943"/>
      <c r="E154" s="14"/>
      <c r="F154" s="209" t="s">
        <v>1502</v>
      </c>
      <c r="G154" s="209"/>
      <c r="H154" s="209"/>
      <c r="I154" s="905"/>
      <c r="J154" s="1691" t="s">
        <v>465</v>
      </c>
      <c r="K154" s="1698"/>
      <c r="L154" s="16"/>
      <c r="M154" s="25"/>
      <c r="N154" s="22" t="str">
        <f>INDEX(EP_methode_eenheid,1,MATCH($C154,EP_methode,0))</f>
        <v>kWh</v>
      </c>
      <c r="O154" s="15"/>
      <c r="P154" s="39"/>
      <c r="Q154" s="59">
        <f t="shared" si="76"/>
        <v>1.45</v>
      </c>
      <c r="R154" s="15"/>
      <c r="S154" s="24">
        <f t="shared" si="77"/>
        <v>0</v>
      </c>
      <c r="T154" s="47" t="str">
        <f>IFERROR(INDEX(energiedragers_EP_eenheden,MATCH($J154,tabellen_EMD!$C$196:$C$204,0),MATCH($B154,energiedragers_EP_eenheden_titel,0)),"-")</f>
        <v>kWh</v>
      </c>
      <c r="U154" s="39"/>
      <c r="V154" s="15"/>
      <c r="W154" s="59">
        <f t="shared" si="78"/>
        <v>0.34</v>
      </c>
      <c r="X154" s="47" t="str">
        <f t="shared" si="79"/>
        <v>kg/kWh</v>
      </c>
      <c r="Y154" s="12"/>
      <c r="Z154" s="24">
        <f t="shared" si="80"/>
        <v>0</v>
      </c>
      <c r="AA154" s="47" t="s">
        <v>468</v>
      </c>
      <c r="AB154" s="67"/>
      <c r="AC154" s="995"/>
      <c r="AD154" s="1405"/>
      <c r="AE154" s="1405"/>
      <c r="AF154" s="1405"/>
      <c r="AG154" s="1405"/>
      <c r="AH154" s="1405"/>
      <c r="AI154" s="1405"/>
      <c r="AJ154" s="1405"/>
      <c r="AK154" s="1405"/>
      <c r="AL154" s="1405"/>
      <c r="AM154" s="1405"/>
      <c r="AN154" s="1405"/>
      <c r="AO154" s="1405"/>
      <c r="AP154" s="1405"/>
      <c r="AQ154" s="1405"/>
      <c r="AR154" s="1405"/>
      <c r="AS154" s="67"/>
      <c r="AT154" s="995"/>
      <c r="AU154" s="12"/>
      <c r="AV154" s="22" t="str">
        <f t="shared" si="74"/>
        <v>hulpenergie</v>
      </c>
      <c r="AW154" s="46" t="str">
        <f t="shared" si="75"/>
        <v>elektriciteit</v>
      </c>
      <c r="AX154" s="24"/>
      <c r="AY154" s="12"/>
      <c r="AZ154" s="115">
        <v>1</v>
      </c>
      <c r="BA154" s="24">
        <f>IFERROR(INDEX(tabellen_EMD!$C$185:$N$193,MATCH($J154,tabellen_EMD!$C$185:$C$193,0),MATCH(BA$63,tabellen_EMD!$C$185:$N$185,0)),0)</f>
        <v>0</v>
      </c>
      <c r="BB154" s="115">
        <f t="shared" si="81"/>
        <v>1.45</v>
      </c>
      <c r="BC154" s="15"/>
      <c r="BD154" s="115">
        <f t="shared" si="82"/>
        <v>1</v>
      </c>
      <c r="BE154" s="47" t="str">
        <f t="shared" si="83"/>
        <v>kWh/kWh</v>
      </c>
      <c r="BF154" s="15"/>
      <c r="BG154" s="218">
        <f>IFERROR(INDEX(tabellen_EMD!$C$240:$Z$248,MATCH($J154,tabellen_EMD!$C$240:$C$248,0),MATCH($B154,tabellen_EMD!$C$240:$Z$240,0))*(F154&lt;&gt;"zomercomfort"),0)</f>
        <v>0.34</v>
      </c>
      <c r="BH154" s="47" t="str">
        <f t="shared" si="84"/>
        <v>kg/kWh</v>
      </c>
      <c r="BI154" s="15"/>
    </row>
    <row r="155" spans="1:61">
      <c r="A155" s="86"/>
      <c r="B155" s="47" t="str">
        <f>B158</f>
        <v>Uniec 3 per functie</v>
      </c>
      <c r="C155" s="47" t="str">
        <f>C158</f>
        <v>NTA 8800</v>
      </c>
      <c r="D155" s="943"/>
      <c r="E155" s="14"/>
      <c r="F155" s="22" t="s">
        <v>1507</v>
      </c>
      <c r="G155" s="22"/>
      <c r="H155" s="22"/>
      <c r="I155" s="905"/>
      <c r="J155" s="1685"/>
      <c r="K155" s="1685"/>
      <c r="L155" s="16"/>
      <c r="M155" s="25"/>
      <c r="N155" s="22" t="str">
        <f>INDEX(EP_methode_eenheid,1,MATCH($C155,EP_methode,0))</f>
        <v>kWh</v>
      </c>
      <c r="O155" s="15"/>
      <c r="P155" s="154"/>
      <c r="Q155" s="59">
        <f t="shared" si="76"/>
        <v>1</v>
      </c>
      <c r="R155" s="15"/>
      <c r="S155" s="24">
        <f t="shared" si="77"/>
        <v>0</v>
      </c>
      <c r="T155" s="47" t="str">
        <f>IFERROR(INDEX(energiedragers_EP_eenheden,MATCH($J155,tabellen_EMD!$C$196:$C$204,0),MATCH($B155,energiedragers_EP_eenheden_titel,0)),"-")</f>
        <v>-</v>
      </c>
      <c r="U155" s="39"/>
      <c r="V155" s="154"/>
      <c r="W155" s="59">
        <f t="shared" si="78"/>
        <v>0</v>
      </c>
      <c r="X155" s="47" t="str">
        <f t="shared" si="79"/>
        <v>kg/-</v>
      </c>
      <c r="Y155" s="12"/>
      <c r="Z155" s="24">
        <f t="shared" si="80"/>
        <v>0</v>
      </c>
      <c r="AA155" s="47" t="s">
        <v>468</v>
      </c>
      <c r="AB155" s="67"/>
      <c r="AC155" s="995"/>
      <c r="AD155" s="1405"/>
      <c r="AE155" s="1405"/>
      <c r="AF155" s="1405"/>
      <c r="AG155" s="1405"/>
      <c r="AH155" s="1405"/>
      <c r="AI155" s="1405"/>
      <c r="AJ155" s="1405"/>
      <c r="AK155" s="1405"/>
      <c r="AL155" s="1405"/>
      <c r="AM155" s="1405"/>
      <c r="AN155" s="1405"/>
      <c r="AO155" s="1405"/>
      <c r="AP155" s="1405"/>
      <c r="AQ155" s="1405"/>
      <c r="AR155" s="1405"/>
      <c r="AS155" s="67"/>
      <c r="AT155" s="995"/>
      <c r="AU155" s="12"/>
      <c r="AV155" s="22" t="str">
        <f t="shared" si="74"/>
        <v>warm tapwater (excl. hulpenergie)</v>
      </c>
      <c r="AW155" s="46">
        <f t="shared" si="75"/>
        <v>0</v>
      </c>
      <c r="AX155" s="24"/>
      <c r="AY155" s="12"/>
      <c r="AZ155" s="115">
        <v>1</v>
      </c>
      <c r="BA155" s="24">
        <f>IFERROR(INDEX(tabellen_EMD!$C$185:$N$193,MATCH($J155,tabellen_EMD!$C$185:$C$193,0),MATCH(BA$63,tabellen_EMD!$C$185:$N$185,0)),0)</f>
        <v>0</v>
      </c>
      <c r="BB155" s="115" t="e">
        <f t="shared" si="81"/>
        <v>#N/A</v>
      </c>
      <c r="BC155" s="15"/>
      <c r="BD155" s="115">
        <f t="shared" si="82"/>
        <v>1</v>
      </c>
      <c r="BE155" s="47" t="str">
        <f t="shared" si="83"/>
        <v>kWh/-</v>
      </c>
      <c r="BF155" s="15"/>
      <c r="BG155" s="218">
        <f>IFERROR(INDEX(tabellen_EMD!$C$240:$Z$248,MATCH($J155,tabellen_EMD!$C$240:$C$248,0),MATCH($B155,tabellen_EMD!$C$240:$Z$240,0))*(F155&lt;&gt;"zomercomfort"),0)</f>
        <v>0</v>
      </c>
      <c r="BH155" s="47" t="str">
        <f t="shared" si="84"/>
        <v>kg/-</v>
      </c>
      <c r="BI155" s="15"/>
    </row>
    <row r="156" spans="1:61">
      <c r="A156" s="86"/>
      <c r="B156" s="47" t="str">
        <f>B155</f>
        <v>Uniec 3 per functie</v>
      </c>
      <c r="C156" s="47" t="str">
        <f>C155</f>
        <v>NTA 8800</v>
      </c>
      <c r="D156" s="943"/>
      <c r="E156" s="14"/>
      <c r="F156" s="209" t="s">
        <v>1502</v>
      </c>
      <c r="G156" s="209"/>
      <c r="H156" s="209"/>
      <c r="I156" s="905"/>
      <c r="J156" s="1691" t="s">
        <v>465</v>
      </c>
      <c r="K156" s="1698"/>
      <c r="L156" s="16"/>
      <c r="M156" s="25"/>
      <c r="N156" s="22" t="str">
        <f>INDEX(EP_methode_eenheid,1,MATCH($C156,EP_methode,0))</f>
        <v>kWh</v>
      </c>
      <c r="O156" s="15"/>
      <c r="P156" s="39"/>
      <c r="Q156" s="59">
        <f t="shared" si="76"/>
        <v>1.45</v>
      </c>
      <c r="R156" s="15"/>
      <c r="S156" s="24">
        <f t="shared" si="77"/>
        <v>0</v>
      </c>
      <c r="T156" s="47" t="str">
        <f>IFERROR(INDEX(energiedragers_EP_eenheden,MATCH($J156,tabellen_EMD!$C$196:$C$204,0),MATCH($B156,energiedragers_EP_eenheden_titel,0)),"-")</f>
        <v>kWh</v>
      </c>
      <c r="U156" s="39"/>
      <c r="V156" s="15"/>
      <c r="W156" s="59">
        <f t="shared" si="78"/>
        <v>0.34</v>
      </c>
      <c r="X156" s="47" t="str">
        <f t="shared" si="79"/>
        <v>kg/kWh</v>
      </c>
      <c r="Y156" s="12"/>
      <c r="Z156" s="24">
        <f t="shared" si="80"/>
        <v>0</v>
      </c>
      <c r="AA156" s="47" t="s">
        <v>468</v>
      </c>
      <c r="AB156" s="67"/>
      <c r="AC156" s="995"/>
      <c r="AD156" s="1405"/>
      <c r="AE156" s="1405"/>
      <c r="AF156" s="1405"/>
      <c r="AG156" s="1405"/>
      <c r="AH156" s="1405"/>
      <c r="AI156" s="1405"/>
      <c r="AJ156" s="1405"/>
      <c r="AK156" s="1405"/>
      <c r="AL156" s="1405"/>
      <c r="AM156" s="1405"/>
      <c r="AN156" s="1405"/>
      <c r="AO156" s="1405"/>
      <c r="AP156" s="1405"/>
      <c r="AQ156" s="1405"/>
      <c r="AR156" s="1405"/>
      <c r="AS156" s="67"/>
      <c r="AT156" s="995"/>
      <c r="AU156" s="12"/>
      <c r="AV156" s="22" t="str">
        <f t="shared" si="74"/>
        <v>hulpenergie</v>
      </c>
      <c r="AW156" s="46" t="str">
        <f t="shared" si="75"/>
        <v>elektriciteit</v>
      </c>
      <c r="AX156" s="24"/>
      <c r="AY156" s="12"/>
      <c r="AZ156" s="115">
        <v>1</v>
      </c>
      <c r="BA156" s="24">
        <f>IFERROR(INDEX(tabellen_EMD!$C$185:$N$193,MATCH($J156,tabellen_EMD!$C$185:$C$193,0),MATCH(BA$63,tabellen_EMD!$C$185:$N$185,0)),0)</f>
        <v>0</v>
      </c>
      <c r="BB156" s="115">
        <f t="shared" si="81"/>
        <v>1.45</v>
      </c>
      <c r="BC156" s="15"/>
      <c r="BD156" s="115">
        <f t="shared" si="82"/>
        <v>1</v>
      </c>
      <c r="BE156" s="47" t="str">
        <f t="shared" si="83"/>
        <v>kWh/kWh</v>
      </c>
      <c r="BF156" s="15"/>
      <c r="BG156" s="218">
        <f>IFERROR(INDEX(tabellen_EMD!$C$240:$Z$248,MATCH($J156,tabellen_EMD!$C$240:$C$248,0),MATCH($B156,tabellen_EMD!$C$240:$Z$240,0))*(F156&lt;&gt;"zomercomfort"),0)</f>
        <v>0.34</v>
      </c>
      <c r="BH156" s="47" t="str">
        <f t="shared" si="84"/>
        <v>kg/kWh</v>
      </c>
      <c r="BI156" s="15"/>
    </row>
    <row r="157" spans="1:61">
      <c r="A157" s="86"/>
      <c r="B157" s="47" t="str">
        <f>B152</f>
        <v>Uniec 3 per functie</v>
      </c>
      <c r="C157" s="47" t="str">
        <f>C152</f>
        <v>NTA 8800</v>
      </c>
      <c r="D157" s="943"/>
      <c r="E157" s="14"/>
      <c r="F157" s="22" t="s">
        <v>1506</v>
      </c>
      <c r="G157" s="22"/>
      <c r="H157" s="22"/>
      <c r="I157" s="905"/>
      <c r="J157" s="1685"/>
      <c r="K157" s="1685"/>
      <c r="L157" s="16"/>
      <c r="M157" s="25"/>
      <c r="N157" s="22" t="str">
        <f t="shared" ref="N157:N166" si="85">INDEX(EP_methode_eenheid,1,MATCH($C157,EP_methode,0))</f>
        <v>kWh</v>
      </c>
      <c r="O157" s="15"/>
      <c r="P157" s="154"/>
      <c r="Q157" s="59">
        <f t="shared" si="76"/>
        <v>1</v>
      </c>
      <c r="R157" s="15"/>
      <c r="S157" s="24">
        <f t="shared" si="77"/>
        <v>0</v>
      </c>
      <c r="T157" s="47" t="str">
        <f>IFERROR(INDEX(energiedragers_EP_eenheden,MATCH($J157,tabellen_EMD!$C$196:$C$204,0),MATCH($B157,energiedragers_EP_eenheden_titel,0)),"-")</f>
        <v>-</v>
      </c>
      <c r="U157" s="39"/>
      <c r="V157" s="154"/>
      <c r="W157" s="59">
        <f t="shared" si="78"/>
        <v>0</v>
      </c>
      <c r="X157" s="47" t="str">
        <f t="shared" si="79"/>
        <v>kg/-</v>
      </c>
      <c r="Y157" s="12"/>
      <c r="Z157" s="24">
        <f t="shared" si="80"/>
        <v>0</v>
      </c>
      <c r="AA157" s="47" t="s">
        <v>468</v>
      </c>
      <c r="AB157" s="67"/>
      <c r="AC157" s="995"/>
      <c r="AD157" s="1405"/>
      <c r="AE157" s="1405"/>
      <c r="AF157" s="1405"/>
      <c r="AG157" s="1405"/>
      <c r="AH157" s="1405"/>
      <c r="AI157" s="1405"/>
      <c r="AJ157" s="1405"/>
      <c r="AK157" s="1405"/>
      <c r="AL157" s="1405"/>
      <c r="AM157" s="1405"/>
      <c r="AN157" s="1405"/>
      <c r="AO157" s="1405"/>
      <c r="AP157" s="1405"/>
      <c r="AQ157" s="1405"/>
      <c r="AR157" s="1405"/>
      <c r="AS157" s="67"/>
      <c r="AT157" s="995"/>
      <c r="AU157" s="12"/>
      <c r="AV157" s="22" t="str">
        <f t="shared" si="74"/>
        <v>verwarming (excl. hulpenergie)</v>
      </c>
      <c r="AW157" s="46">
        <f t="shared" si="75"/>
        <v>0</v>
      </c>
      <c r="AX157" s="24"/>
      <c r="AY157" s="12"/>
      <c r="AZ157" s="115">
        <v>1</v>
      </c>
      <c r="BA157" s="24">
        <f>IFERROR(INDEX(tabellen_EMD!$C$185:$N$193,MATCH($J157,tabellen_EMD!$C$185:$C$193,0),MATCH(BA$63,tabellen_EMD!$C$185:$N$185,0)),0)</f>
        <v>0</v>
      </c>
      <c r="BB157" s="115" t="e">
        <f t="shared" si="81"/>
        <v>#N/A</v>
      </c>
      <c r="BC157" s="15"/>
      <c r="BD157" s="115">
        <f t="shared" si="82"/>
        <v>1</v>
      </c>
      <c r="BE157" s="47" t="str">
        <f t="shared" si="83"/>
        <v>kWh/-</v>
      </c>
      <c r="BF157" s="15"/>
      <c r="BG157" s="218">
        <f>IFERROR(INDEX(tabellen_EMD!$C$240:$Z$248,MATCH($J157,tabellen_EMD!$C$240:$C$248,0),MATCH($B157,tabellen_EMD!$C$240:$Z$240,0))*(F157&lt;&gt;"zomercomfort"),0)</f>
        <v>0</v>
      </c>
      <c r="BH157" s="47" t="str">
        <f t="shared" si="84"/>
        <v>kg/-</v>
      </c>
      <c r="BI157" s="15"/>
    </row>
    <row r="158" spans="1:61">
      <c r="A158" s="49"/>
      <c r="B158" s="47" t="str">
        <f t="shared" si="73"/>
        <v>Uniec 3 per functie</v>
      </c>
      <c r="C158" s="47" t="str">
        <f t="shared" si="73"/>
        <v>NTA 8800</v>
      </c>
      <c r="D158" s="943"/>
      <c r="E158" s="14"/>
      <c r="F158" s="209" t="s">
        <v>1502</v>
      </c>
      <c r="G158" s="209"/>
      <c r="H158" s="209"/>
      <c r="I158" s="905"/>
      <c r="J158" s="1691" t="s">
        <v>465</v>
      </c>
      <c r="K158" s="1698"/>
      <c r="L158" s="16"/>
      <c r="M158" s="25"/>
      <c r="N158" s="22" t="str">
        <f t="shared" si="85"/>
        <v>kWh</v>
      </c>
      <c r="O158" s="15"/>
      <c r="P158" s="39"/>
      <c r="Q158" s="59">
        <f t="shared" si="76"/>
        <v>1.45</v>
      </c>
      <c r="R158" s="15"/>
      <c r="S158" s="24">
        <f t="shared" si="77"/>
        <v>0</v>
      </c>
      <c r="T158" s="47" t="str">
        <f>IFERROR(INDEX(energiedragers_EP_eenheden,MATCH($J158,tabellen_EMD!$C$196:$C$204,0),MATCH($B158,energiedragers_EP_eenheden_titel,0)),"-")</f>
        <v>kWh</v>
      </c>
      <c r="U158" s="39"/>
      <c r="V158" s="15"/>
      <c r="W158" s="59">
        <f t="shared" si="78"/>
        <v>0.34</v>
      </c>
      <c r="X158" s="47" t="str">
        <f t="shared" si="79"/>
        <v>kg/kWh</v>
      </c>
      <c r="Y158" s="12"/>
      <c r="Z158" s="24">
        <f t="shared" si="80"/>
        <v>0</v>
      </c>
      <c r="AA158" s="47" t="s">
        <v>468</v>
      </c>
      <c r="AB158" s="67"/>
      <c r="AC158" s="995"/>
      <c r="AD158" s="1405"/>
      <c r="AE158" s="1405"/>
      <c r="AF158" s="1405"/>
      <c r="AG158" s="1405"/>
      <c r="AH158" s="1405"/>
      <c r="AI158" s="1405"/>
      <c r="AJ158" s="1405"/>
      <c r="AK158" s="1405"/>
      <c r="AL158" s="1405"/>
      <c r="AM158" s="1405"/>
      <c r="AN158" s="1405"/>
      <c r="AO158" s="1405"/>
      <c r="AP158" s="1405"/>
      <c r="AQ158" s="1405"/>
      <c r="AR158" s="1405"/>
      <c r="AS158" s="67"/>
      <c r="AT158" s="995"/>
      <c r="AU158" s="12"/>
      <c r="AV158" s="22" t="str">
        <f t="shared" si="74"/>
        <v>hulpenergie</v>
      </c>
      <c r="AW158" s="46" t="str">
        <f t="shared" si="75"/>
        <v>elektriciteit</v>
      </c>
      <c r="AX158" s="24"/>
      <c r="AY158" s="12"/>
      <c r="AZ158" s="115">
        <v>1</v>
      </c>
      <c r="BA158" s="24">
        <f>IFERROR(INDEX(tabellen_EMD!$C$185:$N$193,MATCH($J158,tabellen_EMD!$C$185:$C$193,0),MATCH(BA$63,tabellen_EMD!$C$185:$N$185,0)),0)</f>
        <v>0</v>
      </c>
      <c r="BB158" s="115">
        <f t="shared" si="81"/>
        <v>1.45</v>
      </c>
      <c r="BC158" s="15"/>
      <c r="BD158" s="115">
        <f t="shared" si="82"/>
        <v>1</v>
      </c>
      <c r="BE158" s="47" t="str">
        <f t="shared" si="83"/>
        <v>kWh/kWh</v>
      </c>
      <c r="BF158" s="15"/>
      <c r="BG158" s="218">
        <f>IFERROR(INDEX(tabellen_EMD!$C$240:$Z$248,MATCH($J158,tabellen_EMD!$C$240:$C$248,0),MATCH($B158,tabellen_EMD!$C$240:$Z$240,0))*(F158&lt;&gt;"zomercomfort"),0)</f>
        <v>0.34</v>
      </c>
      <c r="BH158" s="47" t="str">
        <f t="shared" si="84"/>
        <v>kg/kWh</v>
      </c>
      <c r="BI158" s="15"/>
    </row>
    <row r="159" spans="1:61">
      <c r="A159" s="18"/>
      <c r="B159" s="47" t="str">
        <f>B154</f>
        <v>Uniec 3 per functie</v>
      </c>
      <c r="C159" s="47" t="str">
        <f>C154</f>
        <v>NTA 8800</v>
      </c>
      <c r="D159" s="943"/>
      <c r="E159" s="14"/>
      <c r="F159" s="22" t="s">
        <v>1396</v>
      </c>
      <c r="G159" s="22"/>
      <c r="H159" s="22"/>
      <c r="I159" s="905"/>
      <c r="J159" s="1691" t="s">
        <v>465</v>
      </c>
      <c r="K159" s="1698"/>
      <c r="L159" s="16"/>
      <c r="M159" s="25"/>
      <c r="N159" s="22" t="str">
        <f t="shared" si="85"/>
        <v>kWh</v>
      </c>
      <c r="O159" s="15"/>
      <c r="P159" s="39"/>
      <c r="Q159" s="59">
        <f t="shared" si="76"/>
        <v>1.45</v>
      </c>
      <c r="R159" s="15"/>
      <c r="S159" s="24">
        <f t="shared" si="77"/>
        <v>0</v>
      </c>
      <c r="T159" s="47" t="str">
        <f>IFERROR(INDEX(energiedragers_EP_eenheden,MATCH($J159,tabellen_EMD!$C$196:$C$204,0),MATCH($B159,energiedragers_EP_eenheden_titel,0)),"-")</f>
        <v>kWh</v>
      </c>
      <c r="U159" s="39"/>
      <c r="V159" s="15"/>
      <c r="W159" s="59">
        <f t="shared" si="78"/>
        <v>0</v>
      </c>
      <c r="X159" s="47" t="str">
        <f t="shared" si="79"/>
        <v>kg/kWh</v>
      </c>
      <c r="Y159" s="12"/>
      <c r="Z159" s="24">
        <f t="shared" si="80"/>
        <v>0</v>
      </c>
      <c r="AA159" s="47" t="s">
        <v>468</v>
      </c>
      <c r="AB159" s="67"/>
      <c r="AC159" s="995"/>
      <c r="AD159" s="1405"/>
      <c r="AE159" s="1405"/>
      <c r="AF159" s="1405"/>
      <c r="AG159" s="1405"/>
      <c r="AH159" s="1405"/>
      <c r="AI159" s="1405"/>
      <c r="AJ159" s="1405"/>
      <c r="AK159" s="1405"/>
      <c r="AL159" s="1405"/>
      <c r="AM159" s="1405"/>
      <c r="AN159" s="1405"/>
      <c r="AO159" s="1405"/>
      <c r="AP159" s="1405"/>
      <c r="AQ159" s="1405"/>
      <c r="AR159" s="1405"/>
      <c r="AS159" s="67"/>
      <c r="AT159" s="995"/>
      <c r="AU159" s="12"/>
      <c r="AV159" s="22" t="str">
        <f t="shared" si="74"/>
        <v>zomercomfort</v>
      </c>
      <c r="AW159" s="46" t="str">
        <f t="shared" si="75"/>
        <v>elektriciteit</v>
      </c>
      <c r="AX159" s="24"/>
      <c r="AY159" s="12"/>
      <c r="AZ159" s="115">
        <v>1</v>
      </c>
      <c r="BA159" s="24">
        <f>IFERROR(INDEX(tabellen_EMD!$C$185:$N$193,MATCH($J159,tabellen_EMD!$C$185:$C$193,0),MATCH(BA$63,tabellen_EMD!$C$185:$N$185,0)),0)</f>
        <v>0</v>
      </c>
      <c r="BB159" s="115">
        <f t="shared" si="81"/>
        <v>1.45</v>
      </c>
      <c r="BC159" s="15"/>
      <c r="BD159" s="115">
        <f t="shared" si="82"/>
        <v>1</v>
      </c>
      <c r="BE159" s="47" t="str">
        <f t="shared" si="83"/>
        <v>kWh/kWh</v>
      </c>
      <c r="BF159" s="15"/>
      <c r="BG159" s="218">
        <f>IFERROR(INDEX(tabellen_EMD!$C$240:$Z$248,MATCH($J159,tabellen_EMD!$C$240:$C$248,0),MATCH($B159,tabellen_EMD!$C$240:$Z$240,0))*(F159&lt;&gt;"zomercomfort"),0)</f>
        <v>0</v>
      </c>
      <c r="BH159" s="47" t="str">
        <f t="shared" si="84"/>
        <v>kg/kWh</v>
      </c>
      <c r="BI159" s="15"/>
    </row>
    <row r="160" spans="1:61">
      <c r="A160" s="18"/>
      <c r="B160" s="47" t="str">
        <f t="shared" si="73"/>
        <v>Uniec 3 per functie</v>
      </c>
      <c r="C160" s="47" t="str">
        <f t="shared" si="73"/>
        <v>NTA 8800</v>
      </c>
      <c r="D160" s="943"/>
      <c r="E160" s="14"/>
      <c r="F160" s="22" t="s">
        <v>1375</v>
      </c>
      <c r="G160" s="22"/>
      <c r="H160" s="22"/>
      <c r="I160" s="905"/>
      <c r="J160" s="1691" t="s">
        <v>465</v>
      </c>
      <c r="K160" s="1698"/>
      <c r="L160" s="16"/>
      <c r="M160" s="25"/>
      <c r="N160" s="22" t="str">
        <f t="shared" si="85"/>
        <v>kWh</v>
      </c>
      <c r="O160" s="15"/>
      <c r="P160" s="39"/>
      <c r="Q160" s="59">
        <f t="shared" si="76"/>
        <v>1.45</v>
      </c>
      <c r="R160" s="15"/>
      <c r="S160" s="24">
        <f t="shared" si="77"/>
        <v>0</v>
      </c>
      <c r="T160" s="47" t="str">
        <f>IFERROR(INDEX(energiedragers_EP_eenheden,MATCH($J160,tabellen_EMD!$C$196:$C$204,0),MATCH($B160,energiedragers_EP_eenheden_titel,0)),"-")</f>
        <v>kWh</v>
      </c>
      <c r="U160" s="39"/>
      <c r="V160" s="15"/>
      <c r="W160" s="59">
        <f t="shared" si="78"/>
        <v>0.34</v>
      </c>
      <c r="X160" s="47" t="str">
        <f t="shared" si="79"/>
        <v>kg/kWh</v>
      </c>
      <c r="Y160" s="12"/>
      <c r="Z160" s="24">
        <f t="shared" si="80"/>
        <v>0</v>
      </c>
      <c r="AA160" s="47" t="s">
        <v>468</v>
      </c>
      <c r="AB160" s="67"/>
      <c r="AC160" s="995"/>
      <c r="AD160" s="1405"/>
      <c r="AE160" s="1405"/>
      <c r="AF160" s="1405"/>
      <c r="AG160" s="1405"/>
      <c r="AH160" s="1405"/>
      <c r="AI160" s="1405"/>
      <c r="AJ160" s="1405"/>
      <c r="AK160" s="1405"/>
      <c r="AL160" s="1405"/>
      <c r="AM160" s="1405"/>
      <c r="AN160" s="1405"/>
      <c r="AO160" s="1405"/>
      <c r="AP160" s="1405"/>
      <c r="AQ160" s="1405"/>
      <c r="AR160" s="1405"/>
      <c r="AS160" s="67"/>
      <c r="AT160" s="995"/>
      <c r="AU160" s="12"/>
      <c r="AV160" s="22" t="str">
        <f t="shared" si="74"/>
        <v>ventilatoren</v>
      </c>
      <c r="AW160" s="46" t="str">
        <f t="shared" si="75"/>
        <v>elektriciteit</v>
      </c>
      <c r="AX160" s="24"/>
      <c r="AY160" s="12"/>
      <c r="AZ160" s="115">
        <v>1</v>
      </c>
      <c r="BA160" s="24">
        <f>IFERROR(INDEX(tabellen_EMD!$C$185:$N$193,MATCH($J160,tabellen_EMD!$C$185:$C$193,0),MATCH(BA$63,tabellen_EMD!$C$185:$N$185,0)),0)</f>
        <v>0</v>
      </c>
      <c r="BB160" s="115">
        <f t="shared" si="81"/>
        <v>1.45</v>
      </c>
      <c r="BC160" s="899"/>
      <c r="BD160" s="115">
        <f t="shared" si="82"/>
        <v>1</v>
      </c>
      <c r="BE160" s="47" t="str">
        <f t="shared" si="83"/>
        <v>kWh/kWh</v>
      </c>
      <c r="BF160" s="899"/>
      <c r="BG160" s="218">
        <f>IFERROR(INDEX(tabellen_EMD!$C$240:$Z$248,MATCH($J160,tabellen_EMD!$C$240:$C$248,0),MATCH($B160,tabellen_EMD!$C$240:$Z$240,0))*(F160&lt;&gt;"zomercomfort"),0)</f>
        <v>0.34</v>
      </c>
      <c r="BH160" s="47" t="str">
        <f t="shared" si="84"/>
        <v>kg/kWh</v>
      </c>
      <c r="BI160" s="899"/>
    </row>
    <row r="161" spans="1:61" s="18" customFormat="1">
      <c r="A161" s="49"/>
      <c r="B161" s="47" t="str">
        <f t="shared" si="73"/>
        <v>Uniec 3 per functie</v>
      </c>
      <c r="C161" s="47" t="str">
        <f t="shared" si="73"/>
        <v>NTA 8800</v>
      </c>
      <c r="D161" s="943"/>
      <c r="E161" s="14"/>
      <c r="F161" s="22" t="s">
        <v>507</v>
      </c>
      <c r="G161" s="22"/>
      <c r="H161" s="22"/>
      <c r="I161" s="905"/>
      <c r="J161" s="1691" t="s">
        <v>465</v>
      </c>
      <c r="K161" s="1698"/>
      <c r="L161" s="16"/>
      <c r="M161" s="25"/>
      <c r="N161" s="22" t="str">
        <f t="shared" si="85"/>
        <v>kWh</v>
      </c>
      <c r="O161" s="15"/>
      <c r="P161" s="39"/>
      <c r="Q161" s="59">
        <f t="shared" si="76"/>
        <v>1.45</v>
      </c>
      <c r="R161" s="15"/>
      <c r="S161" s="24">
        <f t="shared" si="77"/>
        <v>0</v>
      </c>
      <c r="T161" s="47" t="str">
        <f>IFERROR(INDEX(energiedragers_EP_eenheden,MATCH($J161,tabellen_EMD!$C$196:$C$204,0),MATCH($B161,energiedragers_EP_eenheden_titel,0)),"-")</f>
        <v>kWh</v>
      </c>
      <c r="U161" s="39"/>
      <c r="V161" s="15"/>
      <c r="W161" s="59">
        <f t="shared" si="78"/>
        <v>0.34</v>
      </c>
      <c r="X161" s="47" t="str">
        <f t="shared" si="79"/>
        <v>kg/kWh</v>
      </c>
      <c r="Y161" s="12"/>
      <c r="Z161" s="24">
        <f t="shared" si="80"/>
        <v>0</v>
      </c>
      <c r="AA161" s="47" t="s">
        <v>468</v>
      </c>
      <c r="AB161" s="67"/>
      <c r="AC161" s="995"/>
      <c r="AD161" s="1405"/>
      <c r="AE161" s="1405"/>
      <c r="AF161" s="1405"/>
      <c r="AG161" s="1405"/>
      <c r="AH161" s="1405"/>
      <c r="AI161" s="1405"/>
      <c r="AJ161" s="1405"/>
      <c r="AK161" s="1405"/>
      <c r="AL161" s="1405"/>
      <c r="AM161" s="1405"/>
      <c r="AN161" s="1405"/>
      <c r="AO161" s="1405"/>
      <c r="AP161" s="1405"/>
      <c r="AQ161" s="1405"/>
      <c r="AR161" s="1405"/>
      <c r="AS161" s="67"/>
      <c r="AT161" s="995"/>
      <c r="AU161" s="12"/>
      <c r="AV161" s="22" t="str">
        <f t="shared" si="74"/>
        <v>verlichting</v>
      </c>
      <c r="AW161" s="46" t="str">
        <f t="shared" si="75"/>
        <v>elektriciteit</v>
      </c>
      <c r="AX161" s="24"/>
      <c r="AY161" s="12"/>
      <c r="AZ161" s="115">
        <v>1</v>
      </c>
      <c r="BA161" s="24">
        <f>IFERROR(INDEX(tabellen_EMD!$C$185:$N$193,MATCH($J161,tabellen_EMD!$C$185:$C$193,0),MATCH(BA$63,tabellen_EMD!$C$185:$N$185,0)),0)</f>
        <v>0</v>
      </c>
      <c r="BB161" s="115">
        <f t="shared" si="81"/>
        <v>1.45</v>
      </c>
      <c r="BC161" s="899"/>
      <c r="BD161" s="115">
        <f t="shared" si="82"/>
        <v>1</v>
      </c>
      <c r="BE161" s="47" t="str">
        <f t="shared" si="83"/>
        <v>kWh/kWh</v>
      </c>
      <c r="BF161" s="899"/>
      <c r="BG161" s="218">
        <f>IFERROR(INDEX(tabellen_EMD!$C$240:$Z$248,MATCH($J161,tabellen_EMD!$C$240:$C$248,0),MATCH($B161,tabellen_EMD!$C$240:$Z$240,0))*(F161&lt;&gt;"zomercomfort"),0)</f>
        <v>0.34</v>
      </c>
      <c r="BH161" s="47" t="str">
        <f t="shared" si="84"/>
        <v>kg/kWh</v>
      </c>
      <c r="BI161" s="899"/>
    </row>
    <row r="162" spans="1:61" s="940" customFormat="1">
      <c r="A162" s="49"/>
      <c r="B162" s="47" t="str">
        <f t="shared" si="73"/>
        <v>Uniec 3 per functie</v>
      </c>
      <c r="C162" s="47" t="str">
        <f t="shared" si="73"/>
        <v>NTA 8800</v>
      </c>
      <c r="D162" s="943"/>
      <c r="E162" s="14"/>
      <c r="F162" s="15" t="s">
        <v>1391</v>
      </c>
      <c r="G162" s="15"/>
      <c r="H162" s="15"/>
      <c r="I162" s="905"/>
      <c r="J162" s="43" t="s">
        <v>1391</v>
      </c>
      <c r="K162" s="43"/>
      <c r="L162" s="16"/>
      <c r="M162" s="950">
        <f>SUM(M153:M161)</f>
        <v>0</v>
      </c>
      <c r="N162" s="15" t="str">
        <f t="shared" si="85"/>
        <v>kWh</v>
      </c>
      <c r="O162" s="15"/>
      <c r="P162" s="39"/>
      <c r="Q162" s="39"/>
      <c r="R162" s="15"/>
      <c r="S162" s="899"/>
      <c r="T162" s="899"/>
      <c r="U162" s="39"/>
      <c r="V162" s="39"/>
      <c r="W162" s="39"/>
      <c r="X162" s="39"/>
      <c r="Y162" s="12"/>
      <c r="Z162" s="950">
        <f>SUM(Z153:Z161)</f>
        <v>0</v>
      </c>
      <c r="AA162" s="15" t="s">
        <v>468</v>
      </c>
      <c r="AB162" s="67"/>
      <c r="AC162" s="995"/>
      <c r="AD162" s="1405"/>
      <c r="AE162" s="1405"/>
      <c r="AF162" s="1405"/>
      <c r="AG162" s="1405"/>
      <c r="AH162" s="1405"/>
      <c r="AI162" s="1405"/>
      <c r="AJ162" s="1405"/>
      <c r="AK162" s="1405"/>
      <c r="AL162" s="1405"/>
      <c r="AM162" s="1405"/>
      <c r="AN162" s="1405"/>
      <c r="AO162" s="1405"/>
      <c r="AP162" s="1405"/>
      <c r="AQ162" s="1405"/>
      <c r="AR162" s="1405"/>
      <c r="AS162" s="67"/>
      <c r="AT162" s="995"/>
      <c r="AU162" s="12"/>
      <c r="AV162" s="22" t="str">
        <f t="shared" si="74"/>
        <v>totaal</v>
      </c>
      <c r="AW162" s="46" t="str">
        <f t="shared" si="75"/>
        <v>totaal</v>
      </c>
      <c r="AX162" s="24"/>
      <c r="AY162" s="12"/>
      <c r="AZ162" s="12"/>
      <c r="BA162" s="12"/>
      <c r="BB162" s="12"/>
      <c r="BC162" s="899"/>
      <c r="BD162" s="899"/>
      <c r="BE162" s="899"/>
      <c r="BF162" s="899"/>
      <c r="BG162" s="15"/>
      <c r="BH162" s="15"/>
      <c r="BI162" s="899"/>
    </row>
    <row r="163" spans="1:61">
      <c r="A163" s="49"/>
      <c r="B163" s="47" t="str">
        <f>B161</f>
        <v>Uniec 3 per functie</v>
      </c>
      <c r="C163" s="47" t="str">
        <f>C161</f>
        <v>NTA 8800</v>
      </c>
      <c r="D163" s="943"/>
      <c r="E163" s="14"/>
      <c r="F163" s="22" t="s">
        <v>1503</v>
      </c>
      <c r="G163" s="22"/>
      <c r="H163" s="22"/>
      <c r="I163" s="905"/>
      <c r="J163" s="1691" t="s">
        <v>1538</v>
      </c>
      <c r="K163" s="1698"/>
      <c r="L163" s="16"/>
      <c r="M163" s="25"/>
      <c r="N163" s="22" t="str">
        <f t="shared" si="85"/>
        <v>kWh</v>
      </c>
      <c r="O163" s="15"/>
      <c r="P163" s="39"/>
      <c r="Q163" s="59">
        <f>IFERROR(IF(AND(P163&lt;&gt;"",$BA163=1),P163,BB163),1)</f>
        <v>1.45</v>
      </c>
      <c r="R163" s="15"/>
      <c r="S163" s="24">
        <f>M163/Q163/BD163</f>
        <v>0</v>
      </c>
      <c r="T163" s="47" t="str">
        <f>IFERROR(INDEX(energiedragers_EP_eenheden,MATCH($J163,tabellen_EMD!$C$196:$C$204,0),MATCH($B163,energiedragers_EP_eenheden_titel,0)),"-")</f>
        <v>kWh</v>
      </c>
      <c r="U163" s="39"/>
      <c r="V163" s="15"/>
      <c r="W163" s="59">
        <f>IF(AND(V163&lt;&gt;"",$BA163=1),V163,BG163)</f>
        <v>0.34</v>
      </c>
      <c r="X163" s="47" t="str">
        <f t="shared" si="79"/>
        <v>kg/kWh</v>
      </c>
      <c r="Y163" s="12"/>
      <c r="Z163" s="24">
        <f>S163*W163*ABS(AZ163)</f>
        <v>0</v>
      </c>
      <c r="AA163" s="47" t="s">
        <v>468</v>
      </c>
      <c r="AB163" s="67"/>
      <c r="AC163" s="995"/>
      <c r="AD163" s="1405"/>
      <c r="AE163" s="1405"/>
      <c r="AF163" s="1405"/>
      <c r="AG163" s="1405"/>
      <c r="AH163" s="1405"/>
      <c r="AI163" s="1405"/>
      <c r="AJ163" s="1405"/>
      <c r="AK163" s="1405"/>
      <c r="AL163" s="1405"/>
      <c r="AM163" s="1405"/>
      <c r="AN163" s="1405"/>
      <c r="AO163" s="1405"/>
      <c r="AP163" s="1405"/>
      <c r="AQ163" s="1405"/>
      <c r="AR163" s="1405"/>
      <c r="AS163" s="67"/>
      <c r="AT163" s="995"/>
      <c r="AU163" s="12"/>
      <c r="AV163" s="22" t="str">
        <f t="shared" si="74"/>
        <v>geëxporteerde elektriciteit</v>
      </c>
      <c r="AW163" s="46" t="str">
        <f t="shared" si="75"/>
        <v>elektriciteit geëxporteerd</v>
      </c>
      <c r="AX163" s="24"/>
      <c r="AY163" s="12"/>
      <c r="AZ163" s="115">
        <v>1</v>
      </c>
      <c r="BA163" s="24">
        <f>IFERROR(INDEX(tabellen_EMD!$C$185:$N$193,MATCH($J163,tabellen_EMD!$C$185:$C$193,0),MATCH(BA$63,tabellen_EMD!$C$185:$N$185,0)),0)</f>
        <v>0</v>
      </c>
      <c r="BB163" s="115">
        <f t="shared" si="81"/>
        <v>1.45</v>
      </c>
      <c r="BC163" s="899"/>
      <c r="BD163" s="115">
        <f>IFERROR(VLOOKUP($J163,energiedragers_EP_omrekenen,MATCH($B163,energiedragers_EP_omrekenen_titel,0),FALSE),1)</f>
        <v>1</v>
      </c>
      <c r="BE163" s="47" t="str">
        <f>_xlfn.CONCAT(N163,"/",T163)</f>
        <v>kWh/kWh</v>
      </c>
      <c r="BF163" s="899"/>
      <c r="BG163" s="218">
        <f>IFERROR(INDEX(tabellen_EMD!$C$240:$Z$248,MATCH($J163,tabellen_EMD!$C$240:$C$248,0),MATCH($B163,tabellen_EMD!$C$240:$Z$240,0))*(F163&lt;&gt;"zomercomfort"),0)</f>
        <v>0.34</v>
      </c>
      <c r="BH163" s="47" t="str">
        <f>"kg/"&amp;T163</f>
        <v>kg/kWh</v>
      </c>
      <c r="BI163" s="899"/>
    </row>
    <row r="164" spans="1:61">
      <c r="A164" s="49"/>
      <c r="B164" s="47" t="str">
        <f t="shared" si="73"/>
        <v>Uniec 3 per functie</v>
      </c>
      <c r="C164" s="47" t="str">
        <f t="shared" si="73"/>
        <v>NTA 8800</v>
      </c>
      <c r="D164" s="943"/>
      <c r="E164" s="14"/>
      <c r="F164" s="22" t="s">
        <v>1504</v>
      </c>
      <c r="G164" s="22"/>
      <c r="H164" s="22"/>
      <c r="I164" s="905"/>
      <c r="J164" s="1691" t="s">
        <v>466</v>
      </c>
      <c r="K164" s="1698"/>
      <c r="L164" s="16"/>
      <c r="M164" s="25"/>
      <c r="N164" s="22" t="str">
        <f t="shared" si="85"/>
        <v>kWh</v>
      </c>
      <c r="O164" s="15"/>
      <c r="P164" s="39"/>
      <c r="Q164" s="59">
        <f>IFERROR(IF(AND(P164&lt;&gt;"",$BA164=1),P164,BB164),1)</f>
        <v>1.45</v>
      </c>
      <c r="R164" s="15"/>
      <c r="S164" s="24">
        <f>M164/Q164/BD164</f>
        <v>0</v>
      </c>
      <c r="T164" s="47" t="str">
        <f>IFERROR(INDEX(energiedragers_EP_eenheden,MATCH($J164,tabellen_EMD!$C$196:$C$204,0),MATCH($B164,energiedragers_EP_eenheden_titel,0)),"-")</f>
        <v>kWh</v>
      </c>
      <c r="U164" s="39"/>
      <c r="V164" s="15"/>
      <c r="W164" s="59">
        <f>IF(AND(V164&lt;&gt;"",$BA164=1),V164,BG164)</f>
        <v>0.34</v>
      </c>
      <c r="X164" s="47" t="str">
        <f t="shared" si="79"/>
        <v>kg/kWh</v>
      </c>
      <c r="Y164" s="12"/>
      <c r="Z164" s="24">
        <f>S164*W164*ABS(AZ164)</f>
        <v>0</v>
      </c>
      <c r="AA164" s="47" t="s">
        <v>468</v>
      </c>
      <c r="AB164" s="67"/>
      <c r="AC164" s="995"/>
      <c r="AD164" s="1405"/>
      <c r="AE164" s="1405"/>
      <c r="AF164" s="1405"/>
      <c r="AG164" s="1405"/>
      <c r="AH164" s="1405"/>
      <c r="AI164" s="1405"/>
      <c r="AJ164" s="1405"/>
      <c r="AK164" s="1405"/>
      <c r="AL164" s="1405"/>
      <c r="AM164" s="1405"/>
      <c r="AN164" s="1405"/>
      <c r="AO164" s="1405"/>
      <c r="AP164" s="1405"/>
      <c r="AQ164" s="1405"/>
      <c r="AR164" s="1405"/>
      <c r="AS164" s="67"/>
      <c r="AT164" s="995"/>
      <c r="AU164" s="12"/>
      <c r="AV164" s="22" t="str">
        <f t="shared" si="74"/>
        <v>op eigen perceel opgewekte &amp; verbruikte elektriciteit</v>
      </c>
      <c r="AW164" s="46" t="str">
        <f t="shared" si="75"/>
        <v>elektriciteit opgewekt</v>
      </c>
      <c r="AX164" s="24"/>
      <c r="AY164" s="12"/>
      <c r="AZ164" s="115">
        <v>1</v>
      </c>
      <c r="BA164" s="24">
        <f>IFERROR(INDEX(tabellen_EMD!$C$185:$N$193,MATCH($J164,tabellen_EMD!$C$185:$C$193,0),MATCH(BA$63,tabellen_EMD!$C$185:$N$185,0)),0)</f>
        <v>0</v>
      </c>
      <c r="BB164" s="115">
        <f t="shared" si="81"/>
        <v>1.45</v>
      </c>
      <c r="BC164" s="899"/>
      <c r="BD164" s="115">
        <f>IFERROR(VLOOKUP($J164,energiedragers_EP_omrekenen,MATCH($B164,energiedragers_EP_omrekenen_titel,0),FALSE),1)</f>
        <v>1</v>
      </c>
      <c r="BE164" s="47" t="str">
        <f>_xlfn.CONCAT(N164,"/",T164)</f>
        <v>kWh/kWh</v>
      </c>
      <c r="BF164" s="899"/>
      <c r="BG164" s="218">
        <f>IFERROR(INDEX(tabellen_EMD!$C$240:$Z$248,MATCH($J164,tabellen_EMD!$C$240:$C$248,0),MATCH($B164,tabellen_EMD!$C$240:$Z$240,0))*(F164&lt;&gt;"zomercomfort"),0)</f>
        <v>0.34</v>
      </c>
      <c r="BH164" s="47" t="str">
        <f>"kg/"&amp;T164</f>
        <v>kg/kWh</v>
      </c>
      <c r="BI164" s="899"/>
    </row>
    <row r="165" spans="1:61">
      <c r="A165" s="49"/>
      <c r="B165" s="47" t="str">
        <f t="shared" si="73"/>
        <v>Uniec 3 per functie</v>
      </c>
      <c r="C165" s="47" t="str">
        <f t="shared" si="73"/>
        <v>NTA 8800</v>
      </c>
      <c r="D165" s="943"/>
      <c r="E165" s="14"/>
      <c r="F165" s="22" t="s">
        <v>1505</v>
      </c>
      <c r="G165" s="22"/>
      <c r="H165" s="22"/>
      <c r="I165" s="905"/>
      <c r="J165" s="1691" t="s">
        <v>466</v>
      </c>
      <c r="K165" s="1698"/>
      <c r="L165" s="16"/>
      <c r="M165" s="25"/>
      <c r="N165" s="22" t="str">
        <f t="shared" si="85"/>
        <v>kWh</v>
      </c>
      <c r="O165" s="15"/>
      <c r="P165" s="39"/>
      <c r="Q165" s="59">
        <f>IFERROR(IF(AND(P165&lt;&gt;"",$BA165=1),P165,BB165),1)</f>
        <v>1.45</v>
      </c>
      <c r="R165" s="15"/>
      <c r="S165" s="24">
        <f>M165/Q165/BD165</f>
        <v>0</v>
      </c>
      <c r="T165" s="47" t="str">
        <f>IFERROR(INDEX(energiedragers_EP_eenheden,MATCH($J165,tabellen_EMD!$C$196:$C$204,0),MATCH($B165,energiedragers_EP_eenheden_titel,0)),"-")</f>
        <v>kWh</v>
      </c>
      <c r="U165" s="39"/>
      <c r="V165" s="15"/>
      <c r="W165" s="59">
        <f>IF(AND(V165&lt;&gt;"",$BA165=1),V165,BG165)</f>
        <v>0.34</v>
      </c>
      <c r="X165" s="47" t="str">
        <f t="shared" si="79"/>
        <v>kg/kWh</v>
      </c>
      <c r="Y165" s="12"/>
      <c r="Z165" s="24">
        <f>S165*W165*ABS(AZ165)</f>
        <v>0</v>
      </c>
      <c r="AA165" s="47" t="s">
        <v>468</v>
      </c>
      <c r="AB165" s="67"/>
      <c r="AC165" s="995"/>
      <c r="AD165" s="1405"/>
      <c r="AE165" s="1405"/>
      <c r="AF165" s="1405"/>
      <c r="AG165" s="1405"/>
      <c r="AH165" s="1405"/>
      <c r="AI165" s="1405"/>
      <c r="AJ165" s="1405"/>
      <c r="AK165" s="1405"/>
      <c r="AL165" s="1405"/>
      <c r="AM165" s="1405"/>
      <c r="AN165" s="1405"/>
      <c r="AO165" s="1405"/>
      <c r="AP165" s="1405"/>
      <c r="AQ165" s="1405"/>
      <c r="AR165" s="1405"/>
      <c r="AS165" s="67"/>
      <c r="AT165" s="995"/>
      <c r="AU165" s="12"/>
      <c r="AV165" s="22" t="str">
        <f t="shared" si="74"/>
        <v>in het gebied opgewekte elektriciteit</v>
      </c>
      <c r="AW165" s="46" t="str">
        <f t="shared" si="75"/>
        <v>elektriciteit opgewekt</v>
      </c>
      <c r="AX165" s="24"/>
      <c r="AY165" s="12"/>
      <c r="AZ165" s="115">
        <v>1</v>
      </c>
      <c r="BA165" s="24">
        <f>IFERROR(INDEX(tabellen_EMD!$C$185:$N$193,MATCH($J165,tabellen_EMD!$C$185:$C$193,0),MATCH(BA$63,tabellen_EMD!$C$185:$N$185,0)),0)</f>
        <v>0</v>
      </c>
      <c r="BB165" s="115">
        <f t="shared" si="81"/>
        <v>1.45</v>
      </c>
      <c r="BC165" s="899"/>
      <c r="BD165" s="115">
        <f>IFERROR(VLOOKUP($J165,energiedragers_EP_omrekenen,MATCH($B165,energiedragers_EP_omrekenen_titel,0),FALSE),1)</f>
        <v>1</v>
      </c>
      <c r="BE165" s="47" t="str">
        <f>_xlfn.CONCAT(N165,"/",T165)</f>
        <v>kWh/kWh</v>
      </c>
      <c r="BF165" s="899"/>
      <c r="BG165" s="218">
        <f>IFERROR(INDEX(tabellen_EMD!$C$240:$Z$248,MATCH($J165,tabellen_EMD!$C$240:$C$248,0),MATCH($B165,tabellen_EMD!$C$240:$Z$240,0))*(F165&lt;&gt;"zomercomfort"),0)</f>
        <v>0.34</v>
      </c>
      <c r="BH165" s="47" t="str">
        <f>"kg/"&amp;T165</f>
        <v>kg/kWh</v>
      </c>
      <c r="BI165" s="899"/>
    </row>
    <row r="166" spans="1:61" s="940" customFormat="1">
      <c r="A166" s="49"/>
      <c r="B166" s="47" t="str">
        <f t="shared" si="73"/>
        <v>Uniec 3 per functie</v>
      </c>
      <c r="C166" s="47" t="str">
        <f t="shared" si="73"/>
        <v>NTA 8800</v>
      </c>
      <c r="D166" s="943"/>
      <c r="E166" s="14"/>
      <c r="F166" s="15" t="s">
        <v>1391</v>
      </c>
      <c r="G166" s="15"/>
      <c r="H166" s="15"/>
      <c r="I166" s="905"/>
      <c r="J166" s="43" t="s">
        <v>1391</v>
      </c>
      <c r="K166" s="43"/>
      <c r="L166" s="16"/>
      <c r="M166" s="950">
        <f>SUM(M153:M161)-SUM(M163:M165)</f>
        <v>0</v>
      </c>
      <c r="N166" s="15" t="str">
        <f t="shared" si="85"/>
        <v>kWh</v>
      </c>
      <c r="O166" s="15"/>
      <c r="P166" s="39"/>
      <c r="Q166" s="39"/>
      <c r="R166" s="15"/>
      <c r="S166" s="899"/>
      <c r="T166" s="899"/>
      <c r="U166" s="39"/>
      <c r="V166" s="39"/>
      <c r="W166" s="39"/>
      <c r="X166" s="39"/>
      <c r="Y166" s="12"/>
      <c r="Z166" s="950">
        <f>SUM(Z153:Z161)-SUM(Z163:Z165)</f>
        <v>0</v>
      </c>
      <c r="AA166" s="15" t="s">
        <v>468</v>
      </c>
      <c r="AB166" s="67"/>
      <c r="AC166" s="995"/>
      <c r="AD166" s="1405"/>
      <c r="AE166" s="1405"/>
      <c r="AF166" s="1405"/>
      <c r="AG166" s="1405"/>
      <c r="AH166" s="1405"/>
      <c r="AI166" s="1405"/>
      <c r="AJ166" s="1405"/>
      <c r="AK166" s="1405"/>
      <c r="AL166" s="1405"/>
      <c r="AM166" s="1405"/>
      <c r="AN166" s="1405"/>
      <c r="AO166" s="1405"/>
      <c r="AP166" s="1405"/>
      <c r="AQ166" s="1405"/>
      <c r="AR166" s="1405"/>
      <c r="AS166" s="67"/>
      <c r="AT166" s="995"/>
      <c r="AU166" s="12"/>
      <c r="AV166" s="22" t="str">
        <f t="shared" si="74"/>
        <v>totaal</v>
      </c>
      <c r="AW166" s="46" t="str">
        <f t="shared" si="75"/>
        <v>totaal</v>
      </c>
      <c r="AX166" s="24"/>
      <c r="AY166" s="12"/>
      <c r="AZ166" s="12"/>
      <c r="BA166" s="12"/>
      <c r="BB166" s="12"/>
      <c r="BC166" s="899"/>
      <c r="BD166" s="899"/>
      <c r="BE166" s="899"/>
      <c r="BF166" s="899"/>
      <c r="BG166" s="15"/>
      <c r="BH166" s="15"/>
      <c r="BI166" s="899"/>
    </row>
    <row r="167" spans="1:61" s="49" customFormat="1">
      <c r="A167" s="212"/>
      <c r="B167" s="47" t="str">
        <f t="shared" si="73"/>
        <v>Uniec 3 per functie</v>
      </c>
      <c r="C167" s="47" t="str">
        <f t="shared" si="73"/>
        <v>NTA 8800</v>
      </c>
      <c r="D167" s="943"/>
      <c r="E167" s="50"/>
      <c r="F167" s="452" t="str">
        <f>IFERROR(IF($P$23=$B167,_xlfn.CONCAT("Bij 1.1 ingevuld: ",FIXED($J$35,2,FALSE)," ",$K$35),""),"invoer niet correct")</f>
        <v/>
      </c>
      <c r="G167" s="452"/>
      <c r="H167" s="452"/>
      <c r="I167" s="905"/>
      <c r="J167" s="909" t="str">
        <f>IFERROR(IF($P$23=$B167,IF(ABS((M167-$J$35)/$J$35)&gt;1%,"Afwijking &gt;1% met subthema 1.1",""),""),"invoer niet correct")</f>
        <v/>
      </c>
      <c r="K167" s="909"/>
      <c r="L167" s="910"/>
      <c r="M167" s="1339" t="str">
        <f>IFERROR(IF($P$23=$B167,M166/$J$59,""),"")</f>
        <v/>
      </c>
      <c r="N167" s="452" t="str">
        <f>IF($P$23=$B167,_xlfn.CONCAT(N166,"/m2"),"")</f>
        <v/>
      </c>
      <c r="O167" s="452"/>
      <c r="P167" s="39"/>
      <c r="Q167" s="39"/>
      <c r="R167" s="899"/>
      <c r="S167" s="899"/>
      <c r="T167" s="899"/>
      <c r="U167" s="39"/>
      <c r="V167" s="39"/>
      <c r="W167" s="910" t="str">
        <f>IFERROR(IF($P$23=$B167,_xlfn.CONCAT("Bij 1.1 ingevuld: ",FIXED($AG$40,1,FALSE)," ",$AH$40),""),"invoer niet correct")</f>
        <v/>
      </c>
      <c r="X167" s="909" t="str">
        <f>IFERROR(IF($P$23=$B167,IF(ABS((Z167-$AG$40)/$AG$40)&gt;1%,"afwijking &gt;1% met subthema 1.1",""),""),"invoer niet correct")</f>
        <v/>
      </c>
      <c r="Y167" s="12"/>
      <c r="Z167" s="951" t="str">
        <f>IFERROR(IF($P$23=$B167,Z166/$J$58,""),"")</f>
        <v/>
      </c>
      <c r="AA167" s="452" t="str">
        <f>IF($P$23=$B167,_xlfn.CONCAT(AA166,"/m2"),"")</f>
        <v/>
      </c>
      <c r="AB167" s="1393"/>
      <c r="AC167" s="1001"/>
      <c r="AD167" s="1405"/>
      <c r="AE167" s="1405"/>
      <c r="AF167" s="1405"/>
      <c r="AG167" s="1405"/>
      <c r="AH167" s="1405"/>
      <c r="AI167" s="1405"/>
      <c r="AJ167" s="1405"/>
      <c r="AK167" s="1405"/>
      <c r="AL167" s="1405"/>
      <c r="AM167" s="1405"/>
      <c r="AN167" s="1405"/>
      <c r="AO167" s="1405"/>
      <c r="AP167" s="1405"/>
      <c r="AQ167" s="1405"/>
      <c r="AR167" s="1405"/>
      <c r="AS167" s="1393"/>
      <c r="AT167" s="1001"/>
      <c r="AU167" s="12"/>
      <c r="AV167" s="452"/>
      <c r="AW167" s="452"/>
      <c r="AX167" s="452"/>
      <c r="AY167" s="452"/>
      <c r="AZ167" s="452"/>
      <c r="BA167" s="452"/>
      <c r="BB167" s="452"/>
      <c r="BC167" s="452"/>
      <c r="BD167" s="452"/>
      <c r="BE167" s="452"/>
      <c r="BF167" s="452"/>
      <c r="BG167" s="452"/>
      <c r="BH167" s="452"/>
      <c r="BI167" s="899"/>
    </row>
    <row r="168" spans="1:61" s="49" customFormat="1">
      <c r="B168" s="47" t="str">
        <f t="shared" ref="B168:C168" si="86">B167</f>
        <v>Uniec 3 per functie</v>
      </c>
      <c r="C168" s="47" t="str">
        <f t="shared" si="86"/>
        <v>NTA 8800</v>
      </c>
      <c r="D168" s="943"/>
      <c r="E168" s="50"/>
      <c r="F168" s="43"/>
      <c r="G168" s="43"/>
      <c r="H168" s="43"/>
      <c r="I168" s="905"/>
      <c r="J168" s="44"/>
      <c r="K168" s="44"/>
      <c r="L168" s="44"/>
      <c r="M168" s="917"/>
      <c r="N168" s="44"/>
      <c r="O168" s="44"/>
      <c r="P168" s="39"/>
      <c r="Q168" s="39"/>
      <c r="R168" s="899"/>
      <c r="S168" s="899"/>
      <c r="T168" s="899"/>
      <c r="U168" s="39"/>
      <c r="V168" s="39"/>
      <c r="W168" s="39"/>
      <c r="X168" s="39"/>
      <c r="Y168" s="12"/>
      <c r="Z168" s="899"/>
      <c r="AA168" s="899"/>
      <c r="AB168" s="1393"/>
      <c r="AC168" s="1001"/>
      <c r="AD168" s="1405"/>
      <c r="AE168" s="1405"/>
      <c r="AF168" s="1405"/>
      <c r="AG168" s="1405"/>
      <c r="AH168" s="1405"/>
      <c r="AI168" s="1405"/>
      <c r="AJ168" s="1405"/>
      <c r="AK168" s="1405"/>
      <c r="AL168" s="1405"/>
      <c r="AM168" s="1405"/>
      <c r="AN168" s="1405"/>
      <c r="AO168" s="1405"/>
      <c r="AP168" s="1405"/>
      <c r="AQ168" s="1405"/>
      <c r="AR168" s="1405"/>
      <c r="AS168" s="1393"/>
      <c r="AT168" s="1001"/>
      <c r="AU168" s="12"/>
      <c r="AV168" s="12"/>
      <c r="AW168" s="12"/>
      <c r="AX168" s="12"/>
      <c r="AY168" s="12"/>
      <c r="AZ168" s="44"/>
      <c r="BA168" s="12"/>
      <c r="BB168" s="44"/>
      <c r="BC168" s="899"/>
      <c r="BD168" s="899"/>
      <c r="BE168" s="899"/>
      <c r="BF168" s="899"/>
      <c r="BG168" s="899"/>
      <c r="BH168" s="899"/>
      <c r="BI168" s="899"/>
    </row>
    <row r="169" spans="1:61">
      <c r="A169" s="86"/>
      <c r="B169" s="939" t="str">
        <f>tabellen_EMD!$C$180</f>
        <v>Uniec 3 finaal</v>
      </c>
      <c r="C169" s="939" t="str">
        <f>VLOOKUP(B169,'NTA 8800 naar GPR4'!$AV$40:$AY$48,COLUMNS($AV$40:$AX$40),FALSE)</f>
        <v>NTA 8800</v>
      </c>
      <c r="D169" s="943"/>
      <c r="E169" s="14"/>
      <c r="F169" s="15" t="str">
        <f>_xlfn.CONCAT("Overnemen uit '",B169,"': ",VLOOKUP(B169,$AV$41:$AZ$48,COLUMNS($AV$40:$AZ$40),FALSE))</f>
        <v>Overnemen uit 'Uniec 3 finaal': Jaarlijkse hoeveelheid energiegebruik voor de energiefunctie</v>
      </c>
      <c r="G169" s="15"/>
      <c r="H169" s="15"/>
      <c r="I169" s="905"/>
      <c r="J169" s="43"/>
      <c r="K169" s="43"/>
      <c r="L169" s="16"/>
      <c r="M169" s="909" t="s">
        <v>1485</v>
      </c>
      <c r="N169" s="41"/>
      <c r="O169" s="41"/>
      <c r="P169" s="453" t="s">
        <v>1487</v>
      </c>
      <c r="Q169" s="39"/>
      <c r="R169" s="39"/>
      <c r="S169" s="453" t="s">
        <v>1484</v>
      </c>
      <c r="T169" s="39"/>
      <c r="U169" s="39"/>
      <c r="V169" s="453" t="s">
        <v>1613</v>
      </c>
      <c r="W169" s="39"/>
      <c r="X169" s="39"/>
      <c r="Y169" s="12"/>
      <c r="Z169" s="453" t="s">
        <v>1536</v>
      </c>
      <c r="AA169" s="12"/>
      <c r="AB169" s="67"/>
      <c r="AC169" s="995"/>
      <c r="AD169" s="1405"/>
      <c r="AE169" s="1405"/>
      <c r="AF169" s="1405"/>
      <c r="AG169" s="1405"/>
      <c r="AH169" s="1405"/>
      <c r="AI169" s="1405"/>
      <c r="AJ169" s="1405"/>
      <c r="AK169" s="1405"/>
      <c r="AL169" s="1405"/>
      <c r="AM169" s="1405"/>
      <c r="AN169" s="1405"/>
      <c r="AO169" s="1405"/>
      <c r="AP169" s="1405"/>
      <c r="AQ169" s="1405"/>
      <c r="AR169" s="1405"/>
      <c r="AS169" s="67"/>
      <c r="AT169" s="995"/>
      <c r="AU169" s="12"/>
      <c r="AV169" s="12"/>
      <c r="AW169" s="12"/>
      <c r="AX169" s="12"/>
      <c r="AY169" s="12"/>
      <c r="AZ169" s="888" t="str">
        <f>AZ$63</f>
        <v>Eenheid energie</v>
      </c>
      <c r="BA169" s="888" t="s">
        <v>1628</v>
      </c>
      <c r="BB169" s="888" t="str">
        <f>BB$63</f>
        <v>PEF finaal → primair</v>
      </c>
      <c r="BC169" s="452"/>
      <c r="BD169" s="452" t="str">
        <f>BD$63</f>
        <v>eenheden omrekenen</v>
      </c>
      <c r="BE169" s="452"/>
      <c r="BF169" s="452"/>
      <c r="BG169" s="888" t="str">
        <f>BG$63</f>
        <v>CO2</v>
      </c>
      <c r="BH169" s="39"/>
      <c r="BI169" s="899"/>
    </row>
    <row r="170" spans="1:61">
      <c r="A170" s="86"/>
      <c r="B170" s="47" t="str">
        <f t="shared" ref="B170:C180" si="87">B169</f>
        <v>Uniec 3 finaal</v>
      </c>
      <c r="C170" s="47" t="str">
        <f t="shared" si="87"/>
        <v>NTA 8800</v>
      </c>
      <c r="D170" s="943"/>
      <c r="E170" s="14"/>
      <c r="F170" s="909" t="s">
        <v>496</v>
      </c>
      <c r="G170" s="909"/>
      <c r="H170" s="909"/>
      <c r="I170" s="905"/>
      <c r="J170" s="909" t="s">
        <v>458</v>
      </c>
      <c r="K170" s="909"/>
      <c r="L170" s="889"/>
      <c r="M170" s="910" t="s">
        <v>1534</v>
      </c>
      <c r="N170" s="452" t="s">
        <v>204</v>
      </c>
      <c r="O170" s="39"/>
      <c r="P170" s="888" t="s">
        <v>1533</v>
      </c>
      <c r="Q170" s="910" t="s">
        <v>1532</v>
      </c>
      <c r="R170" s="452"/>
      <c r="S170" s="888" t="s">
        <v>1534</v>
      </c>
      <c r="T170" s="889" t="s">
        <v>204</v>
      </c>
      <c r="U170" s="39"/>
      <c r="V170" s="888" t="s">
        <v>1533</v>
      </c>
      <c r="W170" s="910" t="s">
        <v>1532</v>
      </c>
      <c r="X170" s="889" t="s">
        <v>204</v>
      </c>
      <c r="Y170" s="12"/>
      <c r="Z170" s="888" t="s">
        <v>1534</v>
      </c>
      <c r="AA170" s="889" t="s">
        <v>204</v>
      </c>
      <c r="AB170" s="67"/>
      <c r="AC170" s="995"/>
      <c r="AD170" s="1405"/>
      <c r="AE170" s="1405"/>
      <c r="AF170" s="1405"/>
      <c r="AG170" s="1405"/>
      <c r="AH170" s="1405"/>
      <c r="AI170" s="1405"/>
      <c r="AJ170" s="1405"/>
      <c r="AK170" s="1405"/>
      <c r="AL170" s="1405"/>
      <c r="AM170" s="1405"/>
      <c r="AN170" s="1405"/>
      <c r="AO170" s="1405"/>
      <c r="AP170" s="1405"/>
      <c r="AQ170" s="1405"/>
      <c r="AR170" s="1405"/>
      <c r="AS170" s="67"/>
      <c r="AT170" s="995"/>
      <c r="AU170" s="12"/>
      <c r="AV170" s="892" t="str">
        <f t="shared" ref="AV170:AV178" si="88">F170</f>
        <v>energiefunctie</v>
      </c>
      <c r="AW170" s="452" t="str">
        <f>J170</f>
        <v>energiedrager</v>
      </c>
      <c r="AX170" s="910"/>
      <c r="AY170" s="12"/>
      <c r="AZ170" s="888" t="str">
        <f>AZ$64</f>
        <v>pos/neg</v>
      </c>
      <c r="BA170" s="888"/>
      <c r="BB170" s="888" t="str">
        <f>BB$64</f>
        <v>default</v>
      </c>
      <c r="BC170" s="452"/>
      <c r="BD170" s="452" t="str">
        <f>BD$64</f>
        <v>waarde</v>
      </c>
      <c r="BE170" s="452" t="str">
        <f>BE$64</f>
        <v>eenheden</v>
      </c>
      <c r="BF170" s="452"/>
      <c r="BG170" s="888" t="str">
        <f>BG$64</f>
        <v>default</v>
      </c>
      <c r="BH170" s="888" t="str">
        <f>BH$64</f>
        <v>eenheid</v>
      </c>
      <c r="BI170" s="452"/>
    </row>
    <row r="171" spans="1:61">
      <c r="A171" s="86"/>
      <c r="B171" s="47" t="str">
        <f t="shared" si="87"/>
        <v>Uniec 3 finaal</v>
      </c>
      <c r="C171" s="47" t="str">
        <f t="shared" si="87"/>
        <v>NTA 8800</v>
      </c>
      <c r="D171" s="943"/>
      <c r="E171" s="14"/>
      <c r="F171" s="22" t="s">
        <v>1446</v>
      </c>
      <c r="G171" s="22"/>
      <c r="H171" s="22"/>
      <c r="I171" s="905"/>
      <c r="J171" s="1691" t="s">
        <v>465</v>
      </c>
      <c r="K171" s="1698"/>
      <c r="L171" s="16"/>
      <c r="M171" s="24">
        <f>Q171*S171*BD171</f>
        <v>0</v>
      </c>
      <c r="N171" s="47" t="str">
        <f t="shared" ref="N171:N178" si="89">INDEX(EP_methode_eenheid,1,MATCH($C171,EP_methode,0))</f>
        <v>kWh</v>
      </c>
      <c r="O171" s="909"/>
      <c r="P171" s="39"/>
      <c r="Q171" s="59">
        <f>IFERROR(IF(AND(P171&lt;&gt;"",$BA171=1),P171,BB171),1)</f>
        <v>1.45</v>
      </c>
      <c r="R171" s="15"/>
      <c r="S171" s="25"/>
      <c r="T171" s="47" t="str">
        <f>IFERROR(INDEX(energiedragers_EP_eenheden,MATCH($J171,tabellen_EMD!$C$196:$C$204,0),MATCH($B171,energiedragers_EP_eenheden_titel,0)),"-")</f>
        <v>kWh</v>
      </c>
      <c r="U171" s="39"/>
      <c r="V171" s="15"/>
      <c r="W171" s="59">
        <f>IF(AND(V171&lt;&gt;"",$BA171=1),V171,BG171)</f>
        <v>0.34</v>
      </c>
      <c r="X171" s="47" t="str">
        <f>BH171</f>
        <v>kg/kWh</v>
      </c>
      <c r="Y171" s="12"/>
      <c r="Z171" s="24">
        <f>S171*W171*ABS(AZ171)</f>
        <v>0</v>
      </c>
      <c r="AA171" s="47" t="s">
        <v>468</v>
      </c>
      <c r="AB171" s="67"/>
      <c r="AC171" s="995"/>
      <c r="AD171" s="1405"/>
      <c r="AE171" s="1405"/>
      <c r="AF171" s="1405"/>
      <c r="AG171" s="1405"/>
      <c r="AH171" s="1405"/>
      <c r="AI171" s="1405"/>
      <c r="AJ171" s="1405"/>
      <c r="AK171" s="1405"/>
      <c r="AL171" s="1405"/>
      <c r="AM171" s="1405"/>
      <c r="AN171" s="1405"/>
      <c r="AO171" s="1405"/>
      <c r="AP171" s="1405"/>
      <c r="AQ171" s="1405"/>
      <c r="AR171" s="1405"/>
      <c r="AS171" s="67"/>
      <c r="AT171" s="995"/>
      <c r="AU171" s="12"/>
      <c r="AV171" s="22" t="str">
        <f t="shared" si="88"/>
        <v>elek: gebouwgebonden installaties</v>
      </c>
      <c r="AW171" s="46" t="str">
        <f>J171</f>
        <v>elektriciteit</v>
      </c>
      <c r="AX171" s="24"/>
      <c r="AY171" s="12"/>
      <c r="AZ171" s="115">
        <v>1</v>
      </c>
      <c r="BA171" s="24">
        <f>IFERROR(INDEX(tabellen_EMD!$C$185:$N$193,MATCH($J171,tabellen_EMD!$C$185:$C$193,0),MATCH(BA$63,tabellen_EMD!$C$185:$N$185,0)),0)</f>
        <v>0</v>
      </c>
      <c r="BB171" s="115">
        <f>VLOOKUP($J171,energiedragers_EP_PEF,MATCH(_xlfn.CONCAT($C171," | PEF"),energiedragers_EP_PEF_titel,0),FALSE)</f>
        <v>1.45</v>
      </c>
      <c r="BC171" s="899"/>
      <c r="BD171" s="115">
        <f>IFERROR(VLOOKUP($J171,energiedragers_EP_omrekenen,MATCH($B171,energiedragers_EP_omrekenen_titel,0),FALSE),1)</f>
        <v>1</v>
      </c>
      <c r="BE171" s="47" t="str">
        <f>_xlfn.CONCAT(N171,"/",T171)</f>
        <v>kWh/kWh</v>
      </c>
      <c r="BF171" s="899"/>
      <c r="BG171" s="218">
        <f>IFERROR(INDEX(tabellen_EMD!$C$240:$Z$248,MATCH($J171,tabellen_EMD!$C$240:$C$248,0),MATCH($B171,tabellen_EMD!$C$240:$Z$240,0))*(F171&lt;&gt;"zomercomfort"),0)</f>
        <v>0.34</v>
      </c>
      <c r="BH171" s="47" t="str">
        <f>"kg/"&amp;T171</f>
        <v>kg/kWh</v>
      </c>
      <c r="BI171" s="899"/>
    </row>
    <row r="172" spans="1:61">
      <c r="A172" s="86"/>
      <c r="B172" s="47" t="str">
        <f t="shared" si="87"/>
        <v>Uniec 3 finaal</v>
      </c>
      <c r="C172" s="47" t="str">
        <f t="shared" si="87"/>
        <v>NTA 8800</v>
      </c>
      <c r="D172" s="943"/>
      <c r="E172" s="14"/>
      <c r="F172" s="22" t="s">
        <v>1447</v>
      </c>
      <c r="G172" s="22"/>
      <c r="H172" s="22"/>
      <c r="I172" s="905"/>
      <c r="J172" s="965"/>
      <c r="K172" s="965"/>
      <c r="L172" s="965"/>
      <c r="M172" s="965"/>
      <c r="N172" s="965"/>
      <c r="O172" s="965"/>
      <c r="P172" s="965"/>
      <c r="Q172" s="965"/>
      <c r="R172" s="965"/>
      <c r="S172" s="965"/>
      <c r="T172" s="965"/>
      <c r="U172" s="965"/>
      <c r="V172" s="965"/>
      <c r="W172" s="965"/>
      <c r="X172" s="965"/>
      <c r="Y172" s="965"/>
      <c r="Z172" s="965"/>
      <c r="AA172" s="965"/>
      <c r="AB172" s="67"/>
      <c r="AC172" s="995"/>
      <c r="AD172" s="1405"/>
      <c r="AE172" s="1405"/>
      <c r="AF172" s="1405"/>
      <c r="AG172" s="1405"/>
      <c r="AH172" s="1405"/>
      <c r="AI172" s="1405"/>
      <c r="AJ172" s="1405"/>
      <c r="AK172" s="1405"/>
      <c r="AL172" s="1405"/>
      <c r="AM172" s="1405"/>
      <c r="AN172" s="1405"/>
      <c r="AO172" s="1405"/>
      <c r="AP172" s="1405"/>
      <c r="AQ172" s="1405"/>
      <c r="AR172" s="1405"/>
      <c r="AS172" s="67"/>
      <c r="AT172" s="995"/>
      <c r="AU172" s="12"/>
      <c r="AV172" s="22" t="str">
        <f t="shared" si="88"/>
        <v>elek: niet gebouwgebonden installaties</v>
      </c>
      <c r="AW172" s="899"/>
      <c r="AX172" s="899"/>
      <c r="AY172" s="899"/>
      <c r="AZ172" s="899"/>
      <c r="BA172" s="899"/>
      <c r="BB172" s="899"/>
      <c r="BC172" s="899"/>
      <c r="BD172" s="899"/>
      <c r="BE172" s="899"/>
      <c r="BF172" s="899"/>
      <c r="BG172" s="899"/>
      <c r="BH172" s="899"/>
      <c r="BI172" s="899"/>
    </row>
    <row r="173" spans="1:61">
      <c r="A173" s="86"/>
      <c r="B173" s="47" t="str">
        <f t="shared" si="87"/>
        <v>Uniec 3 finaal</v>
      </c>
      <c r="C173" s="47" t="str">
        <f t="shared" si="87"/>
        <v>NTA 8800</v>
      </c>
      <c r="D173" s="943"/>
      <c r="E173" s="14"/>
      <c r="F173" s="22" t="s">
        <v>1448</v>
      </c>
      <c r="G173" s="22"/>
      <c r="H173" s="22"/>
      <c r="I173" s="905"/>
      <c r="J173" s="1691" t="s">
        <v>466</v>
      </c>
      <c r="K173" s="1698"/>
      <c r="L173" s="16"/>
      <c r="M173" s="24">
        <f>Q173*S173*BD173</f>
        <v>0</v>
      </c>
      <c r="N173" s="47" t="str">
        <f t="shared" si="89"/>
        <v>kWh</v>
      </c>
      <c r="O173" s="909"/>
      <c r="P173" s="39"/>
      <c r="Q173" s="59">
        <f>IFERROR(IF(AND(P173&lt;&gt;"",$BA173=1),P173,BB173),1)</f>
        <v>1.45</v>
      </c>
      <c r="R173" s="15"/>
      <c r="S173" s="25"/>
      <c r="T173" s="47" t="str">
        <f>IFERROR(INDEX(energiedragers_EP_eenheden,MATCH($J173,tabellen_EMD!$C$196:$C$204,0),MATCH($B173,energiedragers_EP_eenheden_titel,0)),"-")</f>
        <v>kWh</v>
      </c>
      <c r="U173" s="1156"/>
      <c r="V173" s="15"/>
      <c r="W173" s="59">
        <f>IF(AND(V173&lt;&gt;"",$BA173=1),V173,BG173)</f>
        <v>0.34</v>
      </c>
      <c r="X173" s="47" t="str">
        <f>BH173</f>
        <v>kg/kWh</v>
      </c>
      <c r="Y173" s="12"/>
      <c r="Z173" s="24">
        <f>S173*W173*ABS(AZ173)</f>
        <v>0</v>
      </c>
      <c r="AA173" s="47" t="s">
        <v>468</v>
      </c>
      <c r="AB173" s="67"/>
      <c r="AC173" s="995"/>
      <c r="AD173" s="1405"/>
      <c r="AE173" s="1405"/>
      <c r="AF173" s="1405"/>
      <c r="AG173" s="1405"/>
      <c r="AH173" s="1405"/>
      <c r="AI173" s="1405"/>
      <c r="AJ173" s="1405"/>
      <c r="AK173" s="1405"/>
      <c r="AL173" s="1405"/>
      <c r="AM173" s="1405"/>
      <c r="AN173" s="1405"/>
      <c r="AO173" s="1405"/>
      <c r="AP173" s="1405"/>
      <c r="AQ173" s="1405"/>
      <c r="AR173" s="1405"/>
      <c r="AS173" s="67"/>
      <c r="AT173" s="995"/>
      <c r="AU173" s="12"/>
      <c r="AV173" s="22" t="str">
        <f t="shared" si="88"/>
        <v>elek: opgewekte elektriciteit</v>
      </c>
      <c r="AW173" s="46" t="str">
        <f t="shared" ref="AW173:AW178" si="90">J173</f>
        <v>elektriciteit opgewekt</v>
      </c>
      <c r="AX173" s="24"/>
      <c r="AY173" s="12"/>
      <c r="AZ173" s="115">
        <v>1</v>
      </c>
      <c r="BA173" s="24">
        <f>IFERROR(INDEX(tabellen_EMD!$C$185:$N$193,MATCH($J173,tabellen_EMD!$C$185:$C$193,0),MATCH(BA$63,tabellen_EMD!$C$185:$N$185,0)),0)</f>
        <v>0</v>
      </c>
      <c r="BB173" s="115">
        <f>VLOOKUP($J173,energiedragers_EP_PEF,MATCH(_xlfn.CONCAT($C173," | PEF"),energiedragers_EP_PEF_titel,0),FALSE)</f>
        <v>1.45</v>
      </c>
      <c r="BC173" s="899"/>
      <c r="BD173" s="115">
        <f>IFERROR(VLOOKUP($J173,energiedragers_EP_omrekenen,MATCH($B173,energiedragers_EP_omrekenen_titel,0),FALSE),1)</f>
        <v>1</v>
      </c>
      <c r="BE173" s="47" t="str">
        <f>_xlfn.CONCAT(N173,"/",T173)</f>
        <v>kWh/kWh</v>
      </c>
      <c r="BF173" s="899"/>
      <c r="BG173" s="218">
        <f>IFERROR(INDEX(tabellen_EMD!$C$240:$Z$248,MATCH($J173,tabellen_EMD!$C$240:$C$248,0),MATCH($B173,tabellen_EMD!$C$240:$Z$240,0))*(F173&lt;&gt;"zomercomfort"),0)</f>
        <v>0.34</v>
      </c>
      <c r="BH173" s="47" t="str">
        <f>"kg/"&amp;T173</f>
        <v>kg/kWh</v>
      </c>
      <c r="BI173" s="899"/>
    </row>
    <row r="174" spans="1:61">
      <c r="A174" s="86"/>
      <c r="B174" s="47" t="str">
        <f t="shared" si="87"/>
        <v>Uniec 3 finaal</v>
      </c>
      <c r="C174" s="47" t="str">
        <f t="shared" si="87"/>
        <v>NTA 8800</v>
      </c>
      <c r="D174" s="943"/>
      <c r="E174" s="14"/>
      <c r="F174" s="22" t="s">
        <v>1450</v>
      </c>
      <c r="G174" s="22"/>
      <c r="H174" s="22"/>
      <c r="I174" s="905"/>
      <c r="J174" s="1691" t="s">
        <v>463</v>
      </c>
      <c r="K174" s="1698"/>
      <c r="L174" s="16"/>
      <c r="M174" s="24">
        <f>Q174*S174*BD174</f>
        <v>0</v>
      </c>
      <c r="N174" s="47" t="str">
        <f t="shared" si="89"/>
        <v>kWh</v>
      </c>
      <c r="O174" s="909"/>
      <c r="P174" s="39"/>
      <c r="Q174" s="59">
        <f>IFERROR(IF(AND(P174&lt;&gt;"",$BA174=1),P174,BB174),1)</f>
        <v>1</v>
      </c>
      <c r="R174" s="15"/>
      <c r="S174" s="25"/>
      <c r="T174" s="47" t="str">
        <f>IFERROR(INDEX(energiedragers_EP_eenheden,MATCH($J174,tabellen_EMD!$C$196:$C$204,0),MATCH($B174,energiedragers_EP_eenheden_titel,0)),"-")</f>
        <v>m3 aeq</v>
      </c>
      <c r="U174" s="39"/>
      <c r="V174" s="15"/>
      <c r="W174" s="59">
        <f>IF(AND(V174&lt;&gt;"",$BA174=1),V174,BG174)</f>
        <v>1.788</v>
      </c>
      <c r="X174" s="47" t="str">
        <f>BH174</f>
        <v>kg/m3 aeq</v>
      </c>
      <c r="Y174" s="12"/>
      <c r="Z174" s="24">
        <f>S174*W174*ABS(AZ174)</f>
        <v>0</v>
      </c>
      <c r="AA174" s="47" t="s">
        <v>468</v>
      </c>
      <c r="AB174" s="67"/>
      <c r="AC174" s="995"/>
      <c r="AD174" s="1405"/>
      <c r="AE174" s="1405"/>
      <c r="AF174" s="1405"/>
      <c r="AG174" s="1405"/>
      <c r="AH174" s="1405"/>
      <c r="AI174" s="1405"/>
      <c r="AJ174" s="1405"/>
      <c r="AK174" s="1405"/>
      <c r="AL174" s="1405"/>
      <c r="AM174" s="1405"/>
      <c r="AN174" s="1405"/>
      <c r="AO174" s="1405"/>
      <c r="AP174" s="1405"/>
      <c r="AQ174" s="1405"/>
      <c r="AR174" s="1405"/>
      <c r="AS174" s="67"/>
      <c r="AT174" s="995"/>
      <c r="AU174" s="12"/>
      <c r="AV174" s="22" t="str">
        <f t="shared" si="88"/>
        <v>gas (tbv verwarming / tapwater)</v>
      </c>
      <c r="AW174" s="46" t="str">
        <f t="shared" si="90"/>
        <v>aardgas</v>
      </c>
      <c r="AX174" s="24"/>
      <c r="AY174" s="12"/>
      <c r="AZ174" s="115">
        <v>1</v>
      </c>
      <c r="BA174" s="24">
        <f>IFERROR(INDEX(tabellen_EMD!$C$185:$N$193,MATCH($J174,tabellen_EMD!$C$185:$C$193,0),MATCH(BA$63,tabellen_EMD!$C$185:$N$185,0)),0)</f>
        <v>0</v>
      </c>
      <c r="BB174" s="115">
        <f>VLOOKUP($J174,energiedragers_EP_PEF,MATCH(_xlfn.CONCAT($C174," | PEF"),energiedragers_EP_PEF_titel,0),FALSE)</f>
        <v>1</v>
      </c>
      <c r="BC174" s="899"/>
      <c r="BD174" s="115">
        <f>IFERROR(VLOOKUP($J174,energiedragers_EP_omrekenen,MATCH($B174,energiedragers_EP_omrekenen_titel,0),FALSE),1)</f>
        <v>9.7694444444444439</v>
      </c>
      <c r="BE174" s="47" t="str">
        <f>_xlfn.CONCAT(N174,"/",T174)</f>
        <v>kWh/m3 aeq</v>
      </c>
      <c r="BF174" s="899"/>
      <c r="BG174" s="218">
        <f>IFERROR(INDEX(tabellen_EMD!$C$240:$Z$248,MATCH($J174,tabellen_EMD!$C$240:$C$248,0),MATCH($B174,tabellen_EMD!$C$240:$Z$240,0))*(F174&lt;&gt;"zomercomfort"),0)</f>
        <v>1.788</v>
      </c>
      <c r="BH174" s="47" t="str">
        <f>"kg/"&amp;T174</f>
        <v>kg/m3 aeq</v>
      </c>
      <c r="BI174" s="899"/>
    </row>
    <row r="175" spans="1:61">
      <c r="A175" s="86"/>
      <c r="B175" s="47" t="str">
        <f t="shared" si="87"/>
        <v>Uniec 3 finaal</v>
      </c>
      <c r="C175" s="47" t="str">
        <f t="shared" si="87"/>
        <v>NTA 8800</v>
      </c>
      <c r="D175" s="943"/>
      <c r="E175" s="14"/>
      <c r="F175" s="22" t="s">
        <v>1449</v>
      </c>
      <c r="G175" s="22"/>
      <c r="H175" s="22"/>
      <c r="I175" s="905"/>
      <c r="J175" s="1691" t="s">
        <v>467</v>
      </c>
      <c r="K175" s="1698"/>
      <c r="L175" s="16"/>
      <c r="M175" s="24">
        <f>Q175*S175*BD175</f>
        <v>0</v>
      </c>
      <c r="N175" s="47" t="str">
        <f t="shared" si="89"/>
        <v>kWh</v>
      </c>
      <c r="O175" s="909"/>
      <c r="P175" s="154"/>
      <c r="Q175" s="59">
        <f>IFERROR(IF(AND(P175&lt;&gt;"",$BA175=1),P175,BB175),1)</f>
        <v>1</v>
      </c>
      <c r="R175" s="15"/>
      <c r="S175" s="25"/>
      <c r="T175" s="47" t="str">
        <f>IFERROR(INDEX(energiedragers_EP_eenheden,MATCH($J175,tabellen_EMD!$C$196:$C$204,0),MATCH($B175,energiedragers_EP_eenheden_titel,0)),"-")</f>
        <v>kWh</v>
      </c>
      <c r="U175" s="39"/>
      <c r="V175" s="15"/>
      <c r="W175" s="59">
        <f>IF(AND(V175&lt;&gt;"",$BA175=1),V175,BG175)</f>
        <v>0.372</v>
      </c>
      <c r="X175" s="47" t="str">
        <f>BH175</f>
        <v>kg/kWh</v>
      </c>
      <c r="Y175" s="12"/>
      <c r="Z175" s="24">
        <f>S175*W175*ABS(AZ175)</f>
        <v>0</v>
      </c>
      <c r="AA175" s="47" t="s">
        <v>468</v>
      </c>
      <c r="AB175" s="67"/>
      <c r="AC175" s="995"/>
      <c r="AD175" s="1405"/>
      <c r="AE175" s="1405"/>
      <c r="AF175" s="1405"/>
      <c r="AG175" s="1405"/>
      <c r="AH175" s="1405"/>
      <c r="AI175" s="1405"/>
      <c r="AJ175" s="1405"/>
      <c r="AK175" s="1405"/>
      <c r="AL175" s="1405"/>
      <c r="AM175" s="1405"/>
      <c r="AN175" s="1405"/>
      <c r="AO175" s="1405"/>
      <c r="AP175" s="1405"/>
      <c r="AQ175" s="1405"/>
      <c r="AR175" s="1405"/>
      <c r="AS175" s="67"/>
      <c r="AT175" s="995"/>
      <c r="AU175" s="12"/>
      <c r="AV175" s="22" t="str">
        <f t="shared" si="88"/>
        <v>biomassa (tbv verwarming / tapwater)</v>
      </c>
      <c r="AW175" s="46" t="str">
        <f t="shared" si="90"/>
        <v>hout / biomassa</v>
      </c>
      <c r="AX175" s="24"/>
      <c r="AY175" s="12"/>
      <c r="AZ175" s="115">
        <v>1</v>
      </c>
      <c r="BA175" s="24">
        <f>IFERROR(INDEX(tabellen_EMD!$C$185:$N$193,MATCH($J175,tabellen_EMD!$C$185:$C$193,0),MATCH(BA$63,tabellen_EMD!$C$185:$N$185,0)),0)</f>
        <v>1</v>
      </c>
      <c r="BB175" s="115">
        <f>VLOOKUP($J175,energiedragers_EP_PEF,MATCH(_xlfn.CONCAT($C175," | PEF"),energiedragers_EP_PEF_titel,0),FALSE)</f>
        <v>1</v>
      </c>
      <c r="BC175" s="899"/>
      <c r="BD175" s="115">
        <f>IFERROR(VLOOKUP($J175,energiedragers_EP_omrekenen,MATCH($B175,energiedragers_EP_omrekenen_titel,0),FALSE),1)</f>
        <v>1</v>
      </c>
      <c r="BE175" s="47" t="str">
        <f>_xlfn.CONCAT(N175,"/",T175)</f>
        <v>kWh/kWh</v>
      </c>
      <c r="BF175" s="899"/>
      <c r="BG175" s="218">
        <f>IFERROR(INDEX(tabellen_EMD!$C$240:$Z$248,MATCH($J175,tabellen_EMD!$C$240:$C$248,0),MATCH($B175,tabellen_EMD!$C$240:$Z$240,0))*(F175&lt;&gt;"zomercomfort"),0)</f>
        <v>0.372</v>
      </c>
      <c r="BH175" s="47" t="str">
        <f>"kg/"&amp;T175</f>
        <v>kg/kWh</v>
      </c>
      <c r="BI175" s="899"/>
    </row>
    <row r="176" spans="1:61">
      <c r="A176" s="86"/>
      <c r="B176" s="47" t="str">
        <f t="shared" si="87"/>
        <v>Uniec 3 finaal</v>
      </c>
      <c r="C176" s="47" t="str">
        <f t="shared" si="87"/>
        <v>NTA 8800</v>
      </c>
      <c r="D176" s="943"/>
      <c r="E176" s="14"/>
      <c r="F176" s="52" t="s">
        <v>500</v>
      </c>
      <c r="G176" s="52"/>
      <c r="H176" s="52"/>
      <c r="I176" s="905"/>
      <c r="J176" s="1691" t="s">
        <v>1539</v>
      </c>
      <c r="K176" s="1698"/>
      <c r="L176" s="16"/>
      <c r="M176" s="24">
        <f>Q176*S176*BD176</f>
        <v>0</v>
      </c>
      <c r="N176" s="47" t="str">
        <f t="shared" si="89"/>
        <v>kWh</v>
      </c>
      <c r="O176" s="909"/>
      <c r="P176" s="154"/>
      <c r="Q176" s="59">
        <f>IFERROR(IF(AND(P176&lt;&gt;"",$BA176=1),P176,BB176),1)</f>
        <v>0.90909090909090906</v>
      </c>
      <c r="R176" s="15"/>
      <c r="S176" s="789"/>
      <c r="T176" s="47" t="str">
        <f>IFERROR(INDEX(energiedragers_EP_eenheden,MATCH($J176,tabellen_EMD!$C$196:$C$204,0),MATCH($B176,energiedragers_EP_eenheden_titel,0)),"-")</f>
        <v>GJ</v>
      </c>
      <c r="U176" s="39"/>
      <c r="V176" s="154"/>
      <c r="W176" s="59">
        <f>IF(AND(V176&lt;&gt;"",$BA176=1),V176,BG176)</f>
        <v>47.222000000000001</v>
      </c>
      <c r="X176" s="47" t="str">
        <f t="shared" ref="X176:X177" si="91">BH176</f>
        <v>kg/GJ</v>
      </c>
      <c r="Y176" s="12"/>
      <c r="Z176" s="24">
        <f>S176*W176*ABS(AZ176)</f>
        <v>0</v>
      </c>
      <c r="AA176" s="47" t="s">
        <v>468</v>
      </c>
      <c r="AB176" s="67"/>
      <c r="AC176" s="995"/>
      <c r="AD176" s="1405"/>
      <c r="AE176" s="1405"/>
      <c r="AF176" s="1405"/>
      <c r="AG176" s="1405"/>
      <c r="AH176" s="1405"/>
      <c r="AI176" s="1405"/>
      <c r="AJ176" s="1405"/>
      <c r="AK176" s="1405"/>
      <c r="AL176" s="1405"/>
      <c r="AM176" s="1405"/>
      <c r="AN176" s="1405"/>
      <c r="AO176" s="1405"/>
      <c r="AP176" s="1405"/>
      <c r="AQ176" s="1405"/>
      <c r="AR176" s="1405"/>
      <c r="AS176" s="67"/>
      <c r="AT176" s="995"/>
      <c r="AU176" s="12"/>
      <c r="AV176" s="22" t="str">
        <f t="shared" si="88"/>
        <v>externe warmtelevering</v>
      </c>
      <c r="AW176" s="46" t="str">
        <f t="shared" si="90"/>
        <v>externe warmte</v>
      </c>
      <c r="AX176" s="12"/>
      <c r="AY176" s="12"/>
      <c r="AZ176" s="115">
        <v>1</v>
      </c>
      <c r="BA176" s="24">
        <f>IFERROR(INDEX(tabellen_EMD!$C$185:$N$193,MATCH($J176,tabellen_EMD!$C$185:$C$193,0),MATCH(BA$63,tabellen_EMD!$C$185:$N$185,0)),0)</f>
        <v>1</v>
      </c>
      <c r="BB176" s="115">
        <f>VLOOKUP($J176,energiedragers_EP_PEF,MATCH(_xlfn.CONCAT($C176," | PEF"),energiedragers_EP_PEF_titel,0),FALSE)</f>
        <v>0.90909090909090906</v>
      </c>
      <c r="BC176" s="899"/>
      <c r="BD176" s="115">
        <f>IFERROR(VLOOKUP($J176,energiedragers_EP_omrekenen,MATCH($B176,energiedragers_EP_omrekenen_titel,0),FALSE),1)</f>
        <v>277.77777777777777</v>
      </c>
      <c r="BE176" s="47" t="str">
        <f>_xlfn.CONCAT(N176,"/",T176)</f>
        <v>kWh/GJ</v>
      </c>
      <c r="BF176" s="899"/>
      <c r="BG176" s="24">
        <f>IFERROR(INDEX(tabellen_EMD!$C$240:$Z$248,MATCH($J176,tabellen_EMD!$C$240:$C$248,0),MATCH($B176,tabellen_EMD!$C$240:$Z$240,0))*(F176&lt;&gt;"zomercomfort"),0)</f>
        <v>47.222000000000001</v>
      </c>
      <c r="BH176" s="22" t="str">
        <f>"kg/"&amp;T176</f>
        <v>kg/GJ</v>
      </c>
      <c r="BI176" s="899"/>
    </row>
    <row r="177" spans="1:61">
      <c r="A177" s="86"/>
      <c r="B177" s="47" t="str">
        <f t="shared" si="87"/>
        <v>Uniec 3 finaal</v>
      </c>
      <c r="C177" s="47" t="str">
        <f t="shared" si="87"/>
        <v>NTA 8800</v>
      </c>
      <c r="D177" s="943"/>
      <c r="E177" s="14"/>
      <c r="F177" s="52" t="s">
        <v>1598</v>
      </c>
      <c r="G177" s="52"/>
      <c r="H177" s="52"/>
      <c r="I177" s="905"/>
      <c r="J177" s="1691" t="s">
        <v>1599</v>
      </c>
      <c r="K177" s="1698"/>
      <c r="L177" s="16"/>
      <c r="M177" s="24">
        <f>Q177*S177*BD177</f>
        <v>0</v>
      </c>
      <c r="N177" s="47" t="str">
        <f t="shared" si="89"/>
        <v>kWh</v>
      </c>
      <c r="O177" s="909"/>
      <c r="P177" s="154"/>
      <c r="Q177" s="59">
        <f>IFERROR(IF(AND(P177&lt;&gt;"",$BA177=1),P177,BB177),1)</f>
        <v>3.3333333333333333E-2</v>
      </c>
      <c r="R177" s="15"/>
      <c r="S177" s="789"/>
      <c r="T177" s="47" t="str">
        <f>IFERROR(INDEX(energiedragers_EP_eenheden,MATCH($J177,tabellen_EMD!$C$196:$C$204,0),MATCH($B177,energiedragers_EP_eenheden_titel,0)),"-")</f>
        <v>GJ</v>
      </c>
      <c r="U177" s="39"/>
      <c r="V177" s="154"/>
      <c r="W177" s="59">
        <f>IF(AND(V177&lt;&gt;"",$BA177=1),V177,BG177)</f>
        <v>31.481000000000002</v>
      </c>
      <c r="X177" s="47" t="str">
        <f t="shared" si="91"/>
        <v>kg/GJ</v>
      </c>
      <c r="Y177" s="12"/>
      <c r="Z177" s="24">
        <f>S177*W177*ABS(AZ177)</f>
        <v>0</v>
      </c>
      <c r="AA177" s="47" t="s">
        <v>468</v>
      </c>
      <c r="AB177" s="67"/>
      <c r="AC177" s="995"/>
      <c r="AD177" s="1405"/>
      <c r="AE177" s="1405"/>
      <c r="AF177" s="1405"/>
      <c r="AG177" s="1405"/>
      <c r="AH177" s="1405"/>
      <c r="AI177" s="1405"/>
      <c r="AJ177" s="1405"/>
      <c r="AK177" s="1405"/>
      <c r="AL177" s="1405"/>
      <c r="AM177" s="1405"/>
      <c r="AN177" s="1405"/>
      <c r="AO177" s="1405"/>
      <c r="AP177" s="1405"/>
      <c r="AQ177" s="1405"/>
      <c r="AR177" s="1405"/>
      <c r="AS177" s="67"/>
      <c r="AT177" s="995"/>
      <c r="AU177" s="12"/>
      <c r="AV177" s="22" t="str">
        <f t="shared" si="88"/>
        <v>externe koudelevering</v>
      </c>
      <c r="AW177" s="46" t="str">
        <f t="shared" si="90"/>
        <v>externe koude</v>
      </c>
      <c r="AX177" s="12"/>
      <c r="AY177" s="12"/>
      <c r="AZ177" s="115">
        <v>1</v>
      </c>
      <c r="BA177" s="24">
        <f>IFERROR(INDEX(tabellen_EMD!$C$185:$N$193,MATCH($J177,tabellen_EMD!$C$185:$C$193,0),MATCH(BA$63,tabellen_EMD!$C$185:$N$185,0)),0)</f>
        <v>1</v>
      </c>
      <c r="BB177" s="115">
        <f>VLOOKUP($J177,energiedragers_EP_PEF,MATCH(_xlfn.CONCAT($C177," | PEF"),energiedragers_EP_PEF_titel,0),FALSE)</f>
        <v>3.3333333333333333E-2</v>
      </c>
      <c r="BC177" s="899"/>
      <c r="BD177" s="115">
        <f>IFERROR(VLOOKUP($J177,energiedragers_EP_omrekenen,MATCH($B177,energiedragers_EP_omrekenen_titel,0),FALSE),1)</f>
        <v>277.77777777777777</v>
      </c>
      <c r="BE177" s="47" t="str">
        <f>_xlfn.CONCAT(N177,"/",T177)</f>
        <v>kWh/GJ</v>
      </c>
      <c r="BF177" s="899"/>
      <c r="BG177" s="24">
        <f>IFERROR(INDEX(tabellen_EMD!$C$240:$Z$248,MATCH($J177,tabellen_EMD!$C$240:$C$248,0),MATCH($B177,tabellen_EMD!$C$240:$Z$240,0))*(F177&lt;&gt;"zomercomfort"),0)</f>
        <v>31.481000000000002</v>
      </c>
      <c r="BH177" s="22" t="str">
        <f>"kg/"&amp;T177</f>
        <v>kg/GJ</v>
      </c>
      <c r="BI177" s="899"/>
    </row>
    <row r="178" spans="1:61" s="940" customFormat="1">
      <c r="A178" s="49"/>
      <c r="B178" s="47" t="str">
        <f>B176</f>
        <v>Uniec 3 finaal</v>
      </c>
      <c r="C178" s="47" t="str">
        <f>C176</f>
        <v>NTA 8800</v>
      </c>
      <c r="D178" s="943"/>
      <c r="E178" s="14"/>
      <c r="F178" s="15" t="s">
        <v>1391</v>
      </c>
      <c r="G178" s="15"/>
      <c r="H178" s="15"/>
      <c r="I178" s="905"/>
      <c r="J178" s="43" t="s">
        <v>1391</v>
      </c>
      <c r="K178" s="43"/>
      <c r="L178" s="16"/>
      <c r="M178" s="950">
        <f>SUM(M171,M174,M175,M176,M177-M173)</f>
        <v>0</v>
      </c>
      <c r="N178" s="15" t="str">
        <f t="shared" si="89"/>
        <v>kWh</v>
      </c>
      <c r="O178" s="15"/>
      <c r="P178" s="39"/>
      <c r="Q178" s="39"/>
      <c r="R178" s="15"/>
      <c r="S178" s="899"/>
      <c r="T178" s="899"/>
      <c r="U178" s="39"/>
      <c r="V178" s="39"/>
      <c r="W178" s="39"/>
      <c r="X178" s="39"/>
      <c r="Y178" s="12"/>
      <c r="Z178" s="950">
        <f>SUM(Z171,Z174,Z175,Z176,Z177-Z173)</f>
        <v>0</v>
      </c>
      <c r="AA178" s="15" t="s">
        <v>468</v>
      </c>
      <c r="AB178" s="67"/>
      <c r="AC178" s="995"/>
      <c r="AD178" s="1405"/>
      <c r="AE178" s="1405"/>
      <c r="AF178" s="1405"/>
      <c r="AG178" s="1405"/>
      <c r="AH178" s="1405"/>
      <c r="AI178" s="1405"/>
      <c r="AJ178" s="1405"/>
      <c r="AK178" s="1405"/>
      <c r="AL178" s="1405"/>
      <c r="AM178" s="1405"/>
      <c r="AN178" s="1405"/>
      <c r="AO178" s="1405"/>
      <c r="AP178" s="1405"/>
      <c r="AQ178" s="1405"/>
      <c r="AR178" s="1405"/>
      <c r="AS178" s="67"/>
      <c r="AT178" s="995"/>
      <c r="AU178" s="12"/>
      <c r="AV178" s="22" t="str">
        <f t="shared" si="88"/>
        <v>totaal</v>
      </c>
      <c r="AW178" s="46" t="str">
        <f t="shared" si="90"/>
        <v>totaal</v>
      </c>
      <c r="AX178" s="24"/>
      <c r="AY178" s="12"/>
      <c r="AZ178" s="24"/>
      <c r="BA178" s="12"/>
      <c r="BB178" s="24"/>
      <c r="BC178" s="899"/>
      <c r="BD178" s="12"/>
      <c r="BE178" s="12"/>
      <c r="BF178" s="899"/>
      <c r="BG178" s="12"/>
      <c r="BH178" s="12"/>
      <c r="BI178" s="899"/>
    </row>
    <row r="179" spans="1:61" s="49" customFormat="1">
      <c r="A179" s="212"/>
      <c r="B179" s="47" t="str">
        <f t="shared" si="87"/>
        <v>Uniec 3 finaal</v>
      </c>
      <c r="C179" s="47" t="str">
        <f t="shared" si="87"/>
        <v>NTA 8800</v>
      </c>
      <c r="D179" s="943"/>
      <c r="E179" s="50"/>
      <c r="F179" s="452" t="str">
        <f>IFERROR(IF($P$23=$B179,_xlfn.CONCAT("Bij 1.1 ingevuld: ",FIXED($J$35,2,FALSE)," ",$K$35),""),"invoer niet correct")</f>
        <v>Bij 1.1 ingevuld: 0.00 kWh/m2 Ag</v>
      </c>
      <c r="G179" s="452"/>
      <c r="H179" s="452"/>
      <c r="I179" s="905"/>
      <c r="J179" s="909" t="str">
        <f>IFERROR(IF($P$23=$B179,IF(ABS((M179-$J$35)/$J$35)&gt;1%,"Afwijking &gt;1% met subthema 1.1",""),""),"invoer niet correct")</f>
        <v>invoer niet correct</v>
      </c>
      <c r="K179" s="909"/>
      <c r="L179" s="910"/>
      <c r="M179" s="1339">
        <f>IFERROR(IF($P$23=$B179,M178/$J$59,""),"")</f>
        <v>0</v>
      </c>
      <c r="N179" s="452" t="str">
        <f>IF($P$23=$B179,_xlfn.CONCAT(N178,"/m2"),"")</f>
        <v>kWh/m2</v>
      </c>
      <c r="O179" s="452"/>
      <c r="P179" s="39"/>
      <c r="Q179" s="39"/>
      <c r="R179" s="899"/>
      <c r="S179" s="899"/>
      <c r="T179" s="899"/>
      <c r="U179" s="39"/>
      <c r="V179" s="39"/>
      <c r="W179" s="910" t="str">
        <f>IFERROR(IF($P$23=$B179,_xlfn.CONCAT("Bij 1.1 ingevuld: ",FIXED($AG$40,1,FALSE)," ",$AH$40),""),"invoer niet correct")</f>
        <v>Bij 1.1 ingevuld: 0.0 kg/m2 Ag</v>
      </c>
      <c r="X179" s="909" t="str">
        <f>IFERROR(IF($P$23=$B179,IF(ABS((Z179-$AG$40)/$AG$40)&gt;1%,"afwijking &gt;1% met subthema 1.1",""),""),"invoer niet correct")</f>
        <v>invoer niet correct</v>
      </c>
      <c r="Y179" s="12"/>
      <c r="Z179" s="951">
        <f>IFERROR(IF($P$23=$B179,Z178/$J$58,""),"")</f>
        <v>0</v>
      </c>
      <c r="AA179" s="452" t="str">
        <f>IF($P$23=$B179,_xlfn.CONCAT(AA178,"/m2"),"")</f>
        <v>kg/m2</v>
      </c>
      <c r="AB179" s="1393"/>
      <c r="AC179" s="1001"/>
      <c r="AD179" s="1405"/>
      <c r="AE179" s="1405"/>
      <c r="AF179" s="1405"/>
      <c r="AG179" s="1405"/>
      <c r="AH179" s="1405"/>
      <c r="AI179" s="1405"/>
      <c r="AJ179" s="1405"/>
      <c r="AK179" s="1405"/>
      <c r="AL179" s="1405"/>
      <c r="AM179" s="1405"/>
      <c r="AN179" s="1405"/>
      <c r="AO179" s="1405"/>
      <c r="AP179" s="1405"/>
      <c r="AQ179" s="1405"/>
      <c r="AR179" s="1405"/>
      <c r="AS179" s="1393"/>
      <c r="AT179" s="1001"/>
      <c r="AU179" s="12"/>
      <c r="AV179" s="452"/>
      <c r="AW179" s="452"/>
      <c r="AX179" s="452"/>
      <c r="AY179" s="452"/>
      <c r="AZ179" s="452"/>
      <c r="BA179" s="452"/>
      <c r="BB179" s="452"/>
      <c r="BC179" s="452"/>
      <c r="BD179" s="452"/>
      <c r="BE179" s="452"/>
      <c r="BF179" s="452"/>
      <c r="BG179" s="899"/>
      <c r="BH179" s="899"/>
      <c r="BI179" s="899"/>
    </row>
    <row r="180" spans="1:61">
      <c r="A180" s="86"/>
      <c r="B180" s="47" t="str">
        <f t="shared" si="87"/>
        <v>Uniec 3 finaal</v>
      </c>
      <c r="C180" s="47" t="str">
        <f t="shared" si="87"/>
        <v>NTA 8800</v>
      </c>
      <c r="D180" s="943"/>
      <c r="E180" s="14"/>
      <c r="F180" s="43"/>
      <c r="G180" s="43"/>
      <c r="H180" s="43"/>
      <c r="I180" s="905"/>
      <c r="J180" s="55"/>
      <c r="K180" s="55"/>
      <c r="L180" s="53"/>
      <c r="M180" s="54"/>
      <c r="N180" s="56"/>
      <c r="O180" s="148"/>
      <c r="P180" s="39"/>
      <c r="Q180" s="39"/>
      <c r="R180" s="53"/>
      <c r="S180" s="1"/>
      <c r="T180" s="53"/>
      <c r="U180" s="39"/>
      <c r="V180" s="39"/>
      <c r="W180" s="39"/>
      <c r="X180" s="39"/>
      <c r="Y180" s="12"/>
      <c r="Z180" s="13"/>
      <c r="AA180" s="13"/>
      <c r="AB180" s="67"/>
      <c r="AC180" s="995"/>
      <c r="AD180" s="1405"/>
      <c r="AE180" s="1405"/>
      <c r="AF180" s="1405"/>
      <c r="AG180" s="1405"/>
      <c r="AH180" s="1405"/>
      <c r="AI180" s="1405"/>
      <c r="AJ180" s="1405"/>
      <c r="AK180" s="1405"/>
      <c r="AL180" s="1405"/>
      <c r="AM180" s="1405"/>
      <c r="AN180" s="1405"/>
      <c r="AO180" s="1405"/>
      <c r="AP180" s="1405"/>
      <c r="AQ180" s="1405"/>
      <c r="AR180" s="1405"/>
      <c r="AS180" s="67"/>
      <c r="AT180" s="995"/>
      <c r="AU180" s="12"/>
      <c r="AV180" s="12"/>
      <c r="AW180" s="12"/>
      <c r="AX180" s="12"/>
      <c r="AY180" s="12"/>
      <c r="AZ180" s="12"/>
      <c r="BA180" s="12"/>
      <c r="BB180" s="12"/>
      <c r="BC180" s="12"/>
      <c r="BD180" s="12"/>
      <c r="BE180" s="12"/>
      <c r="BF180" s="12"/>
      <c r="BG180" s="12"/>
      <c r="BH180" s="12"/>
      <c r="BI180" s="12"/>
    </row>
    <row r="181" spans="1:61" s="49" customFormat="1" hidden="1">
      <c r="A181" s="212" t="s">
        <v>493</v>
      </c>
      <c r="B181" s="1005" t="str">
        <f>$P$23</f>
        <v>Uniec 3 finaal</v>
      </c>
      <c r="C181" s="1005" t="str">
        <f>VLOOKUP(B181,'NTA 8800 naar GPR4'!$AV$40:$AY$48,COLUMNS($AV$40:$AX$40),FALSE)</f>
        <v>NTA 8800</v>
      </c>
      <c r="D181" s="947"/>
      <c r="E181" s="50"/>
      <c r="F181" s="43" t="s">
        <v>1486</v>
      </c>
      <c r="G181" s="43"/>
      <c r="H181" s="43"/>
      <c r="I181" s="905"/>
      <c r="J181" s="44"/>
      <c r="K181" s="44"/>
      <c r="L181" s="44"/>
      <c r="M181" s="909" t="s">
        <v>1485</v>
      </c>
      <c r="N181" s="44"/>
      <c r="O181" s="44"/>
      <c r="P181" s="899"/>
      <c r="Q181" s="899"/>
      <c r="R181" s="899"/>
      <c r="S181" s="453" t="s">
        <v>1605</v>
      </c>
      <c r="T181" s="44"/>
      <c r="U181" s="899"/>
      <c r="V181" s="453"/>
      <c r="W181" s="453" t="s">
        <v>1606</v>
      </c>
      <c r="X181" s="44"/>
      <c r="Y181" s="12"/>
      <c r="Z181" s="453" t="s">
        <v>1536</v>
      </c>
      <c r="AA181" s="12"/>
      <c r="AB181" s="1393"/>
      <c r="AC181" s="995"/>
      <c r="AD181" s="1405"/>
      <c r="AE181" s="1405"/>
      <c r="AF181" s="1405"/>
      <c r="AG181" s="1405"/>
      <c r="AH181" s="1405"/>
      <c r="AI181" s="1405"/>
      <c r="AJ181" s="1405"/>
      <c r="AK181" s="1405"/>
      <c r="AL181" s="1405"/>
      <c r="AM181" s="1405"/>
      <c r="AN181" s="1405"/>
      <c r="AO181" s="1405"/>
      <c r="AP181" s="1405"/>
      <c r="AQ181" s="1405"/>
      <c r="AR181" s="1405"/>
      <c r="AS181" s="1393"/>
      <c r="AT181" s="1001"/>
      <c r="AU181" s="12"/>
      <c r="AV181" s="12"/>
      <c r="AW181" s="12"/>
      <c r="AX181" s="12"/>
      <c r="AY181" s="12"/>
      <c r="AZ181" s="12"/>
      <c r="BA181" s="12"/>
      <c r="BB181" s="12"/>
      <c r="BC181" s="12"/>
      <c r="BD181" s="12"/>
      <c r="BE181" s="12"/>
      <c r="BF181" s="12"/>
      <c r="BG181" s="12"/>
      <c r="BH181" s="12"/>
      <c r="BI181" s="13"/>
    </row>
    <row r="182" spans="1:61" hidden="1">
      <c r="A182" s="212" t="s">
        <v>493</v>
      </c>
      <c r="B182" s="978" t="str">
        <f t="shared" ref="B182:C191" si="92">B181</f>
        <v>Uniec 3 finaal</v>
      </c>
      <c r="C182" s="978" t="str">
        <f t="shared" si="92"/>
        <v>NTA 8800</v>
      </c>
      <c r="D182" s="947"/>
      <c r="E182" s="14"/>
      <c r="F182" s="892" t="s">
        <v>1632</v>
      </c>
      <c r="G182" s="892"/>
      <c r="H182" s="892"/>
      <c r="I182" s="905"/>
      <c r="J182" s="892" t="s">
        <v>1633</v>
      </c>
      <c r="K182" s="965"/>
      <c r="L182" s="889"/>
      <c r="M182" s="910" t="s">
        <v>1534</v>
      </c>
      <c r="N182" s="452" t="s">
        <v>204</v>
      </c>
      <c r="O182" s="452"/>
      <c r="P182" s="452"/>
      <c r="Q182" s="452"/>
      <c r="R182" s="39"/>
      <c r="S182" s="888" t="s">
        <v>1534</v>
      </c>
      <c r="T182" s="889" t="s">
        <v>204</v>
      </c>
      <c r="U182" s="452"/>
      <c r="V182" s="888"/>
      <c r="W182" s="888" t="s">
        <v>1534</v>
      </c>
      <c r="X182" s="889" t="s">
        <v>204</v>
      </c>
      <c r="Y182" s="12"/>
      <c r="Z182" s="888" t="s">
        <v>1534</v>
      </c>
      <c r="AA182" s="889" t="s">
        <v>204</v>
      </c>
      <c r="AB182" s="67"/>
      <c r="AC182" s="995"/>
      <c r="AD182" s="1405"/>
      <c r="AE182" s="1405"/>
      <c r="AF182" s="1405"/>
      <c r="AG182" s="1405"/>
      <c r="AH182" s="1405"/>
      <c r="AI182" s="1405"/>
      <c r="AJ182" s="1405"/>
      <c r="AK182" s="1405"/>
      <c r="AL182" s="1405"/>
      <c r="AM182" s="1405"/>
      <c r="AN182" s="1405"/>
      <c r="AO182" s="1405"/>
      <c r="AP182" s="1405"/>
      <c r="AQ182" s="1405"/>
      <c r="AR182" s="1405"/>
      <c r="AS182" s="67"/>
      <c r="AT182" s="995"/>
      <c r="AU182" s="12"/>
      <c r="AV182" s="12"/>
      <c r="AW182" s="12"/>
      <c r="AX182" s="12"/>
      <c r="AY182" s="12"/>
      <c r="AZ182" s="12"/>
      <c r="BA182" s="12"/>
      <c r="BB182" s="12"/>
      <c r="BC182" s="12"/>
      <c r="BD182" s="12"/>
      <c r="BE182" s="12"/>
      <c r="BF182" s="12"/>
      <c r="BG182" s="12"/>
      <c r="BH182" s="12"/>
      <c r="BI182" s="13"/>
    </row>
    <row r="183" spans="1:61" s="49" customFormat="1" hidden="1">
      <c r="A183" s="212" t="s">
        <v>493</v>
      </c>
      <c r="B183" s="978" t="str">
        <f t="shared" si="92"/>
        <v>Uniec 3 finaal</v>
      </c>
      <c r="C183" s="978" t="str">
        <f t="shared" si="92"/>
        <v>NTA 8800</v>
      </c>
      <c r="D183" s="947"/>
      <c r="E183" s="50"/>
      <c r="F183" s="46" t="str">
        <f>tabellen_EMD!C197</f>
        <v>aardgas</v>
      </c>
      <c r="G183" s="46"/>
      <c r="H183" s="46"/>
      <c r="I183" s="905"/>
      <c r="J183" s="1691" t="s">
        <v>463</v>
      </c>
      <c r="K183" s="1698"/>
      <c r="L183" s="44"/>
      <c r="M183" s="24">
        <f t="shared" ref="M183:M189" si="93">SUMIFS(M$63:M$180,$AZ$63:$AZ$180,1,$B$63:$B$180,$B183,$J$63:$J$180,$F183)-SUMIFS(M$63:M$180,$AZ$63:$AZ$180,-1,$B$63:$B$180,$B183,$J$63:$J$180,$F183)</f>
        <v>0</v>
      </c>
      <c r="N183" s="22" t="str">
        <f t="shared" ref="N183:N190" si="94">INDEX(EP_methode_eenheid,1,MATCH($C183,EP_methode,0))</f>
        <v>kWh</v>
      </c>
      <c r="O183" s="44"/>
      <c r="P183" s="452"/>
      <c r="Q183" s="452"/>
      <c r="R183" s="899"/>
      <c r="S183" s="24">
        <f t="shared" ref="S183:S189" si="95">SUMIFS(S$63:S$180,$AZ$63:$AZ$180,1,$B$63:$B$180,$B183,$J$63:$J$180,$F183)-SUMIFS(S$63:S$180,$AZ$63:$AZ$180,-1,$B$63:$B$180,$B183,$J$63:$J$180,$F183)</f>
        <v>0</v>
      </c>
      <c r="T183" s="47" t="str">
        <f>IFERROR(INDEX(energiedragers_EP_eenheden,MATCH($J183,tabellen_EMD!$C$196:$C$204,0),MATCH($B183,energiedragers_EP_eenheden_titel,0)),"-")</f>
        <v>m3 aeq</v>
      </c>
      <c r="U183" s="452"/>
      <c r="V183" s="39"/>
      <c r="W183" s="24">
        <f>S183/INDEX(tabellen_EMD!$C$259:$Z$266,MATCH($F183,tabellen_EMD!$C$259:$C$266,0),MATCH(B183,tabellen_EMD!$C$259:$Z$259,0))</f>
        <v>0</v>
      </c>
      <c r="X183" s="47" t="str">
        <f>INDEX(tabellen_EMD!$C$251:$F$256,MATCH($J183,tabellen_EMD!$C$251:$C$256,0),MATCH($P$24,tabellen_EMD!$C$251:$F$251,0))</f>
        <v>m3</v>
      </c>
      <c r="Y183" s="12"/>
      <c r="Z183" s="24">
        <f t="shared" ref="Z183:Z189" si="96">SUMIFS(Z$63:Z$180,$AZ$63:$AZ$180,1,$B$63:$B$180,$B183,$J$63:$J$180,$J183)-SUMIFS(Z$63:Z$180,$AZ$63:$AZ$180,-1,$B$63:$B$180,$B183,$J$63:$J$180,$J183)</f>
        <v>0</v>
      </c>
      <c r="AA183" s="47" t="s">
        <v>468</v>
      </c>
      <c r="AB183" s="1393"/>
      <c r="AC183" s="995"/>
      <c r="AD183" s="1405"/>
      <c r="AE183" s="1405"/>
      <c r="AF183" s="1405"/>
      <c r="AG183" s="1405"/>
      <c r="AH183" s="1405"/>
      <c r="AI183" s="1405"/>
      <c r="AJ183" s="1405"/>
      <c r="AK183" s="1405"/>
      <c r="AL183" s="1405"/>
      <c r="AM183" s="1405"/>
      <c r="AN183" s="1405"/>
      <c r="AO183" s="1405"/>
      <c r="AP183" s="1405"/>
      <c r="AQ183" s="1405"/>
      <c r="AR183" s="1405"/>
      <c r="AS183" s="1393"/>
      <c r="AT183" s="1001"/>
      <c r="AU183" s="12"/>
      <c r="AV183" s="12"/>
      <c r="AW183" s="12"/>
      <c r="AX183" s="12"/>
      <c r="AY183" s="12"/>
      <c r="AZ183" s="12"/>
      <c r="BA183" s="12"/>
      <c r="BB183" s="12"/>
      <c r="BC183" s="12"/>
      <c r="BD183" s="12"/>
      <c r="BE183" s="12"/>
      <c r="BF183" s="12"/>
      <c r="BG183" s="12"/>
      <c r="BH183" s="12"/>
      <c r="BI183" s="13"/>
    </row>
    <row r="184" spans="1:61" s="49" customFormat="1" hidden="1">
      <c r="A184" s="212" t="s">
        <v>493</v>
      </c>
      <c r="B184" s="978" t="str">
        <f t="shared" si="92"/>
        <v>Uniec 3 finaal</v>
      </c>
      <c r="C184" s="978" t="str">
        <f t="shared" si="92"/>
        <v>NTA 8800</v>
      </c>
      <c r="D184" s="947"/>
      <c r="E184" s="50"/>
      <c r="F184" s="46" t="str">
        <f>tabellen_EMD!C198</f>
        <v>elektriciteit</v>
      </c>
      <c r="G184" s="46"/>
      <c r="H184" s="46"/>
      <c r="I184" s="905"/>
      <c r="J184" s="1691" t="s">
        <v>465</v>
      </c>
      <c r="K184" s="1698"/>
      <c r="L184" s="44"/>
      <c r="M184" s="24">
        <f t="shared" si="93"/>
        <v>0</v>
      </c>
      <c r="N184" s="22" t="str">
        <f t="shared" si="94"/>
        <v>kWh</v>
      </c>
      <c r="O184" s="44"/>
      <c r="P184" s="452"/>
      <c r="Q184" s="452"/>
      <c r="R184" s="899"/>
      <c r="S184" s="24">
        <f t="shared" si="95"/>
        <v>0</v>
      </c>
      <c r="T184" s="47" t="str">
        <f>IFERROR(INDEX(energiedragers_EP_eenheden,MATCH($J184,tabellen_EMD!$C$196:$C$204,0),MATCH($B184,energiedragers_EP_eenheden_titel,0)),"-")</f>
        <v>kWh</v>
      </c>
      <c r="U184" s="452"/>
      <c r="V184" s="39"/>
      <c r="W184" s="24">
        <f>S184/INDEX(tabellen_EMD!$C$259:$Z$266,MATCH($F184,tabellen_EMD!$C$259:$C$266,0),MATCH(B184,tabellen_EMD!$C$259:$Z$259,0))</f>
        <v>0</v>
      </c>
      <c r="X184" s="47" t="str">
        <f>INDEX(tabellen_EMD!$C$251:$F$256,MATCH($J184,tabellen_EMD!$C$251:$C$256,0),MATCH($P$24,tabellen_EMD!$C$251:$F$251,0))</f>
        <v>kWh</v>
      </c>
      <c r="Y184" s="12"/>
      <c r="Z184" s="24">
        <f t="shared" si="96"/>
        <v>0</v>
      </c>
      <c r="AA184" s="47" t="s">
        <v>468</v>
      </c>
      <c r="AB184" s="1393"/>
      <c r="AC184" s="995"/>
      <c r="AD184" s="1405"/>
      <c r="AE184" s="1405"/>
      <c r="AF184" s="1405"/>
      <c r="AG184" s="1405"/>
      <c r="AH184" s="1405"/>
      <c r="AI184" s="1405"/>
      <c r="AJ184" s="1405"/>
      <c r="AK184" s="1405"/>
      <c r="AL184" s="1405"/>
      <c r="AM184" s="1405"/>
      <c r="AN184" s="1405"/>
      <c r="AO184" s="1405"/>
      <c r="AP184" s="1405"/>
      <c r="AQ184" s="1405"/>
      <c r="AR184" s="1405"/>
      <c r="AS184" s="1393"/>
      <c r="AT184" s="1001"/>
      <c r="AU184" s="12"/>
      <c r="AV184" s="12"/>
      <c r="AW184" s="12"/>
      <c r="AX184" s="12"/>
      <c r="AY184" s="12"/>
      <c r="AZ184" s="12"/>
      <c r="BA184" s="12"/>
      <c r="BB184" s="12"/>
      <c r="BC184" s="12"/>
      <c r="BD184" s="12"/>
      <c r="BE184" s="12"/>
      <c r="BF184" s="12"/>
      <c r="BG184" s="12"/>
      <c r="BH184" s="12"/>
      <c r="BI184" s="13"/>
    </row>
    <row r="185" spans="1:61" s="49" customFormat="1" hidden="1">
      <c r="A185" s="212" t="s">
        <v>493</v>
      </c>
      <c r="B185" s="978" t="str">
        <f t="shared" si="92"/>
        <v>Uniec 3 finaal</v>
      </c>
      <c r="C185" s="978" t="str">
        <f t="shared" si="92"/>
        <v>NTA 8800</v>
      </c>
      <c r="D185" s="947"/>
      <c r="E185" s="50"/>
      <c r="F185" s="46" t="str">
        <f>tabellen_EMD!C199</f>
        <v>elektriciteit opgewekt</v>
      </c>
      <c r="G185" s="46"/>
      <c r="H185" s="46"/>
      <c r="I185" s="905"/>
      <c r="J185" s="1691" t="s">
        <v>466</v>
      </c>
      <c r="K185" s="1698"/>
      <c r="L185" s="44"/>
      <c r="M185" s="24">
        <f t="shared" si="93"/>
        <v>0</v>
      </c>
      <c r="N185" s="22" t="str">
        <f t="shared" si="94"/>
        <v>kWh</v>
      </c>
      <c r="O185" s="44"/>
      <c r="P185" s="452"/>
      <c r="Q185" s="452"/>
      <c r="R185" s="899"/>
      <c r="S185" s="24">
        <f t="shared" si="95"/>
        <v>0</v>
      </c>
      <c r="T185" s="47" t="str">
        <f>IFERROR(INDEX(energiedragers_EP_eenheden,MATCH($J185,tabellen_EMD!$C$196:$C$204,0),MATCH($B185,energiedragers_EP_eenheden_titel,0)),"-")</f>
        <v>kWh</v>
      </c>
      <c r="U185" s="452"/>
      <c r="V185" s="39"/>
      <c r="W185" s="24">
        <f>S185/INDEX(tabellen_EMD!$C$259:$Z$266,MATCH($F185,tabellen_EMD!$C$259:$C$266,0),MATCH(B185,tabellen_EMD!$C$259:$Z$259,0))</f>
        <v>0</v>
      </c>
      <c r="X185" s="47" t="str">
        <f>INDEX(tabellen_EMD!$C$251:$F$256,MATCH($J185,tabellen_EMD!$C$251:$C$256,0),MATCH($P$24,tabellen_EMD!$C$251:$F$251,0))</f>
        <v>kWh</v>
      </c>
      <c r="Y185" s="12"/>
      <c r="Z185" s="24">
        <f t="shared" si="96"/>
        <v>0</v>
      </c>
      <c r="AA185" s="47" t="s">
        <v>468</v>
      </c>
      <c r="AB185" s="1393"/>
      <c r="AC185" s="995"/>
      <c r="AD185" s="1405"/>
      <c r="AE185" s="1405"/>
      <c r="AF185" s="1405"/>
      <c r="AG185" s="1405"/>
      <c r="AH185" s="1405"/>
      <c r="AI185" s="1405"/>
      <c r="AJ185" s="1405"/>
      <c r="AK185" s="1405"/>
      <c r="AL185" s="1405"/>
      <c r="AM185" s="1405"/>
      <c r="AN185" s="1405"/>
      <c r="AO185" s="1405"/>
      <c r="AP185" s="1405"/>
      <c r="AQ185" s="1405"/>
      <c r="AR185" s="1405"/>
      <c r="AS185" s="1393"/>
      <c r="AT185" s="1001"/>
      <c r="AU185" s="12"/>
      <c r="AV185" s="12"/>
      <c r="AW185" s="12"/>
      <c r="AX185" s="12"/>
      <c r="AY185" s="12"/>
      <c r="AZ185" s="12"/>
      <c r="BA185" s="12"/>
      <c r="BB185" s="12"/>
      <c r="BC185" s="12"/>
      <c r="BD185" s="12"/>
      <c r="BE185" s="12"/>
      <c r="BF185" s="12"/>
      <c r="BG185" s="12"/>
      <c r="BH185" s="12"/>
      <c r="BI185" s="13"/>
    </row>
    <row r="186" spans="1:61" s="49" customFormat="1" hidden="1">
      <c r="A186" s="212" t="s">
        <v>493</v>
      </c>
      <c r="B186" s="978" t="str">
        <f t="shared" si="92"/>
        <v>Uniec 3 finaal</v>
      </c>
      <c r="C186" s="978" t="str">
        <f t="shared" si="92"/>
        <v>NTA 8800</v>
      </c>
      <c r="D186" s="947"/>
      <c r="E186" s="50"/>
      <c r="F186" s="46" t="str">
        <f>tabellen_EMD!C200</f>
        <v>elektriciteit geëxporteerd</v>
      </c>
      <c r="G186" s="46"/>
      <c r="H186" s="46"/>
      <c r="I186" s="905"/>
      <c r="J186" s="1691" t="s">
        <v>466</v>
      </c>
      <c r="K186" s="1698"/>
      <c r="L186" s="44"/>
      <c r="M186" s="24">
        <f t="shared" si="93"/>
        <v>0</v>
      </c>
      <c r="N186" s="22" t="str">
        <f t="shared" si="94"/>
        <v>kWh</v>
      </c>
      <c r="O186" s="44"/>
      <c r="P186" s="452"/>
      <c r="Q186" s="452"/>
      <c r="R186" s="899"/>
      <c r="S186" s="24">
        <f t="shared" si="95"/>
        <v>0</v>
      </c>
      <c r="T186" s="47" t="str">
        <f>IFERROR(INDEX(energiedragers_EP_eenheden,MATCH($J186,tabellen_EMD!$C$196:$C$204,0),MATCH($B186,energiedragers_EP_eenheden_titel,0)),"-")</f>
        <v>kWh</v>
      </c>
      <c r="U186" s="452"/>
      <c r="V186" s="39"/>
      <c r="W186" s="24">
        <f>S186/INDEX(tabellen_EMD!$C$259:$Z$266,MATCH($F186,tabellen_EMD!$C$259:$C$266,0),MATCH(B186,tabellen_EMD!$C$259:$Z$259,0))</f>
        <v>0</v>
      </c>
      <c r="X186" s="47" t="str">
        <f>INDEX(tabellen_EMD!$C$251:$F$256,MATCH($J186,tabellen_EMD!$C$251:$C$256,0),MATCH($P$24,tabellen_EMD!$C$251:$F$251,0))</f>
        <v>kWh</v>
      </c>
      <c r="Y186" s="12"/>
      <c r="Z186" s="24">
        <f t="shared" si="96"/>
        <v>0</v>
      </c>
      <c r="AA186" s="47" t="s">
        <v>468</v>
      </c>
      <c r="AB186" s="1393"/>
      <c r="AC186" s="995"/>
      <c r="AD186" s="1405"/>
      <c r="AE186" s="1405"/>
      <c r="AF186" s="1405"/>
      <c r="AG186" s="1405"/>
      <c r="AH186" s="1405"/>
      <c r="AI186" s="1405"/>
      <c r="AJ186" s="1405"/>
      <c r="AK186" s="1405"/>
      <c r="AL186" s="1405"/>
      <c r="AM186" s="1405"/>
      <c r="AN186" s="1405"/>
      <c r="AO186" s="1405"/>
      <c r="AP186" s="1405"/>
      <c r="AQ186" s="1405"/>
      <c r="AR186" s="1405"/>
      <c r="AS186" s="1393"/>
      <c r="AT186" s="1001"/>
      <c r="AU186" s="12"/>
      <c r="AV186" s="12"/>
      <c r="AW186" s="12"/>
      <c r="AX186" s="12"/>
      <c r="AY186" s="12"/>
      <c r="AZ186" s="12"/>
      <c r="BA186" s="12"/>
      <c r="BB186" s="12"/>
      <c r="BC186" s="12"/>
      <c r="BD186" s="12"/>
      <c r="BE186" s="12"/>
      <c r="BF186" s="12"/>
      <c r="BG186" s="12"/>
      <c r="BH186" s="12"/>
      <c r="BI186" s="13"/>
    </row>
    <row r="187" spans="1:61" s="49" customFormat="1" hidden="1">
      <c r="A187" s="212" t="s">
        <v>493</v>
      </c>
      <c r="B187" s="978" t="str">
        <f t="shared" si="92"/>
        <v>Uniec 3 finaal</v>
      </c>
      <c r="C187" s="978" t="str">
        <f t="shared" si="92"/>
        <v>NTA 8800</v>
      </c>
      <c r="D187" s="947"/>
      <c r="E187" s="50"/>
      <c r="F187" s="46" t="str">
        <f>tabellen_EMD!C201</f>
        <v>externe warmte</v>
      </c>
      <c r="G187" s="46"/>
      <c r="H187" s="46"/>
      <c r="I187" s="905"/>
      <c r="J187" s="1691" t="s">
        <v>1539</v>
      </c>
      <c r="K187" s="1698"/>
      <c r="L187" s="44"/>
      <c r="M187" s="24">
        <f t="shared" si="93"/>
        <v>0</v>
      </c>
      <c r="N187" s="22" t="str">
        <f t="shared" si="94"/>
        <v>kWh</v>
      </c>
      <c r="O187" s="44"/>
      <c r="P187" s="452"/>
      <c r="Q187" s="452"/>
      <c r="R187" s="899"/>
      <c r="S187" s="59">
        <f t="shared" si="95"/>
        <v>0</v>
      </c>
      <c r="T187" s="47" t="str">
        <f>IFERROR(INDEX(energiedragers_EP_eenheden,MATCH($J187,tabellen_EMD!$C$196:$C$204,0),MATCH($B187,energiedragers_EP_eenheden_titel,0)),"-")</f>
        <v>GJ</v>
      </c>
      <c r="U187" s="452"/>
      <c r="V187" s="39"/>
      <c r="W187" s="24">
        <f>S187/INDEX(tabellen_EMD!$C$259:$Z$266,MATCH($F187,tabellen_EMD!$C$259:$C$266,0),MATCH(B187,tabellen_EMD!$C$259:$Z$259,0))</f>
        <v>0</v>
      </c>
      <c r="X187" s="47" t="str">
        <f>INDEX(tabellen_EMD!$C$251:$F$256,MATCH($J187,tabellen_EMD!$C$251:$C$256,0),MATCH($P$24,tabellen_EMD!$C$251:$F$251,0))</f>
        <v>GJ</v>
      </c>
      <c r="Y187" s="12"/>
      <c r="Z187" s="24">
        <f t="shared" si="96"/>
        <v>0</v>
      </c>
      <c r="AA187" s="47" t="s">
        <v>468</v>
      </c>
      <c r="AB187" s="1393"/>
      <c r="AC187" s="995"/>
      <c r="AD187" s="1405"/>
      <c r="AE187" s="1405"/>
      <c r="AF187" s="1405"/>
      <c r="AG187" s="1405"/>
      <c r="AH187" s="1405"/>
      <c r="AI187" s="1405"/>
      <c r="AJ187" s="1405"/>
      <c r="AK187" s="1405"/>
      <c r="AL187" s="1405"/>
      <c r="AM187" s="1405"/>
      <c r="AN187" s="1405"/>
      <c r="AO187" s="1405"/>
      <c r="AP187" s="1405"/>
      <c r="AQ187" s="1405"/>
      <c r="AR187" s="1405"/>
      <c r="AS187" s="1393"/>
      <c r="AT187" s="1001"/>
      <c r="AU187" s="12"/>
      <c r="AV187" s="12"/>
      <c r="AW187" s="12"/>
      <c r="AX187" s="12"/>
      <c r="AY187" s="12"/>
      <c r="AZ187" s="12"/>
      <c r="BA187" s="12"/>
      <c r="BB187" s="12"/>
      <c r="BC187" s="12"/>
      <c r="BD187" s="12"/>
      <c r="BE187" s="12"/>
      <c r="BF187" s="12"/>
      <c r="BG187" s="12"/>
      <c r="BH187" s="12"/>
      <c r="BI187" s="13"/>
    </row>
    <row r="188" spans="1:61" s="49" customFormat="1" hidden="1">
      <c r="A188" s="212" t="s">
        <v>493</v>
      </c>
      <c r="B188" s="978" t="str">
        <f t="shared" si="92"/>
        <v>Uniec 3 finaal</v>
      </c>
      <c r="C188" s="978" t="str">
        <f t="shared" si="92"/>
        <v>NTA 8800</v>
      </c>
      <c r="D188" s="947"/>
      <c r="E188" s="50"/>
      <c r="F188" s="46" t="str">
        <f>tabellen_EMD!C202</f>
        <v>externe koude</v>
      </c>
      <c r="G188" s="46"/>
      <c r="H188" s="46"/>
      <c r="I188" s="905"/>
      <c r="J188" s="1691" t="s">
        <v>1539</v>
      </c>
      <c r="K188" s="1698"/>
      <c r="L188" s="44"/>
      <c r="M188" s="24">
        <f t="shared" si="93"/>
        <v>0</v>
      </c>
      <c r="N188" s="22" t="str">
        <f t="shared" si="94"/>
        <v>kWh</v>
      </c>
      <c r="O188" s="44"/>
      <c r="P188" s="452"/>
      <c r="Q188" s="452"/>
      <c r="R188" s="899"/>
      <c r="S188" s="59">
        <f t="shared" si="95"/>
        <v>0</v>
      </c>
      <c r="T188" s="47" t="str">
        <f>IFERROR(INDEX(energiedragers_EP_eenheden,MATCH($J188,tabellen_EMD!$C$196:$C$204,0),MATCH($B188,energiedragers_EP_eenheden_titel,0)),"-")</f>
        <v>GJ</v>
      </c>
      <c r="U188" s="452"/>
      <c r="V188" s="39"/>
      <c r="W188" s="24">
        <f>S188/INDEX(tabellen_EMD!$C$259:$Z$266,MATCH($F188,tabellen_EMD!$C$259:$C$266,0),MATCH(B188,tabellen_EMD!$C$259:$Z$259,0))</f>
        <v>0</v>
      </c>
      <c r="X188" s="47" t="str">
        <f>INDEX(tabellen_EMD!$C$251:$F$256,MATCH($J188,tabellen_EMD!$C$251:$C$256,0),MATCH($P$24,tabellen_EMD!$C$251:$F$251,0))</f>
        <v>GJ</v>
      </c>
      <c r="Y188" s="12"/>
      <c r="Z188" s="24">
        <f t="shared" si="96"/>
        <v>0</v>
      </c>
      <c r="AA188" s="47" t="s">
        <v>468</v>
      </c>
      <c r="AB188" s="1393"/>
      <c r="AC188" s="995"/>
      <c r="AD188" s="1405"/>
      <c r="AE188" s="1405"/>
      <c r="AF188" s="1405"/>
      <c r="AG188" s="1405"/>
      <c r="AH188" s="1405"/>
      <c r="AI188" s="1405"/>
      <c r="AJ188" s="1405"/>
      <c r="AK188" s="1405"/>
      <c r="AL188" s="1405"/>
      <c r="AM188" s="1405"/>
      <c r="AN188" s="1405"/>
      <c r="AO188" s="1405"/>
      <c r="AP188" s="1405"/>
      <c r="AQ188" s="1405"/>
      <c r="AR188" s="1405"/>
      <c r="AS188" s="1393"/>
      <c r="AT188" s="1001"/>
      <c r="AU188" s="12"/>
      <c r="AV188" s="12"/>
      <c r="AW188" s="12"/>
      <c r="AX188" s="12"/>
      <c r="AY188" s="12"/>
      <c r="AZ188" s="12"/>
      <c r="BA188" s="12"/>
      <c r="BB188" s="12"/>
      <c r="BC188" s="12"/>
      <c r="BD188" s="12"/>
      <c r="BE188" s="12"/>
      <c r="BF188" s="12"/>
      <c r="BG188" s="12"/>
      <c r="BH188" s="12"/>
      <c r="BI188" s="13"/>
    </row>
    <row r="189" spans="1:61" s="49" customFormat="1" hidden="1">
      <c r="A189" s="212" t="s">
        <v>493</v>
      </c>
      <c r="B189" s="978" t="str">
        <f>B187</f>
        <v>Uniec 3 finaal</v>
      </c>
      <c r="C189" s="978" t="str">
        <f>C187</f>
        <v>NTA 8800</v>
      </c>
      <c r="D189" s="947"/>
      <c r="E189" s="50"/>
      <c r="F189" s="46" t="str">
        <f>tabellen_EMD!C203</f>
        <v>hout / biomassa</v>
      </c>
      <c r="G189" s="46"/>
      <c r="H189" s="46"/>
      <c r="I189" s="905"/>
      <c r="J189" s="1691" t="s">
        <v>467</v>
      </c>
      <c r="K189" s="1698"/>
      <c r="L189" s="44"/>
      <c r="M189" s="24">
        <f t="shared" si="93"/>
        <v>0</v>
      </c>
      <c r="N189" s="22" t="str">
        <f t="shared" si="94"/>
        <v>kWh</v>
      </c>
      <c r="O189" s="44"/>
      <c r="P189" s="452"/>
      <c r="Q189" s="452"/>
      <c r="R189" s="899"/>
      <c r="S189" s="115">
        <f t="shared" si="95"/>
        <v>0</v>
      </c>
      <c r="T189" s="47" t="str">
        <f>IFERROR(INDEX(energiedragers_EP_eenheden,MATCH($J189,tabellen_EMD!$C$196:$C$204,0),MATCH($B189,energiedragers_EP_eenheden_titel,0)),"-")</f>
        <v>kWh</v>
      </c>
      <c r="U189" s="452"/>
      <c r="V189" s="39"/>
      <c r="W189" s="115">
        <f>S189/INDEX(tabellen_EMD!$C$259:$Z$266,MATCH($F189,tabellen_EMD!$C$259:$C$266,0),MATCH(B189,tabellen_EMD!$C$259:$Z$259,0))</f>
        <v>0</v>
      </c>
      <c r="X189" s="47" t="str">
        <f>INDEX(tabellen_EMD!$C$251:$F$256,MATCH($J189,tabellen_EMD!$C$251:$C$256,0),MATCH($P$24,tabellen_EMD!$C$251:$F$251,0))</f>
        <v>kg</v>
      </c>
      <c r="Y189" s="12"/>
      <c r="Z189" s="115">
        <f t="shared" si="96"/>
        <v>0</v>
      </c>
      <c r="AA189" s="47" t="s">
        <v>468</v>
      </c>
      <c r="AB189" s="1393"/>
      <c r="AC189" s="995"/>
      <c r="AD189" s="1405"/>
      <c r="AE189" s="1405"/>
      <c r="AF189" s="1405"/>
      <c r="AG189" s="1405"/>
      <c r="AH189" s="1405"/>
      <c r="AI189" s="1405"/>
      <c r="AJ189" s="1405"/>
      <c r="AK189" s="1405"/>
      <c r="AL189" s="1405"/>
      <c r="AM189" s="1405"/>
      <c r="AN189" s="1405"/>
      <c r="AO189" s="1405"/>
      <c r="AP189" s="1405"/>
      <c r="AQ189" s="1405"/>
      <c r="AR189" s="1405"/>
      <c r="AS189" s="1393"/>
      <c r="AT189" s="1001"/>
      <c r="AU189" s="12"/>
      <c r="AV189" s="12"/>
      <c r="AW189" s="12"/>
      <c r="AX189" s="12"/>
      <c r="AY189" s="12"/>
      <c r="AZ189" s="12"/>
      <c r="BA189" s="12"/>
      <c r="BB189" s="12"/>
      <c r="BC189" s="12"/>
      <c r="BD189" s="12"/>
      <c r="BE189" s="12"/>
      <c r="BF189" s="12"/>
      <c r="BG189" s="12"/>
      <c r="BH189" s="12"/>
      <c r="BI189" s="13"/>
    </row>
    <row r="190" spans="1:61" s="940" customFormat="1" hidden="1">
      <c r="A190" s="212" t="s">
        <v>493</v>
      </c>
      <c r="B190" s="978" t="str">
        <f t="shared" si="92"/>
        <v>Uniec 3 finaal</v>
      </c>
      <c r="C190" s="978" t="str">
        <f t="shared" si="92"/>
        <v>NTA 8800</v>
      </c>
      <c r="D190" s="947"/>
      <c r="E190" s="14"/>
      <c r="F190" s="43" t="str">
        <f>tabellen_EMD!C204</f>
        <v>totaal</v>
      </c>
      <c r="G190" s="43"/>
      <c r="H190" s="43"/>
      <c r="I190" s="43"/>
      <c r="J190" s="965" t="s">
        <v>1391</v>
      </c>
      <c r="K190" s="965"/>
      <c r="L190" s="43"/>
      <c r="M190" s="54">
        <f>SUM(M183:M184,M187:M189)-SUM(M185:M186)</f>
        <v>0</v>
      </c>
      <c r="N190" s="43" t="str">
        <f t="shared" si="94"/>
        <v>kWh</v>
      </c>
      <c r="O190" s="43"/>
      <c r="P190" s="452"/>
      <c r="Q190" s="452"/>
      <c r="R190" s="15"/>
      <c r="S190" s="43"/>
      <c r="T190" s="452"/>
      <c r="U190" s="452"/>
      <c r="V190" s="39"/>
      <c r="W190" s="39"/>
      <c r="X190" s="39"/>
      <c r="Y190" s="12"/>
      <c r="Z190" s="950">
        <f>SUM(Z183,Z184,-Z185,Z186,Z187,Z189)</f>
        <v>0</v>
      </c>
      <c r="AA190" s="15" t="s">
        <v>468</v>
      </c>
      <c r="AB190" s="67"/>
      <c r="AC190" s="995"/>
      <c r="AD190" s="1405"/>
      <c r="AE190" s="1405"/>
      <c r="AF190" s="1405"/>
      <c r="AG190" s="1405"/>
      <c r="AH190" s="1405"/>
      <c r="AI190" s="1405"/>
      <c r="AJ190" s="1405"/>
      <c r="AK190" s="1405"/>
      <c r="AL190" s="1405"/>
      <c r="AM190" s="1405"/>
      <c r="AN190" s="1405"/>
      <c r="AO190" s="1405"/>
      <c r="AP190" s="1405"/>
      <c r="AQ190" s="1405"/>
      <c r="AR190" s="1405"/>
      <c r="AS190" s="67"/>
      <c r="AT190" s="995"/>
      <c r="AU190" s="12"/>
      <c r="AV190" s="12"/>
      <c r="AW190" s="12"/>
      <c r="AX190" s="12"/>
      <c r="AY190" s="12"/>
      <c r="AZ190" s="12"/>
      <c r="BA190" s="12"/>
      <c r="BB190" s="12"/>
      <c r="BC190" s="12"/>
      <c r="BD190" s="12"/>
      <c r="BE190" s="12"/>
      <c r="BF190" s="12"/>
      <c r="BG190" s="12"/>
      <c r="BH190" s="12"/>
      <c r="BI190" s="13"/>
    </row>
    <row r="191" spans="1:61" s="49" customFormat="1" hidden="1">
      <c r="A191" s="212" t="s">
        <v>493</v>
      </c>
      <c r="B191" s="978" t="str">
        <f t="shared" si="92"/>
        <v>Uniec 3 finaal</v>
      </c>
      <c r="C191" s="978" t="str">
        <f t="shared" si="92"/>
        <v>NTA 8800</v>
      </c>
      <c r="D191" s="947"/>
      <c r="E191" s="50"/>
      <c r="F191" s="452" t="str">
        <f>IFERROR(IF($P$23=$B191,_xlfn.CONCAT("Bij 1.1 ingevuld: ",FIXED($J$35,2,FALSE)," ",$K$35),""),"invoer niet correct")</f>
        <v>Bij 1.1 ingevuld: 0.00 kWh/m2 Ag</v>
      </c>
      <c r="G191" s="452"/>
      <c r="H191" s="452"/>
      <c r="I191" s="905"/>
      <c r="J191" s="909" t="str">
        <f>IFERROR(IF($P$23=$B191,IF(ABS((M191-$J$35)/$J$35)&gt;1%,"Afwijking &gt;1% met subthema 1.1",""),""),"invoer niet correct")</f>
        <v>invoer niet correct</v>
      </c>
      <c r="K191" s="909"/>
      <c r="L191" s="910"/>
      <c r="M191" s="1339">
        <f>IFERROR(IF($P$23=$B191,M190/$J$59,""),"")</f>
        <v>0</v>
      </c>
      <c r="N191" s="452" t="str">
        <f>IF($P$23=$B191,_xlfn.CONCAT(N190,"/m2"),"")</f>
        <v>kWh/m2</v>
      </c>
      <c r="O191" s="452"/>
      <c r="P191" s="39"/>
      <c r="Q191" s="39"/>
      <c r="R191" s="899"/>
      <c r="S191" s="899"/>
      <c r="T191" s="899"/>
      <c r="U191" s="39"/>
      <c r="V191" s="39"/>
      <c r="W191" s="910" t="str">
        <f>IFERROR(IF($P$23=$B191,_xlfn.CONCAT("Bij 1.1 ingevuld: ",FIXED($AG$40,1,FALSE)," ",$AH$40),""),"invoer niet correct")</f>
        <v>Bij 1.1 ingevuld: 0,0 kg/m2 Ag</v>
      </c>
      <c r="X191" s="909" t="str">
        <f>IFERROR(IF($P$23=$B191,IF(ABS((Z191-$AG$40)/$AG$40)&gt;1%,"afwijking &gt;1% met subthema 1.1",""),""),"invoer niet correct")</f>
        <v>invoer niet correct</v>
      </c>
      <c r="Y191" s="12"/>
      <c r="Z191" s="951">
        <f>IFERROR(IF($P$23=$B191,Z190/$J$58,""),"")</f>
        <v>0</v>
      </c>
      <c r="AA191" s="452" t="str">
        <f>IF($P$23=$B191,_xlfn.CONCAT(AA190,"/m2"),"")</f>
        <v>kg/m2</v>
      </c>
      <c r="AB191" s="1393"/>
      <c r="AC191" s="995"/>
      <c r="AD191" s="1405"/>
      <c r="AE191" s="1405"/>
      <c r="AF191" s="1405"/>
      <c r="AG191" s="1405"/>
      <c r="AH191" s="1405"/>
      <c r="AI191" s="1405"/>
      <c r="AJ191" s="1405"/>
      <c r="AK191" s="1405"/>
      <c r="AL191" s="1405"/>
      <c r="AM191" s="1405"/>
      <c r="AN191" s="1405"/>
      <c r="AO191" s="1405"/>
      <c r="AP191" s="1405"/>
      <c r="AQ191" s="1405"/>
      <c r="AR191" s="1405"/>
      <c r="AS191" s="1393"/>
      <c r="AT191" s="1001"/>
      <c r="AU191" s="905"/>
      <c r="AV191" s="12"/>
      <c r="AW191" s="12"/>
      <c r="AX191" s="12"/>
      <c r="AY191" s="12"/>
      <c r="AZ191" s="12"/>
      <c r="BA191" s="12"/>
      <c r="BB191" s="12"/>
      <c r="BC191" s="12"/>
      <c r="BD191" s="12"/>
      <c r="BE191" s="12"/>
      <c r="BF191" s="12"/>
      <c r="BG191" s="12"/>
      <c r="BH191" s="12"/>
      <c r="BI191" s="13"/>
    </row>
    <row r="192" spans="1:61" s="49" customFormat="1" hidden="1">
      <c r="A192" s="212" t="s">
        <v>493</v>
      </c>
      <c r="B192" s="943"/>
      <c r="C192" s="943"/>
      <c r="D192" s="943"/>
      <c r="E192" s="50"/>
      <c r="F192" s="43"/>
      <c r="G192" s="44"/>
      <c r="H192" s="44"/>
      <c r="I192" s="44"/>
      <c r="J192" s="917"/>
      <c r="K192" s="44"/>
      <c r="L192" s="44"/>
      <c r="M192" s="44"/>
      <c r="N192" s="44"/>
      <c r="O192" s="44"/>
      <c r="P192" s="899"/>
      <c r="Q192" s="899"/>
      <c r="R192" s="899"/>
      <c r="S192" s="899"/>
      <c r="T192" s="899"/>
      <c r="U192" s="899"/>
      <c r="V192" s="899"/>
      <c r="W192" s="39"/>
      <c r="X192" s="39"/>
      <c r="Y192" s="12"/>
      <c r="Z192" s="899"/>
      <c r="AA192" s="905"/>
      <c r="AB192" s="1393"/>
      <c r="AC192" s="995"/>
      <c r="AD192" s="1405"/>
      <c r="AE192" s="1405"/>
      <c r="AF192" s="1405"/>
      <c r="AG192" s="1405"/>
      <c r="AH192" s="1405"/>
      <c r="AI192" s="1405"/>
      <c r="AJ192" s="1405"/>
      <c r="AK192" s="1405"/>
      <c r="AL192" s="1405"/>
      <c r="AM192" s="1405"/>
      <c r="AN192" s="1405"/>
      <c r="AO192" s="1405"/>
      <c r="AP192" s="1405"/>
      <c r="AQ192" s="1405"/>
      <c r="AR192" s="1405"/>
      <c r="AS192" s="1393"/>
      <c r="AT192" s="1001"/>
      <c r="AU192" s="900"/>
      <c r="AV192" s="51"/>
      <c r="AW192" s="12"/>
      <c r="AX192" s="12"/>
      <c r="AY192" s="921"/>
      <c r="AZ192" s="921"/>
      <c r="BA192" s="12"/>
      <c r="BB192" s="12"/>
      <c r="BC192" s="12"/>
      <c r="BD192" s="40"/>
      <c r="BE192" s="40"/>
      <c r="BF192" s="13"/>
      <c r="BG192" s="13"/>
      <c r="BH192" s="13"/>
      <c r="BI192" s="14"/>
    </row>
    <row r="193" spans="1:61" s="49" customFormat="1" hidden="1">
      <c r="A193" s="212" t="s">
        <v>493</v>
      </c>
      <c r="B193" s="1005" t="str">
        <f>$P$23</f>
        <v>Uniec 3 finaal</v>
      </c>
      <c r="C193" s="1005" t="str">
        <f>VLOOKUP(B193,'NTA 8800 naar GPR4'!$AV$40:$AY$48,COLUMNS($AV$40:$AX$40),FALSE)</f>
        <v>NTA 8800</v>
      </c>
      <c r="D193" s="947"/>
      <c r="E193" s="50"/>
      <c r="F193" s="43" t="s">
        <v>1486</v>
      </c>
      <c r="G193" s="43"/>
      <c r="H193" s="43"/>
      <c r="I193" s="905"/>
      <c r="J193" s="44"/>
      <c r="K193" s="44"/>
      <c r="L193" s="44"/>
      <c r="M193" s="909" t="s">
        <v>1485</v>
      </c>
      <c r="N193" s="44"/>
      <c r="O193" s="44"/>
      <c r="P193" s="453" t="s">
        <v>1606</v>
      </c>
      <c r="Q193" s="44"/>
      <c r="R193" s="12"/>
      <c r="S193" s="453"/>
      <c r="T193" s="44"/>
      <c r="U193" s="12"/>
      <c r="V193" s="899"/>
      <c r="W193" s="453" t="s">
        <v>1606</v>
      </c>
      <c r="X193" s="44"/>
      <c r="Y193" s="12"/>
      <c r="Z193" s="453"/>
      <c r="AA193" s="453"/>
      <c r="AB193" s="909"/>
      <c r="AC193" s="995"/>
      <c r="AD193" s="1405"/>
      <c r="AE193" s="1405"/>
      <c r="AF193" s="1405"/>
      <c r="AG193" s="1405"/>
      <c r="AH193" s="1405"/>
      <c r="AI193" s="1405"/>
      <c r="AJ193" s="1405"/>
      <c r="AK193" s="1405"/>
      <c r="AL193" s="1405"/>
      <c r="AM193" s="1405"/>
      <c r="AN193" s="1405"/>
      <c r="AO193" s="1405"/>
      <c r="AP193" s="1405"/>
      <c r="AQ193" s="1405"/>
      <c r="AR193" s="1405"/>
      <c r="AS193" s="909"/>
      <c r="AT193" s="1001"/>
      <c r="AU193" s="12"/>
      <c r="AV193" s="12"/>
      <c r="AW193" s="12"/>
      <c r="AX193" s="12"/>
      <c r="AY193" s="12"/>
      <c r="AZ193" s="12"/>
      <c r="BA193" s="12"/>
      <c r="BB193" s="12"/>
      <c r="BC193" s="12"/>
      <c r="BD193" s="12"/>
      <c r="BE193" s="12"/>
      <c r="BF193" s="12"/>
      <c r="BG193" s="12"/>
      <c r="BH193" s="12"/>
      <c r="BI193" s="13"/>
    </row>
    <row r="194" spans="1:61" hidden="1">
      <c r="A194" s="212" t="s">
        <v>493</v>
      </c>
      <c r="B194" s="978" t="str">
        <f t="shared" ref="B194:C201" si="97">B193</f>
        <v>Uniec 3 finaal</v>
      </c>
      <c r="C194" s="978" t="str">
        <f t="shared" si="97"/>
        <v>NTA 8800</v>
      </c>
      <c r="D194" s="947"/>
      <c r="E194" s="14"/>
      <c r="F194" s="892" t="s">
        <v>1500</v>
      </c>
      <c r="G194" s="892"/>
      <c r="H194" s="892"/>
      <c r="I194" s="905"/>
      <c r="J194" s="965" t="s">
        <v>458</v>
      </c>
      <c r="K194" s="965"/>
      <c r="L194" s="889"/>
      <c r="M194" s="910" t="s">
        <v>1534</v>
      </c>
      <c r="N194" s="452" t="s">
        <v>204</v>
      </c>
      <c r="O194" s="452"/>
      <c r="P194" s="888" t="s">
        <v>1534</v>
      </c>
      <c r="Q194" s="889" t="s">
        <v>204</v>
      </c>
      <c r="R194" s="12"/>
      <c r="S194" s="888" t="s">
        <v>1554</v>
      </c>
      <c r="T194" s="889" t="s">
        <v>1555</v>
      </c>
      <c r="U194" s="12"/>
      <c r="V194" s="899"/>
      <c r="W194" s="888" t="s">
        <v>1534</v>
      </c>
      <c r="X194" s="889" t="s">
        <v>204</v>
      </c>
      <c r="Y194" s="12"/>
      <c r="Z194" s="453"/>
      <c r="AA194" s="453"/>
      <c r="AB194" s="909"/>
      <c r="AC194" s="995"/>
      <c r="AD194" s="1405"/>
      <c r="AE194" s="1405"/>
      <c r="AF194" s="1405"/>
      <c r="AG194" s="1405"/>
      <c r="AH194" s="1405"/>
      <c r="AI194" s="1405"/>
      <c r="AJ194" s="1405"/>
      <c r="AK194" s="1405"/>
      <c r="AL194" s="1405"/>
      <c r="AM194" s="1405"/>
      <c r="AN194" s="1405"/>
      <c r="AO194" s="1405"/>
      <c r="AP194" s="1405"/>
      <c r="AQ194" s="1405"/>
      <c r="AR194" s="1405"/>
      <c r="AS194" s="909"/>
      <c r="AT194" s="995"/>
      <c r="AU194" s="12"/>
      <c r="AV194" s="12"/>
      <c r="AW194" s="12"/>
      <c r="AX194" s="12"/>
      <c r="AY194" s="12"/>
      <c r="AZ194" s="12"/>
      <c r="BA194" s="12"/>
      <c r="BB194" s="12"/>
      <c r="BC194" s="12"/>
      <c r="BD194" s="12"/>
      <c r="BE194" s="12"/>
      <c r="BF194" s="12"/>
      <c r="BG194" s="12"/>
      <c r="BH194" s="12"/>
      <c r="BI194" s="13"/>
    </row>
    <row r="195" spans="1:61" s="49" customFormat="1" hidden="1">
      <c r="A195" s="212" t="s">
        <v>493</v>
      </c>
      <c r="B195" s="978" t="str">
        <f t="shared" si="97"/>
        <v>Uniec 3 finaal</v>
      </c>
      <c r="C195" s="978" t="str">
        <f t="shared" si="97"/>
        <v>NTA 8800</v>
      </c>
      <c r="D195" s="947"/>
      <c r="E195" s="50"/>
      <c r="F195" s="46" t="str">
        <f>INDEX(tabellen_EMD!$C$269:$X$274,MATCH($J195,tabellen_EMD!$C$269:$C$274,0),MATCH(EP_versie_scope_functie_methode,tabellen_EMD!$C$269:$X$269,0))</f>
        <v>aardgas</v>
      </c>
      <c r="G195" s="46"/>
      <c r="H195" s="46"/>
      <c r="I195" s="905"/>
      <c r="J195" s="1691" t="s">
        <v>463</v>
      </c>
      <c r="K195" s="1691"/>
      <c r="L195" s="44"/>
      <c r="M195" s="24">
        <f>M183</f>
        <v>0</v>
      </c>
      <c r="N195" s="22" t="str">
        <f t="shared" ref="N195:N200" si="98">INDEX(EP_methode_eenheid,1,MATCH($C195,EP_methode,0))</f>
        <v>kWh</v>
      </c>
      <c r="O195" s="44"/>
      <c r="P195" s="24">
        <f>W183</f>
        <v>0</v>
      </c>
      <c r="Q195" s="47" t="str">
        <f>INDEX(tabellen_EMD!$C$277:$X$282,MATCH($J195,tabellen_EMD!$C$277:$C$282,0),MATCH(EP_versie_scope_functie_methode,tabellen_EMD!$C$277:$X$277,0))</f>
        <v>m3</v>
      </c>
      <c r="R195" s="12"/>
      <c r="S195" s="24">
        <f>INDEX(tabellen_EMD!$C$285:$Z$290,MATCH($J195,tabellen_EMD!$C$285:$C$290,0),MATCH(EP_versie_scope_functie_methode,tabellen_EMD!$C$285:$Z$285,0))</f>
        <v>1</v>
      </c>
      <c r="T195" s="24">
        <f>INDEX(tabellen_EMD!$C$293:$Z$298,MATCH(J$195,tabellen_EMD!$C$293:$C$298,0),MATCH(EP_versie_scope_functie_methode,tabellen_EMD!$C$293:$Z$293,0))</f>
        <v>0</v>
      </c>
      <c r="U195" s="12"/>
      <c r="V195" s="899"/>
      <c r="W195" s="24">
        <f>ROUND(P195/S195,T195)</f>
        <v>0</v>
      </c>
      <c r="X195" s="47" t="str">
        <f>INDEX(tabellen_EMD!$C$277:$X$282,MATCH($J195,tabellen_EMD!$C$277:$C$282,0),MATCH(EP_versie_scope_functie_methode,tabellen_EMD!$C$277:$X$277,0))</f>
        <v>m3</v>
      </c>
      <c r="Y195" s="12"/>
      <c r="Z195" s="453"/>
      <c r="AA195" s="453"/>
      <c r="AB195" s="909"/>
      <c r="AC195" s="995"/>
      <c r="AD195" s="1405"/>
      <c r="AE195" s="1405"/>
      <c r="AF195" s="1405"/>
      <c r="AG195" s="1405"/>
      <c r="AH195" s="1405"/>
      <c r="AI195" s="1405"/>
      <c r="AJ195" s="1405"/>
      <c r="AK195" s="1405"/>
      <c r="AL195" s="1405"/>
      <c r="AM195" s="1405"/>
      <c r="AN195" s="1405"/>
      <c r="AO195" s="1405"/>
      <c r="AP195" s="1405"/>
      <c r="AQ195" s="1405"/>
      <c r="AR195" s="1405"/>
      <c r="AS195" s="909"/>
      <c r="AT195" s="1001"/>
      <c r="AU195" s="12"/>
      <c r="AV195" s="12"/>
      <c r="AW195" s="12"/>
      <c r="AX195" s="12"/>
      <c r="AY195" s="12"/>
      <c r="AZ195" s="12"/>
      <c r="BA195" s="12"/>
      <c r="BB195" s="12"/>
      <c r="BC195" s="12"/>
      <c r="BD195" s="12"/>
      <c r="BE195" s="12"/>
      <c r="BF195" s="12"/>
      <c r="BG195" s="12"/>
      <c r="BH195" s="12"/>
      <c r="BI195" s="13"/>
    </row>
    <row r="196" spans="1:61" s="49" customFormat="1" hidden="1">
      <c r="A196" s="212" t="s">
        <v>493</v>
      </c>
      <c r="B196" s="978" t="str">
        <f t="shared" si="97"/>
        <v>Uniec 3 finaal</v>
      </c>
      <c r="C196" s="978" t="str">
        <f t="shared" si="97"/>
        <v>NTA 8800</v>
      </c>
      <c r="D196" s="947"/>
      <c r="E196" s="50"/>
      <c r="F196" s="46" t="str">
        <f>INDEX(tabellen_EMD!$C$269:$X$274,MATCH($J196,tabellen_EMD!$C$269:$C$274,0),MATCH(EP_versie_scope_functie_methode,tabellen_EMD!$C$269:$X$269,0))</f>
        <v>elektriciteit: gebruik gebouwgebonden installaties</v>
      </c>
      <c r="G196" s="46"/>
      <c r="H196" s="46"/>
      <c r="I196" s="905"/>
      <c r="J196" s="1691" t="s">
        <v>465</v>
      </c>
      <c r="K196" s="1691"/>
      <c r="L196" s="44"/>
      <c r="M196" s="24">
        <f>M184</f>
        <v>0</v>
      </c>
      <c r="N196" s="22" t="str">
        <f t="shared" si="98"/>
        <v>kWh</v>
      </c>
      <c r="O196" s="44"/>
      <c r="P196" s="24">
        <f t="shared" ref="P196" si="99">W184</f>
        <v>0</v>
      </c>
      <c r="Q196" s="47" t="str">
        <f>INDEX(tabellen_EMD!$C$277:$X$282,MATCH($J196,tabellen_EMD!$C$277:$C$282,0),MATCH(EP_versie_scope_functie_methode,tabellen_EMD!$C$277:$X$277,0))</f>
        <v>kWh</v>
      </c>
      <c r="R196" s="12"/>
      <c r="S196" s="24">
        <f>INDEX(tabellen_EMD!$C$285:$Z$290,MATCH($J196,tabellen_EMD!$C$285:$C$290,0),MATCH(EP_versie_scope_functie_methode,tabellen_EMD!$C$285:$Z$285,0))</f>
        <v>1</v>
      </c>
      <c r="T196" s="24">
        <f>INDEX(tabellen_EMD!$C$293:$Z$298,MATCH(J$195,tabellen_EMD!$C$293:$C$298,0),MATCH(EP_versie_scope_functie_methode,tabellen_EMD!$C$293:$Z$293,0))</f>
        <v>0</v>
      </c>
      <c r="U196" s="12"/>
      <c r="V196" s="899"/>
      <c r="W196" s="24">
        <f t="shared" ref="W196:W199" si="100">ROUND(P196/S196,T196)</f>
        <v>0</v>
      </c>
      <c r="X196" s="47" t="str">
        <f>INDEX(tabellen_EMD!$C$277:$X$282,MATCH($J196,tabellen_EMD!$C$277:$C$282,0),MATCH(EP_versie_scope_functie_methode,tabellen_EMD!$C$277:$X$277,0))</f>
        <v>kWh</v>
      </c>
      <c r="Y196" s="12"/>
      <c r="Z196" s="453"/>
      <c r="AA196" s="453"/>
      <c r="AB196" s="909"/>
      <c r="AC196" s="995"/>
      <c r="AD196" s="1405"/>
      <c r="AE196" s="1405"/>
      <c r="AF196" s="1405"/>
      <c r="AG196" s="1405"/>
      <c r="AH196" s="1405"/>
      <c r="AI196" s="1405"/>
      <c r="AJ196" s="1405"/>
      <c r="AK196" s="1405"/>
      <c r="AL196" s="1405"/>
      <c r="AM196" s="1405"/>
      <c r="AN196" s="1405"/>
      <c r="AO196" s="1405"/>
      <c r="AP196" s="1405"/>
      <c r="AQ196" s="1405"/>
      <c r="AR196" s="1405"/>
      <c r="AS196" s="909"/>
      <c r="AT196" s="1001"/>
      <c r="AU196" s="12"/>
      <c r="AV196" s="12"/>
      <c r="AW196" s="12"/>
      <c r="AX196" s="12"/>
      <c r="AY196" s="12"/>
      <c r="AZ196" s="12"/>
      <c r="BA196" s="12"/>
      <c r="BB196" s="12"/>
      <c r="BC196" s="12"/>
      <c r="BD196" s="12"/>
      <c r="BE196" s="12"/>
      <c r="BF196" s="12"/>
      <c r="BG196" s="12"/>
      <c r="BH196" s="12"/>
      <c r="BI196" s="13"/>
    </row>
    <row r="197" spans="1:61" s="49" customFormat="1" hidden="1">
      <c r="A197" s="212" t="s">
        <v>493</v>
      </c>
      <c r="B197" s="978" t="str">
        <f t="shared" si="97"/>
        <v>Uniec 3 finaal</v>
      </c>
      <c r="C197" s="978" t="str">
        <f t="shared" si="97"/>
        <v>NTA 8800</v>
      </c>
      <c r="D197" s="947"/>
      <c r="E197" s="50"/>
      <c r="F197" s="46" t="str">
        <f>INDEX(tabellen_EMD!$C$269:$X$274,MATCH($J197,tabellen_EMD!$C$269:$C$274,0),MATCH(EP_versie_scope_functie_methode,tabellen_EMD!$C$269:$X$269,0))</f>
        <v>elektriciteit: opgewekt</v>
      </c>
      <c r="G197" s="46"/>
      <c r="H197" s="46"/>
      <c r="I197" s="905"/>
      <c r="J197" s="1691" t="s">
        <v>466</v>
      </c>
      <c r="K197" s="1691"/>
      <c r="L197" s="44"/>
      <c r="M197" s="24">
        <f>SUM(M185:M186)</f>
        <v>0</v>
      </c>
      <c r="N197" s="22" t="str">
        <f t="shared" si="98"/>
        <v>kWh</v>
      </c>
      <c r="O197" s="44"/>
      <c r="P197" s="24">
        <f>SUM(W185:W186)</f>
        <v>0</v>
      </c>
      <c r="Q197" s="47" t="str">
        <f>INDEX(tabellen_EMD!$C$277:$X$282,MATCH($J197,tabellen_EMD!$C$277:$C$282,0),MATCH(EP_versie_scope_functie_methode,tabellen_EMD!$C$277:$X$277,0))</f>
        <v>kWh</v>
      </c>
      <c r="R197" s="12"/>
      <c r="S197" s="24">
        <f>INDEX(tabellen_EMD!$C$285:$Z$290,MATCH($J197,tabellen_EMD!$C$285:$C$290,0),MATCH(EP_versie_scope_functie_methode,tabellen_EMD!$C$285:$Z$285,0))</f>
        <v>1</v>
      </c>
      <c r="T197" s="24">
        <f>INDEX(tabellen_EMD!$C$293:$Z$298,MATCH(J$195,tabellen_EMD!$C$293:$C$298,0),MATCH(EP_versie_scope_functie_methode,tabellen_EMD!$C$293:$Z$293,0))</f>
        <v>0</v>
      </c>
      <c r="U197" s="12"/>
      <c r="V197" s="899"/>
      <c r="W197" s="24">
        <f t="shared" si="100"/>
        <v>0</v>
      </c>
      <c r="X197" s="47" t="str">
        <f>INDEX(tabellen_EMD!$C$277:$X$282,MATCH($J197,tabellen_EMD!$C$277:$C$282,0),MATCH(EP_versie_scope_functie_methode,tabellen_EMD!$C$277:$X$277,0))</f>
        <v>kWh</v>
      </c>
      <c r="Y197" s="12"/>
      <c r="Z197" s="453"/>
      <c r="AA197" s="453"/>
      <c r="AB197" s="909"/>
      <c r="AC197" s="995"/>
      <c r="AD197" s="1405"/>
      <c r="AE197" s="1405"/>
      <c r="AF197" s="1405"/>
      <c r="AG197" s="1405"/>
      <c r="AH197" s="1405"/>
      <c r="AI197" s="1405"/>
      <c r="AJ197" s="1405"/>
      <c r="AK197" s="1405"/>
      <c r="AL197" s="1405"/>
      <c r="AM197" s="1405"/>
      <c r="AN197" s="1405"/>
      <c r="AO197" s="1405"/>
      <c r="AP197" s="1405"/>
      <c r="AQ197" s="1405"/>
      <c r="AR197" s="1405"/>
      <c r="AS197" s="909"/>
      <c r="AT197" s="1001"/>
      <c r="AU197" s="12"/>
      <c r="AV197" s="12"/>
      <c r="AW197" s="12"/>
      <c r="AX197" s="12"/>
      <c r="AY197" s="12"/>
      <c r="AZ197" s="12"/>
      <c r="BA197" s="12"/>
      <c r="BB197" s="12"/>
      <c r="BC197" s="12"/>
      <c r="BD197" s="12"/>
      <c r="BE197" s="12"/>
      <c r="BF197" s="12"/>
      <c r="BG197" s="12"/>
      <c r="BH197" s="12"/>
      <c r="BI197" s="13"/>
    </row>
    <row r="198" spans="1:61" s="49" customFormat="1" hidden="1">
      <c r="A198" s="212" t="s">
        <v>493</v>
      </c>
      <c r="B198" s="978" t="str">
        <f t="shared" si="97"/>
        <v>Uniec 3 finaal</v>
      </c>
      <c r="C198" s="978" t="str">
        <f t="shared" si="97"/>
        <v>NTA 8800</v>
      </c>
      <c r="D198" s="947"/>
      <c r="E198" s="50"/>
      <c r="F198" s="46" t="str">
        <f>INDEX(tabellen_EMD!$C$269:$X$274,MATCH($J198,tabellen_EMD!$C$269:$C$274,0),MATCH(EP_versie_scope_functie_methode,tabellen_EMD!$C$269:$X$269,0))</f>
        <v>externe warmte</v>
      </c>
      <c r="G198" s="46"/>
      <c r="H198" s="46"/>
      <c r="I198" s="905"/>
      <c r="J198" s="1691" t="s">
        <v>1539</v>
      </c>
      <c r="K198" s="1691"/>
      <c r="L198" s="44"/>
      <c r="M198" s="24">
        <f>SUM(M187:M188)</f>
        <v>0</v>
      </c>
      <c r="N198" s="22" t="str">
        <f t="shared" si="98"/>
        <v>kWh</v>
      </c>
      <c r="O198" s="44"/>
      <c r="P198" s="24">
        <f>SUM(W187:W188)</f>
        <v>0</v>
      </c>
      <c r="Q198" s="47" t="str">
        <f>INDEX(tabellen_EMD!$C$277:$X$282,MATCH($J198,tabellen_EMD!$C$277:$C$282,0),MATCH(EP_versie_scope_functie_methode,tabellen_EMD!$C$277:$X$277,0))</f>
        <v>GJ</v>
      </c>
      <c r="R198" s="12"/>
      <c r="S198" s="24">
        <f>INDEX(tabellen_EMD!$C$285:$Z$290,MATCH($J198,tabellen_EMD!$C$285:$C$290,0),MATCH(EP_versie_scope_functie_methode,tabellen_EMD!$C$285:$Z$285,0))</f>
        <v>1</v>
      </c>
      <c r="T198" s="24">
        <f>INDEX(tabellen_EMD!$C$293:$Z$298,MATCH(J$195,tabellen_EMD!$C$293:$C$298,0),MATCH(EP_versie_scope_functie_methode,tabellen_EMD!$C$293:$Z$293,0))</f>
        <v>0</v>
      </c>
      <c r="U198" s="12"/>
      <c r="V198" s="899"/>
      <c r="W198" s="24">
        <f t="shared" si="100"/>
        <v>0</v>
      </c>
      <c r="X198" s="47" t="str">
        <f>INDEX(tabellen_EMD!$C$277:$X$282,MATCH($J198,tabellen_EMD!$C$277:$C$282,0),MATCH(EP_versie_scope_functie_methode,tabellen_EMD!$C$277:$X$277,0))</f>
        <v>GJ</v>
      </c>
      <c r="Y198" s="12"/>
      <c r="Z198" s="453"/>
      <c r="AA198" s="453"/>
      <c r="AB198" s="909"/>
      <c r="AC198" s="995"/>
      <c r="AD198" s="1405"/>
      <c r="AE198" s="1405"/>
      <c r="AF198" s="1405"/>
      <c r="AG198" s="1405"/>
      <c r="AH198" s="1405"/>
      <c r="AI198" s="1405"/>
      <c r="AJ198" s="1405"/>
      <c r="AK198" s="1405"/>
      <c r="AL198" s="1405"/>
      <c r="AM198" s="1405"/>
      <c r="AN198" s="1405"/>
      <c r="AO198" s="1405"/>
      <c r="AP198" s="1405"/>
      <c r="AQ198" s="1405"/>
      <c r="AR198" s="1405"/>
      <c r="AS198" s="909"/>
      <c r="AT198" s="1001"/>
      <c r="AU198" s="12"/>
      <c r="AV198" s="12"/>
      <c r="AW198" s="12"/>
      <c r="AX198" s="12"/>
      <c r="AY198" s="12"/>
      <c r="AZ198" s="12"/>
      <c r="BA198" s="12"/>
      <c r="BB198" s="12"/>
      <c r="BC198" s="12"/>
      <c r="BD198" s="12"/>
      <c r="BE198" s="12"/>
      <c r="BF198" s="12"/>
      <c r="BG198" s="12"/>
      <c r="BH198" s="12"/>
      <c r="BI198" s="13"/>
    </row>
    <row r="199" spans="1:61" s="49" customFormat="1" hidden="1">
      <c r="A199" s="212" t="s">
        <v>493</v>
      </c>
      <c r="B199" s="978" t="str">
        <f t="shared" si="97"/>
        <v>Uniec 3 finaal</v>
      </c>
      <c r="C199" s="978" t="str">
        <f t="shared" si="97"/>
        <v>NTA 8800</v>
      </c>
      <c r="D199" s="947"/>
      <c r="E199" s="50"/>
      <c r="F199" s="46" t="str">
        <f>INDEX(tabellen_EMD!$C$269:$X$274,MATCH($J199,tabellen_EMD!$C$269:$C$274,0),MATCH(EP_versie_scope_functie_methode,tabellen_EMD!$C$269:$X$269,0))</f>
        <v>hout/biomassa</v>
      </c>
      <c r="G199" s="46"/>
      <c r="H199" s="46"/>
      <c r="I199" s="905"/>
      <c r="J199" s="1691" t="s">
        <v>467</v>
      </c>
      <c r="K199" s="1691"/>
      <c r="L199" s="44"/>
      <c r="M199" s="24">
        <f>M189</f>
        <v>0</v>
      </c>
      <c r="N199" s="22" t="str">
        <f t="shared" si="98"/>
        <v>kWh</v>
      </c>
      <c r="O199" s="44"/>
      <c r="P199" s="24">
        <f>W189</f>
        <v>0</v>
      </c>
      <c r="Q199" s="47" t="str">
        <f>INDEX(tabellen_EMD!$C$277:$X$282,MATCH($J199,tabellen_EMD!$C$277:$C$282,0),MATCH(EP_versie_scope_functie_methode,tabellen_EMD!$C$277:$X$277,0))</f>
        <v>kWh</v>
      </c>
      <c r="R199" s="12"/>
      <c r="S199" s="24">
        <f>INDEX(tabellen_EMD!$C$285:$Z$290,MATCH($J199,tabellen_EMD!$C$285:$C$290,0),MATCH(EP_versie_scope_functie_methode,tabellen_EMD!$C$285:$Z$285,0))</f>
        <v>4.166666666666667</v>
      </c>
      <c r="T199" s="24">
        <f>INDEX(tabellen_EMD!$C$293:$Z$298,MATCH(J$195,tabellen_EMD!$C$293:$C$298,0),MATCH(EP_versie_scope_functie_methode,tabellen_EMD!$C$293:$Z$293,0))</f>
        <v>0</v>
      </c>
      <c r="U199" s="12"/>
      <c r="V199" s="899"/>
      <c r="W199" s="24">
        <f t="shared" si="100"/>
        <v>0</v>
      </c>
      <c r="X199" s="47" t="str">
        <f>INDEX(tabellen_EMD!$C$277:$X$282,MATCH($J199,tabellen_EMD!$C$277:$C$282,0),MATCH(EP_versie_scope_functie_methode,tabellen_EMD!$C$277:$X$277,0))</f>
        <v>kWh</v>
      </c>
      <c r="Y199" s="12"/>
      <c r="Z199" s="453"/>
      <c r="AA199" s="453"/>
      <c r="AB199" s="909"/>
      <c r="AC199" s="995"/>
      <c r="AD199" s="1405"/>
      <c r="AE199" s="1405"/>
      <c r="AF199" s="1405"/>
      <c r="AG199" s="1405"/>
      <c r="AH199" s="1405"/>
      <c r="AI199" s="1405"/>
      <c r="AJ199" s="1405"/>
      <c r="AK199" s="1405"/>
      <c r="AL199" s="1405"/>
      <c r="AM199" s="1405"/>
      <c r="AN199" s="1405"/>
      <c r="AO199" s="1405"/>
      <c r="AP199" s="1405"/>
      <c r="AQ199" s="1405"/>
      <c r="AR199" s="1405"/>
      <c r="AS199" s="909"/>
      <c r="AT199" s="1001"/>
      <c r="AU199" s="12"/>
      <c r="AV199" s="12"/>
      <c r="AW199" s="12"/>
      <c r="AX199" s="12"/>
      <c r="AY199" s="12"/>
      <c r="AZ199" s="12"/>
      <c r="BA199" s="12"/>
      <c r="BB199" s="12"/>
      <c r="BC199" s="12"/>
      <c r="BD199" s="12"/>
      <c r="BE199" s="12"/>
      <c r="BF199" s="12"/>
      <c r="BG199" s="12"/>
      <c r="BH199" s="12"/>
      <c r="BI199" s="13"/>
    </row>
    <row r="200" spans="1:61" s="940" customFormat="1" hidden="1">
      <c r="A200" s="212" t="s">
        <v>493</v>
      </c>
      <c r="B200" s="978" t="str">
        <f t="shared" si="97"/>
        <v>Uniec 3 finaal</v>
      </c>
      <c r="C200" s="978" t="str">
        <f t="shared" si="97"/>
        <v>NTA 8800</v>
      </c>
      <c r="D200" s="947"/>
      <c r="E200" s="14"/>
      <c r="F200" s="43" t="str">
        <f>tabellen_EMD!C215</f>
        <v>totaal</v>
      </c>
      <c r="G200" s="43"/>
      <c r="H200" s="43"/>
      <c r="I200" s="43"/>
      <c r="J200" s="965" t="s">
        <v>1391</v>
      </c>
      <c r="K200" s="965"/>
      <c r="L200" s="43"/>
      <c r="M200" s="54">
        <f>SUM(M195:M196,M198:M199)-M197</f>
        <v>0</v>
      </c>
      <c r="N200" s="43" t="str">
        <f t="shared" si="98"/>
        <v>kWh</v>
      </c>
      <c r="O200" s="43"/>
      <c r="P200" s="452"/>
      <c r="Q200" s="452"/>
      <c r="R200" s="899"/>
      <c r="S200" s="899"/>
      <c r="T200" s="899"/>
      <c r="U200" s="899"/>
      <c r="V200" s="899"/>
      <c r="W200" s="54"/>
      <c r="X200" s="39"/>
      <c r="Y200" s="12"/>
      <c r="Z200" s="453"/>
      <c r="AA200" s="453"/>
      <c r="AB200" s="909"/>
      <c r="AC200" s="995"/>
      <c r="AD200" s="1405"/>
      <c r="AE200" s="1405"/>
      <c r="AF200" s="1405"/>
      <c r="AG200" s="1405"/>
      <c r="AH200" s="1405"/>
      <c r="AI200" s="1405"/>
      <c r="AJ200" s="1405"/>
      <c r="AK200" s="1405"/>
      <c r="AL200" s="1405"/>
      <c r="AM200" s="1405"/>
      <c r="AN200" s="1405"/>
      <c r="AO200" s="1405"/>
      <c r="AP200" s="1405"/>
      <c r="AQ200" s="1405"/>
      <c r="AR200" s="1405"/>
      <c r="AS200" s="909"/>
      <c r="AT200" s="995"/>
      <c r="AU200" s="12"/>
      <c r="AV200" s="12"/>
      <c r="AW200" s="12"/>
      <c r="AX200" s="12"/>
      <c r="AY200" s="12"/>
      <c r="AZ200" s="12"/>
      <c r="BA200" s="12"/>
      <c r="BB200" s="12"/>
      <c r="BC200" s="12"/>
      <c r="BD200" s="12"/>
      <c r="BE200" s="12"/>
      <c r="BF200" s="12"/>
      <c r="BG200" s="12"/>
      <c r="BH200" s="12"/>
      <c r="BI200" s="13"/>
    </row>
    <row r="201" spans="1:61" s="49" customFormat="1" hidden="1">
      <c r="A201" s="212" t="s">
        <v>493</v>
      </c>
      <c r="B201" s="978" t="str">
        <f t="shared" si="97"/>
        <v>Uniec 3 finaal</v>
      </c>
      <c r="C201" s="978" t="str">
        <f t="shared" si="97"/>
        <v>NTA 8800</v>
      </c>
      <c r="D201" s="947"/>
      <c r="E201" s="50"/>
      <c r="F201" s="452" t="str">
        <f>IFERROR(IF($P$23=$B201,_xlfn.CONCAT("Bij 1.1 ingevuld: ",FIXED($J$35,2,FALSE)," ",$K$35),""),"invoer niet correct")</f>
        <v>Bij 1.1 ingevuld: 0.00 kWh/m2 Ag</v>
      </c>
      <c r="G201" s="452"/>
      <c r="H201" s="452"/>
      <c r="I201" s="905"/>
      <c r="J201" s="909" t="str">
        <f>IFERROR(IF($P$23=$B201,IF(ABS((M201-$J$35)/$J$35)&gt;1%,"Afwijking &gt;1% met subthema 1.1",""),""),"invoer niet correct")</f>
        <v>invoer niet correct</v>
      </c>
      <c r="K201" s="909"/>
      <c r="L201" s="910"/>
      <c r="M201" s="1479">
        <f>IFERROR(IF($P$23=$B201,M200/$J$59,""),"")</f>
        <v>0</v>
      </c>
      <c r="N201" s="452" t="str">
        <f>IF($P$23=$B201,_xlfn.CONCAT(N200,"/m2"),"")</f>
        <v>kWh/m2</v>
      </c>
      <c r="O201" s="452"/>
      <c r="P201" s="39"/>
      <c r="Q201" s="39"/>
      <c r="R201" s="899"/>
      <c r="S201" s="899"/>
      <c r="T201" s="899"/>
      <c r="U201" s="39"/>
      <c r="V201" s="39"/>
      <c r="W201" s="910" t="str">
        <f>IFERROR(IF($P$23=$B201,_xlfn.CONCAT("Bij 1.1 ingevuld: ",FIXED($AG$40,1,FALSE)," ",$AH$40),""),"invoer niet correct")</f>
        <v>Bij 1.1 ingevuld: 0,0 kg/m2 Ag</v>
      </c>
      <c r="X201" s="909" t="str">
        <f>IFERROR(IF($P$23=$B201,IF(ABS((Z201-$AG$40)/$AG$40)&gt;1%,"afwijking &gt;1% met subthema 1.1",""),""),"invoer niet correct")</f>
        <v>invoer niet correct</v>
      </c>
      <c r="Y201" s="12"/>
      <c r="Z201" s="951"/>
      <c r="AA201" s="452"/>
      <c r="AB201" s="909"/>
      <c r="AC201" s="995"/>
      <c r="AD201" s="1405"/>
      <c r="AE201" s="1405"/>
      <c r="AF201" s="1405"/>
      <c r="AG201" s="1405"/>
      <c r="AH201" s="1405"/>
      <c r="AI201" s="1405"/>
      <c r="AJ201" s="1405"/>
      <c r="AK201" s="1405"/>
      <c r="AL201" s="1405"/>
      <c r="AM201" s="1405"/>
      <c r="AN201" s="1405"/>
      <c r="AO201" s="1405"/>
      <c r="AP201" s="1405"/>
      <c r="AQ201" s="1405"/>
      <c r="AR201" s="1405"/>
      <c r="AS201" s="909"/>
      <c r="AT201" s="1001"/>
      <c r="AU201" s="12"/>
      <c r="AV201" s="12"/>
      <c r="AW201" s="12"/>
      <c r="AX201" s="12"/>
      <c r="AY201" s="12"/>
      <c r="AZ201" s="12"/>
      <c r="BA201" s="12"/>
      <c r="BB201" s="12"/>
      <c r="BC201" s="12"/>
      <c r="BD201" s="12"/>
      <c r="BE201" s="12"/>
      <c r="BF201" s="12"/>
      <c r="BG201" s="12"/>
      <c r="BH201" s="12"/>
      <c r="BI201" s="13"/>
    </row>
    <row r="202" spans="1:61" s="49" customFormat="1" hidden="1">
      <c r="A202" s="212" t="s">
        <v>493</v>
      </c>
      <c r="B202" s="943"/>
      <c r="C202" s="943"/>
      <c r="D202" s="943"/>
      <c r="E202" s="50"/>
      <c r="F202" s="43"/>
      <c r="G202" s="44"/>
      <c r="H202" s="44"/>
      <c r="I202" s="44"/>
      <c r="J202" s="917"/>
      <c r="K202" s="44"/>
      <c r="L202" s="44"/>
      <c r="M202" s="44"/>
      <c r="N202" s="44"/>
      <c r="O202" s="44"/>
      <c r="P202" s="899"/>
      <c r="Q202" s="899"/>
      <c r="R202" s="899"/>
      <c r="S202" s="899"/>
      <c r="T202" s="899"/>
      <c r="U202" s="899"/>
      <c r="V202" s="39"/>
      <c r="W202" s="39"/>
      <c r="X202" s="39"/>
      <c r="Y202" s="12"/>
      <c r="Z202" s="453"/>
      <c r="AA202" s="453"/>
      <c r="AB202" s="909"/>
      <c r="AC202" s="995"/>
      <c r="AD202" s="1405"/>
      <c r="AE202" s="1405"/>
      <c r="AF202" s="1405"/>
      <c r="AG202" s="1405"/>
      <c r="AH202" s="1405"/>
      <c r="AI202" s="1405"/>
      <c r="AJ202" s="1405"/>
      <c r="AK202" s="1405"/>
      <c r="AL202" s="1405"/>
      <c r="AM202" s="1405"/>
      <c r="AN202" s="1405"/>
      <c r="AO202" s="1405"/>
      <c r="AP202" s="1405"/>
      <c r="AQ202" s="1405"/>
      <c r="AR202" s="1405"/>
      <c r="AS202" s="909"/>
      <c r="AT202" s="1001"/>
      <c r="AU202" s="12"/>
      <c r="AV202" s="12"/>
      <c r="AW202" s="12"/>
      <c r="AX202" s="12"/>
      <c r="AY202" s="12"/>
      <c r="AZ202" s="12"/>
      <c r="BA202" s="12"/>
      <c r="BB202" s="12"/>
      <c r="BC202" s="12"/>
      <c r="BD202" s="12"/>
      <c r="BE202" s="12"/>
      <c r="BF202" s="12"/>
      <c r="BG202" s="12"/>
      <c r="BH202" s="12"/>
      <c r="BI202" s="13"/>
    </row>
    <row r="203" spans="1:61" ht="18" hidden="1" thickTop="1">
      <c r="A203" s="212" t="s">
        <v>493</v>
      </c>
      <c r="B203" s="943"/>
      <c r="C203" s="943"/>
      <c r="D203" s="943"/>
      <c r="E203" s="14"/>
      <c r="F203" s="43" t="s">
        <v>517</v>
      </c>
      <c r="G203" s="17"/>
      <c r="H203" s="17"/>
      <c r="I203" s="1"/>
      <c r="J203" s="12"/>
      <c r="K203" s="36"/>
      <c r="L203" s="148"/>
      <c r="M203" s="54"/>
      <c r="N203" s="16"/>
      <c r="O203" s="44"/>
      <c r="P203" s="1480" t="s">
        <v>1731</v>
      </c>
      <c r="Q203" s="1481"/>
      <c r="R203" s="1481"/>
      <c r="S203" s="1482"/>
      <c r="T203" s="1483"/>
      <c r="U203" s="1484"/>
      <c r="V203" s="1485"/>
      <c r="W203" s="1486"/>
      <c r="X203" s="16"/>
      <c r="Y203" s="12"/>
      <c r="Z203" s="453"/>
      <c r="AA203" s="453"/>
      <c r="AB203" s="67"/>
      <c r="AC203" s="995"/>
      <c r="AD203" s="1432"/>
      <c r="AE203" s="1409" t="str">
        <f>_xlfn.CONCAT("Informatief: score in ",$P$24," ",$P$25)</f>
        <v>Informatief: score in GPR 4.4 nieuwbouw</v>
      </c>
      <c r="AF203" s="1408"/>
      <c r="AG203" s="1408"/>
      <c r="AH203" s="1388"/>
      <c r="AI203" s="1388"/>
      <c r="AJ203" s="1388"/>
      <c r="AK203" s="1408"/>
      <c r="AL203" s="1415"/>
      <c r="AM203" s="1415"/>
      <c r="AN203" s="39"/>
      <c r="AO203" s="13"/>
      <c r="AP203" s="13"/>
      <c r="AQ203" s="13"/>
      <c r="AR203" s="1405"/>
      <c r="AS203" s="67"/>
      <c r="AT203" s="995"/>
      <c r="AU203" s="12"/>
      <c r="AV203" s="12"/>
      <c r="AW203" s="12"/>
      <c r="AX203" s="12"/>
      <c r="AY203" s="12"/>
      <c r="AZ203" s="12"/>
      <c r="BA203" s="12"/>
      <c r="BB203" s="12"/>
      <c r="BC203" s="12"/>
      <c r="BD203" s="12"/>
      <c r="BE203" s="12"/>
      <c r="BF203" s="12"/>
      <c r="BG203" s="12"/>
      <c r="BH203" s="12"/>
      <c r="BI203" s="13"/>
    </row>
    <row r="204" spans="1:61" ht="32" hidden="1">
      <c r="A204" s="212" t="s">
        <v>493</v>
      </c>
      <c r="D204" s="943"/>
      <c r="E204" s="14"/>
      <c r="F204" s="911" t="s">
        <v>458</v>
      </c>
      <c r="G204" s="918" t="str">
        <f>tabellen_EMD!$C$302</f>
        <v>aardgas</v>
      </c>
      <c r="H204" s="918" t="str">
        <f>tabellen_EMD!$C$303</f>
        <v>elektriciteit</v>
      </c>
      <c r="I204" s="911"/>
      <c r="J204" s="918" t="str">
        <f>tabellen_EMD!$C$304</f>
        <v>elektriciteit opgewekt</v>
      </c>
      <c r="K204" s="918" t="str">
        <f>tabellen_EMD!$C$305</f>
        <v>externe warmte</v>
      </c>
      <c r="L204" s="911"/>
      <c r="M204" s="918" t="str">
        <f>tabellen_EMD!$C$306</f>
        <v>hout / biomassa</v>
      </c>
      <c r="N204" s="918" t="s">
        <v>1594</v>
      </c>
      <c r="O204" s="44"/>
      <c r="P204" s="1487" t="str">
        <f>tabellen_EMD!$C$302</f>
        <v>aardgas</v>
      </c>
      <c r="Q204" s="918" t="str">
        <f>tabellen_EMD!$C$303</f>
        <v>elektriciteit</v>
      </c>
      <c r="R204" s="230"/>
      <c r="S204" s="918" t="str">
        <f>tabellen_EMD!$C$304</f>
        <v>elektriciteit opgewekt</v>
      </c>
      <c r="T204" s="918" t="str">
        <f>tabellen_EMD!$C$305</f>
        <v>externe warmte</v>
      </c>
      <c r="U204" s="230"/>
      <c r="V204" s="918" t="str">
        <f>tabellen_EMD!$C$306</f>
        <v>hout / biomassa</v>
      </c>
      <c r="W204" s="1488" t="s">
        <v>1594</v>
      </c>
      <c r="Y204" s="12"/>
      <c r="Z204" s="453"/>
      <c r="AA204" s="453"/>
      <c r="AB204" s="67"/>
      <c r="AC204" s="995"/>
      <c r="AD204" s="1432"/>
      <c r="AE204" s="1408"/>
      <c r="AF204" s="1408"/>
      <c r="AG204" s="1408"/>
      <c r="AH204" s="1408"/>
      <c r="AI204" s="1408"/>
      <c r="AJ204" s="1408"/>
      <c r="AK204" s="1408"/>
      <c r="AL204" s="1416"/>
      <c r="AM204" s="1416"/>
      <c r="AN204" s="16"/>
      <c r="AO204" s="13"/>
      <c r="AP204" s="13"/>
      <c r="AQ204" s="13"/>
      <c r="AR204" s="1405"/>
      <c r="AS204" s="67"/>
      <c r="AT204" s="995"/>
      <c r="AU204" s="12"/>
      <c r="AV204" s="12"/>
      <c r="AW204" s="12"/>
      <c r="AX204" s="12"/>
      <c r="AY204" s="12"/>
      <c r="AZ204" s="12"/>
      <c r="BA204" s="12"/>
      <c r="BB204" s="12"/>
      <c r="BC204" s="12"/>
      <c r="BD204" s="12"/>
      <c r="BE204" s="12"/>
      <c r="BF204" s="12"/>
      <c r="BG204" s="12"/>
      <c r="BH204" s="12"/>
      <c r="BI204" s="13"/>
    </row>
    <row r="205" spans="1:61" hidden="1">
      <c r="A205" s="212" t="s">
        <v>493</v>
      </c>
      <c r="B205" s="943"/>
      <c r="C205" s="943"/>
      <c r="D205" s="943"/>
      <c r="E205" s="14"/>
      <c r="F205" s="911" t="s">
        <v>1554</v>
      </c>
      <c r="G205" s="1047">
        <f>INDEX(tabellen_EMD!$C$285:$Z$290,MATCH(G$204,tabellen_EMD!$C$285:$C$290,0),MATCH(EP_versie_scope_functie_methode,tabellen_EMD!$C$285:$Z$285,0))</f>
        <v>1</v>
      </c>
      <c r="H205" s="1047">
        <f>INDEX(tabellen_EMD!$C$285:$Z$290,MATCH(H$204,tabellen_EMD!$C$285:$C$290,0),MATCH(EP_versie_scope_functie_methode,tabellen_EMD!$C$285:$Z$285,0))</f>
        <v>1</v>
      </c>
      <c r="I205" s="1047"/>
      <c r="J205" s="1047">
        <f>INDEX(tabellen_EMD!$C$285:$Z$290,MATCH(J$204,tabellen_EMD!$C$285:$C$290,0),MATCH(EP_versie_scope_functie_methode,tabellen_EMD!$C$285:$Z$285,0))</f>
        <v>1</v>
      </c>
      <c r="K205" s="1047">
        <f>INDEX(tabellen_EMD!$C$285:$Z$290,MATCH(K$204,tabellen_EMD!$C$285:$C$290,0),MATCH(EP_versie_scope_functie_methode,tabellen_EMD!$C$285:$Z$285,0))</f>
        <v>1</v>
      </c>
      <c r="L205" s="1047"/>
      <c r="M205" s="1047">
        <f>INDEX(tabellen_EMD!$C$285:$Z$290,MATCH(M$204,tabellen_EMD!$C$285:$C$290,0),MATCH(EP_versie_scope_functie_methode,tabellen_EMD!$C$285:$Z$285,0))</f>
        <v>4.166666666666667</v>
      </c>
      <c r="N205" s="1047"/>
      <c r="O205" s="44"/>
      <c r="P205" s="1489">
        <f>INDEX(tabellen_EMD!$C$285:$Z$290,MATCH(P$204,tabellen_EMD!$C$285:$C$290,0),MATCH(EP_versie_scope_functie_methode,tabellen_EMD!$C$285:$Z$285,0))</f>
        <v>1</v>
      </c>
      <c r="Q205" s="1047">
        <f>INDEX(tabellen_EMD!$C$285:$Z$290,MATCH(Q$204,tabellen_EMD!$C$285:$C$290,0),MATCH(EP_versie_scope_functie_methode,tabellen_EMD!$C$285:$Z$285,0))</f>
        <v>1</v>
      </c>
      <c r="R205" s="230"/>
      <c r="S205" s="1047">
        <f>INDEX(tabellen_EMD!$C$285:$Z$290,MATCH(S$204,tabellen_EMD!$C$285:$C$290,0),MATCH(EP_versie_scope_functie_methode,tabellen_EMD!$C$285:$Z$285,0))</f>
        <v>1</v>
      </c>
      <c r="T205" s="1047">
        <f>INDEX(tabellen_EMD!$C$285:$Z$290,MATCH(T$204,tabellen_EMD!$C$285:$C$290,0),MATCH(EP_versie_scope_functie_methode,tabellen_EMD!$C$285:$Z$285,0))</f>
        <v>1</v>
      </c>
      <c r="U205" s="230"/>
      <c r="V205" s="1047">
        <f>INDEX(tabellen_EMD!$C$285:$Z$290,MATCH(V$204,tabellen_EMD!$C$285:$C$290,0),MATCH(EP_versie_scope_functie_methode,tabellen_EMD!$C$285:$Z$285,0))</f>
        <v>4.166666666666667</v>
      </c>
      <c r="W205" s="1490"/>
      <c r="Y205" s="12"/>
      <c r="Z205" s="453"/>
      <c r="AA205" s="453"/>
      <c r="AB205" s="67"/>
      <c r="AC205" s="995"/>
      <c r="AD205" s="1432"/>
      <c r="AE205" s="1408"/>
      <c r="AF205" s="1408"/>
      <c r="AG205" s="1408"/>
      <c r="AH205" s="1408"/>
      <c r="AI205" s="1408"/>
      <c r="AJ205" s="1408"/>
      <c r="AK205" s="1408"/>
      <c r="AL205" s="1416"/>
      <c r="AM205" s="1416"/>
      <c r="AN205" s="16"/>
      <c r="AO205" s="13"/>
      <c r="AP205" s="13"/>
      <c r="AQ205" s="13"/>
      <c r="AR205" s="1405"/>
      <c r="AS205" s="67"/>
      <c r="AT205" s="995"/>
      <c r="AU205" s="12"/>
      <c r="AV205" s="12"/>
      <c r="AW205" s="12"/>
      <c r="AX205" s="12"/>
      <c r="AY205" s="12"/>
      <c r="AZ205" s="12"/>
      <c r="BA205" s="12"/>
      <c r="BB205" s="12"/>
      <c r="BC205" s="12"/>
      <c r="BD205" s="12"/>
      <c r="BE205" s="12"/>
      <c r="BF205" s="12"/>
      <c r="BG205" s="12"/>
      <c r="BH205" s="12"/>
      <c r="BI205" s="13"/>
    </row>
    <row r="206" spans="1:61" hidden="1">
      <c r="A206" s="212" t="s">
        <v>493</v>
      </c>
      <c r="B206" s="943"/>
      <c r="C206" s="943"/>
      <c r="D206" s="943"/>
      <c r="E206" s="14"/>
      <c r="F206" s="911" t="s">
        <v>1555</v>
      </c>
      <c r="G206" s="1047">
        <f>INDEX(tabellen_EMD!$C$293:$Z$298,MATCH(G$204,tabellen_EMD!$C$293:$C$298,0),MATCH(EP_versie_scope_functie_methode,tabellen_EMD!$C$293:$Z$293,0))</f>
        <v>0</v>
      </c>
      <c r="H206" s="1047">
        <f>INDEX(tabellen_EMD!$C$293:$Z$298,MATCH(H$204,tabellen_EMD!$C$293:$C$298,0),MATCH(EP_versie_scope_functie_methode,tabellen_EMD!$C$293:$Z$293,0))</f>
        <v>0</v>
      </c>
      <c r="I206" s="1047"/>
      <c r="J206" s="1047">
        <f>INDEX(tabellen_EMD!$C$293:$Z$298,MATCH(J$204,tabellen_EMD!$C$293:$C$298,0),MATCH(EP_versie_scope_functie_methode,tabellen_EMD!$C$293:$Z$293,0))</f>
        <v>0</v>
      </c>
      <c r="K206" s="1047">
        <f>INDEX(tabellen_EMD!$C$293:$Z$298,MATCH(K$204,tabellen_EMD!$C$293:$C$298,0),MATCH(EP_versie_scope_functie_methode,tabellen_EMD!$C$293:$Z$293,0))</f>
        <v>1</v>
      </c>
      <c r="L206" s="1047"/>
      <c r="M206" s="1047">
        <f>INDEX(tabellen_EMD!$C$293:$Z$298,MATCH(M$204,tabellen_EMD!$C$293:$C$298,0),MATCH(EP_versie_scope_functie_methode,tabellen_EMD!$C$293:$Z$293,0))</f>
        <v>0</v>
      </c>
      <c r="N206" s="1047"/>
      <c r="O206" s="44"/>
      <c r="P206" s="1489">
        <f>INDEX(tabellen_EMD!$C$293:$Z$298,MATCH(P$204,tabellen_EMD!$C$293:$C$298,0),MATCH(EP_versie_scope_functie_methode,tabellen_EMD!$C$293:$Z$293,0))</f>
        <v>0</v>
      </c>
      <c r="Q206" s="1047">
        <f>INDEX(tabellen_EMD!$C$293:$Z$298,MATCH(Q$204,tabellen_EMD!$C$293:$C$298,0),MATCH(EP_versie_scope_functie_methode,tabellen_EMD!$C$293:$Z$293,0))</f>
        <v>0</v>
      </c>
      <c r="R206" s="230"/>
      <c r="S206" s="1047">
        <f>INDEX(tabellen_EMD!$C$293:$Z$298,MATCH(S$204,tabellen_EMD!$C$293:$C$298,0),MATCH(EP_versie_scope_functie_methode,tabellen_EMD!$C$293:$Z$293,0))</f>
        <v>0</v>
      </c>
      <c r="T206" s="1047">
        <f>INDEX(tabellen_EMD!$C$293:$Z$298,MATCH(T$204,tabellen_EMD!$C$293:$C$298,0),MATCH(EP_versie_scope_functie_methode,tabellen_EMD!$C$293:$Z$293,0))</f>
        <v>1</v>
      </c>
      <c r="U206" s="230"/>
      <c r="V206" s="1047">
        <f>INDEX(tabellen_EMD!$C$293:$Z$298,MATCH(V$204,tabellen_EMD!$C$293:$C$298,0),MATCH(EP_versie_scope_functie_methode,tabellen_EMD!$C$293:$Z$293,0))</f>
        <v>0</v>
      </c>
      <c r="W206" s="1490"/>
      <c r="Y206" s="12"/>
      <c r="Z206" s="453"/>
      <c r="AA206" s="453"/>
      <c r="AB206" s="67"/>
      <c r="AC206" s="995"/>
      <c r="AD206" s="1432"/>
      <c r="AE206" s="1408"/>
      <c r="AF206" s="1408"/>
      <c r="AG206" s="1408"/>
      <c r="AH206" s="1408"/>
      <c r="AI206" s="1408"/>
      <c r="AJ206" s="1408"/>
      <c r="AK206" s="1408"/>
      <c r="AL206" s="1416"/>
      <c r="AM206" s="1416"/>
      <c r="AN206" s="16"/>
      <c r="AO206" s="13"/>
      <c r="AP206" s="13"/>
      <c r="AQ206" s="13"/>
      <c r="AR206" s="1405"/>
      <c r="AS206" s="67"/>
      <c r="AT206" s="995"/>
      <c r="AU206" s="12"/>
      <c r="AV206" s="12"/>
      <c r="AW206" s="12"/>
      <c r="AX206" s="12"/>
      <c r="AY206" s="12"/>
      <c r="AZ206" s="12"/>
      <c r="BA206" s="12"/>
      <c r="BB206" s="12"/>
      <c r="BC206" s="12"/>
      <c r="BD206" s="12"/>
      <c r="BE206" s="12"/>
      <c r="BF206" s="12"/>
      <c r="BG206" s="12"/>
      <c r="BH206" s="12"/>
      <c r="BI206" s="13"/>
    </row>
    <row r="207" spans="1:61" ht="32" hidden="1">
      <c r="A207" s="212" t="s">
        <v>493</v>
      </c>
      <c r="B207" s="943"/>
      <c r="C207" s="943"/>
      <c r="D207" s="943"/>
      <c r="E207" s="14"/>
      <c r="F207" s="911"/>
      <c r="G207" s="911" t="s">
        <v>463</v>
      </c>
      <c r="H207" s="911" t="s">
        <v>519</v>
      </c>
      <c r="I207" s="911"/>
      <c r="J207" s="911" t="s">
        <v>520</v>
      </c>
      <c r="K207" s="911" t="s">
        <v>521</v>
      </c>
      <c r="L207" s="911"/>
      <c r="M207" s="911" t="s">
        <v>522</v>
      </c>
      <c r="N207" s="911"/>
      <c r="O207" s="44"/>
      <c r="P207" s="1491" t="s">
        <v>463</v>
      </c>
      <c r="Q207" s="911" t="s">
        <v>519</v>
      </c>
      <c r="R207" s="230"/>
      <c r="S207" s="911" t="s">
        <v>520</v>
      </c>
      <c r="T207" s="911" t="s">
        <v>521</v>
      </c>
      <c r="U207" s="230"/>
      <c r="V207" s="911" t="s">
        <v>522</v>
      </c>
      <c r="W207" s="1492"/>
      <c r="Y207" s="12"/>
      <c r="Z207" s="453"/>
      <c r="AA207" s="453"/>
      <c r="AB207" s="67"/>
      <c r="AC207" s="995"/>
      <c r="AD207" s="891" t="s">
        <v>396</v>
      </c>
      <c r="AE207" s="1410" t="s">
        <v>511</v>
      </c>
      <c r="AF207" s="1408"/>
      <c r="AG207" s="1388"/>
      <c r="AH207" s="1388"/>
      <c r="AI207" s="1388"/>
      <c r="AJ207" s="1388"/>
      <c r="AK207" s="1408"/>
      <c r="AL207" s="1416"/>
      <c r="AM207" s="1416"/>
      <c r="AN207" s="16"/>
      <c r="AO207" s="13"/>
      <c r="AP207" s="13"/>
      <c r="AQ207" s="13"/>
      <c r="AR207" s="1405"/>
      <c r="AS207" s="67"/>
      <c r="AT207" s="995"/>
      <c r="AU207" s="12"/>
      <c r="AV207" s="12"/>
      <c r="AW207" s="12"/>
      <c r="AX207" s="12"/>
      <c r="AY207" s="12"/>
      <c r="AZ207" s="12"/>
      <c r="BA207" s="12"/>
      <c r="BB207" s="12"/>
      <c r="BC207" s="12"/>
      <c r="BD207" s="12"/>
      <c r="BE207" s="12"/>
      <c r="BF207" s="12"/>
      <c r="BG207" s="12"/>
      <c r="BH207" s="12"/>
      <c r="BI207" s="13"/>
    </row>
    <row r="208" spans="1:61" hidden="1">
      <c r="A208" s="212" t="s">
        <v>493</v>
      </c>
      <c r="B208" s="943"/>
      <c r="C208" s="943"/>
      <c r="D208" s="943"/>
      <c r="E208" s="14"/>
      <c r="F208" s="911"/>
      <c r="G208" s="911" t="str">
        <f>INDEX(tabellen_EMD!$C$277:$Z$282,MATCH(G$204,tabellen_EMD!$C$285:$C$290,0),MATCH(EP_versie_scope_functie_methode,tabellen_EMD!$C$285:$Z$285,0))</f>
        <v>m3</v>
      </c>
      <c r="H208" s="911" t="str">
        <f>INDEX(tabellen_EMD!$C$277:$Z$282,MATCH(H$204,tabellen_EMD!$C$285:$C$290,0),MATCH(EP_versie_scope_functie_methode,tabellen_EMD!$C$285:$Z$285,0))</f>
        <v>kWh</v>
      </c>
      <c r="I208" s="911"/>
      <c r="J208" s="911" t="str">
        <f>INDEX(tabellen_EMD!$C$277:$Z$282,MATCH(J$204,tabellen_EMD!$C$285:$C$290,0),MATCH(EP_versie_scope_functie_methode,tabellen_EMD!$C$285:$Z$285,0))</f>
        <v>kWh</v>
      </c>
      <c r="K208" s="911" t="str">
        <f>INDEX(tabellen_EMD!$C$277:$Z$282,MATCH(K$204,tabellen_EMD!$C$285:$C$290,0),MATCH(EP_versie_scope_functie_methode,tabellen_EMD!$C$285:$Z$285,0))</f>
        <v>GJ</v>
      </c>
      <c r="L208" s="911"/>
      <c r="M208" s="911" t="str">
        <f>INDEX(tabellen_EMD!$C$277:$Z$282,MATCH(M$204,tabellen_EMD!$C$285:$C$290,0),MATCH(EP_versie_scope_functie_methode,tabellen_EMD!$C$285:$Z$285,0))</f>
        <v>kWh</v>
      </c>
      <c r="N208" s="911" t="s">
        <v>562</v>
      </c>
      <c r="O208" s="44"/>
      <c r="P208" s="1491" t="s">
        <v>464</v>
      </c>
      <c r="Q208" s="911" t="s">
        <v>406</v>
      </c>
      <c r="R208" s="230"/>
      <c r="S208" s="911" t="s">
        <v>406</v>
      </c>
      <c r="T208" s="911" t="s">
        <v>405</v>
      </c>
      <c r="U208" s="230"/>
      <c r="V208" s="911" t="str">
        <f>INDEX(tabellen_EMD!$C$277:$Z$282,MATCH(V$204,tabellen_EMD!$C$285:$C$290,0),MATCH(EP_versie_scope_functie_methode,tabellen_EMD!$C$285:$Z$285,0))</f>
        <v>kWh</v>
      </c>
      <c r="W208" s="1492" t="s">
        <v>562</v>
      </c>
      <c r="Y208" s="12"/>
      <c r="Z208" s="453"/>
      <c r="AA208" s="453"/>
      <c r="AB208" s="67"/>
      <c r="AC208" s="995"/>
      <c r="AD208" s="891" t="s">
        <v>396</v>
      </c>
      <c r="AE208" s="1412" t="str">
        <f>_xlfn.CONCAT("Broeikasgas-emissie tgv energiegebruik (",$P$27,")")</f>
        <v>Broeikasgas-emissie tgv energiegebruik (NTA 8800)</v>
      </c>
      <c r="AF208" s="1444"/>
      <c r="AG208" s="1445">
        <f>IFERROR(SUMPRODUCT($G$229:$M$229,$G$249:$M$249)/J275,"")</f>
        <v>0</v>
      </c>
      <c r="AH208" s="1412" t="s">
        <v>1409</v>
      </c>
      <c r="AI208" s="1412"/>
      <c r="AJ208" s="1412"/>
      <c r="AK208" s="1408"/>
      <c r="AL208" s="1416"/>
      <c r="AM208" s="1416"/>
      <c r="AN208" s="16"/>
      <c r="AO208" s="13"/>
      <c r="AP208" s="13"/>
      <c r="AQ208" s="13"/>
      <c r="AR208" s="1405"/>
      <c r="AS208" s="67"/>
      <c r="AT208" s="995"/>
      <c r="AU208" s="12"/>
      <c r="AV208" s="12"/>
      <c r="AW208" s="12"/>
      <c r="AX208" s="12"/>
      <c r="AY208" s="12"/>
      <c r="AZ208" s="12"/>
      <c r="BA208" s="12"/>
      <c r="BB208" s="12"/>
      <c r="BC208" s="12"/>
      <c r="BD208" s="12"/>
      <c r="BE208" s="12"/>
      <c r="BF208" s="12"/>
      <c r="BG208" s="12"/>
      <c r="BH208" s="12"/>
      <c r="BI208" s="13"/>
    </row>
    <row r="209" spans="1:61" hidden="1">
      <c r="A209" s="212" t="s">
        <v>493</v>
      </c>
      <c r="B209" s="943"/>
      <c r="C209" s="943"/>
      <c r="D209" s="943"/>
      <c r="E209" s="14"/>
      <c r="F209" s="22" t="s">
        <v>297</v>
      </c>
      <c r="G209" s="214" t="str">
        <f>G256</f>
        <v/>
      </c>
      <c r="H209" s="214" t="str">
        <f t="shared" ref="H209:N209" si="101">H256</f>
        <v/>
      </c>
      <c r="I209" s="214"/>
      <c r="J209" s="214" t="str">
        <f t="shared" si="101"/>
        <v/>
      </c>
      <c r="K209" s="214" t="str">
        <f t="shared" si="101"/>
        <v/>
      </c>
      <c r="L209" s="214"/>
      <c r="M209" s="214" t="str">
        <f t="shared" si="101"/>
        <v/>
      </c>
      <c r="N209" s="142" t="str">
        <f t="shared" si="101"/>
        <v/>
      </c>
      <c r="O209" s="44"/>
      <c r="P209" s="1493">
        <f t="shared" ref="P209:Q220" si="102">Q256</f>
        <v>0</v>
      </c>
      <c r="Q209" s="214">
        <f t="shared" si="102"/>
        <v>0</v>
      </c>
      <c r="R209" s="230"/>
      <c r="S209" s="214">
        <f t="shared" ref="S209:T220" si="103">T256</f>
        <v>0</v>
      </c>
      <c r="T209" s="214">
        <f t="shared" si="103"/>
        <v>0</v>
      </c>
      <c r="U209" s="230"/>
      <c r="V209" s="214"/>
      <c r="W209" s="1494">
        <f>IFERROR(M44/$M$58*$J$275,"")</f>
        <v>0</v>
      </c>
      <c r="Y209" s="12"/>
      <c r="Z209" s="453"/>
      <c r="AA209" s="453"/>
      <c r="AB209" s="67"/>
      <c r="AC209" s="995"/>
      <c r="AD209" s="891" t="s">
        <v>396</v>
      </c>
      <c r="AE209" s="1412" t="s">
        <v>1408</v>
      </c>
      <c r="AF209" s="1443"/>
      <c r="AG209" s="1445">
        <f>IFERROR(M273,"")</f>
        <v>0</v>
      </c>
      <c r="AH209" s="1412" t="s">
        <v>1409</v>
      </c>
      <c r="AI209" s="1412"/>
      <c r="AJ209" s="1412"/>
      <c r="AK209" s="1408"/>
      <c r="AL209" s="1416"/>
      <c r="AM209" s="1416"/>
      <c r="AN209" s="16"/>
      <c r="AO209" s="13"/>
      <c r="AP209" s="13"/>
      <c r="AQ209" s="13"/>
      <c r="AR209" s="1405"/>
      <c r="AS209" s="67"/>
      <c r="AT209" s="995"/>
      <c r="AU209" s="12"/>
      <c r="AV209" s="12"/>
      <c r="AW209" s="12"/>
      <c r="AX209" s="12"/>
      <c r="AY209" s="12"/>
      <c r="AZ209" s="12"/>
      <c r="BA209" s="12"/>
      <c r="BB209" s="12"/>
      <c r="BC209" s="12"/>
      <c r="BD209" s="12"/>
      <c r="BE209" s="12"/>
      <c r="BF209" s="12"/>
      <c r="BG209" s="12"/>
      <c r="BH209" s="12"/>
      <c r="BI209" s="13"/>
    </row>
    <row r="210" spans="1:61" hidden="1">
      <c r="A210" s="212" t="s">
        <v>493</v>
      </c>
      <c r="B210" s="943"/>
      <c r="C210" s="943"/>
      <c r="D210" s="943"/>
      <c r="E210" s="14"/>
      <c r="F210" s="22" t="s">
        <v>298</v>
      </c>
      <c r="G210" s="214" t="str">
        <f t="shared" ref="G210:N220" si="104">G257</f>
        <v/>
      </c>
      <c r="H210" s="214" t="str">
        <f t="shared" si="104"/>
        <v/>
      </c>
      <c r="I210" s="214"/>
      <c r="J210" s="214" t="str">
        <f t="shared" si="104"/>
        <v/>
      </c>
      <c r="K210" s="214" t="str">
        <f t="shared" si="104"/>
        <v/>
      </c>
      <c r="L210" s="214"/>
      <c r="M210" s="214" t="str">
        <f t="shared" si="104"/>
        <v/>
      </c>
      <c r="N210" s="142" t="str">
        <f t="shared" si="104"/>
        <v/>
      </c>
      <c r="O210" s="44"/>
      <c r="P210" s="1493">
        <f t="shared" si="102"/>
        <v>0</v>
      </c>
      <c r="Q210" s="214">
        <f t="shared" si="102"/>
        <v>0</v>
      </c>
      <c r="R210" s="230"/>
      <c r="S210" s="214">
        <f t="shared" si="103"/>
        <v>0</v>
      </c>
      <c r="T210" s="214">
        <f t="shared" si="103"/>
        <v>0</v>
      </c>
      <c r="U210" s="230"/>
      <c r="V210" s="214"/>
      <c r="W210" s="1494">
        <f t="shared" ref="W210:W220" si="105">IFERROR(M45/$M$58*$J$275,"")</f>
        <v>0</v>
      </c>
      <c r="Y210" s="12"/>
      <c r="Z210" s="453"/>
      <c r="AA210" s="453"/>
      <c r="AB210" s="67"/>
      <c r="AC210" s="995"/>
      <c r="AD210" s="1434"/>
      <c r="AE210" s="1412" t="s">
        <v>1391</v>
      </c>
      <c r="AF210" s="1443"/>
      <c r="AG210" s="1448">
        <f>SUM(AG208,M273)</f>
        <v>0</v>
      </c>
      <c r="AH210" s="1412" t="s">
        <v>1409</v>
      </c>
      <c r="AI210" s="1412"/>
      <c r="AJ210" s="1412"/>
      <c r="AK210" s="1408"/>
      <c r="AL210" s="1416"/>
      <c r="AM210" s="1416"/>
      <c r="AN210" s="16"/>
      <c r="AO210" s="13"/>
      <c r="AP210" s="13"/>
      <c r="AQ210" s="13"/>
      <c r="AR210" s="1405"/>
      <c r="AS210" s="67"/>
      <c r="AT210" s="995"/>
      <c r="AU210" s="12"/>
      <c r="AV210" s="12"/>
      <c r="AW210" s="12"/>
      <c r="AX210" s="12"/>
      <c r="AY210" s="12"/>
      <c r="AZ210" s="12"/>
      <c r="BA210" s="12"/>
      <c r="BB210" s="12"/>
      <c r="BC210" s="12"/>
      <c r="BD210" s="12"/>
      <c r="BE210" s="12"/>
      <c r="BF210" s="12"/>
      <c r="BG210" s="12"/>
      <c r="BH210" s="12"/>
      <c r="BI210" s="13"/>
    </row>
    <row r="211" spans="1:61" hidden="1">
      <c r="A211" s="212" t="s">
        <v>493</v>
      </c>
      <c r="B211" s="943"/>
      <c r="C211" s="943"/>
      <c r="D211" s="943"/>
      <c r="E211" s="14"/>
      <c r="F211" s="22" t="s">
        <v>303</v>
      </c>
      <c r="G211" s="214" t="str">
        <f t="shared" si="104"/>
        <v>0</v>
      </c>
      <c r="H211" s="214" t="str">
        <f t="shared" si="104"/>
        <v>0</v>
      </c>
      <c r="I211" s="214"/>
      <c r="J211" s="214" t="str">
        <f t="shared" si="104"/>
        <v>0</v>
      </c>
      <c r="K211" s="214" t="str">
        <f t="shared" si="104"/>
        <v>0.0</v>
      </c>
      <c r="L211" s="214"/>
      <c r="M211" s="214" t="str">
        <f t="shared" si="104"/>
        <v>0</v>
      </c>
      <c r="N211" s="142">
        <f t="shared" si="104"/>
        <v>0.33333333333333331</v>
      </c>
      <c r="O211" s="44"/>
      <c r="P211" s="1493">
        <f t="shared" si="102"/>
        <v>0</v>
      </c>
      <c r="Q211" s="214">
        <f t="shared" si="102"/>
        <v>0</v>
      </c>
      <c r="R211" s="230"/>
      <c r="S211" s="214">
        <f t="shared" si="103"/>
        <v>0</v>
      </c>
      <c r="T211" s="214">
        <f t="shared" si="103"/>
        <v>0</v>
      </c>
      <c r="U211" s="230"/>
      <c r="V211" s="214"/>
      <c r="W211" s="1494">
        <f t="shared" si="105"/>
        <v>0.33333333333333331</v>
      </c>
      <c r="Y211" s="12"/>
      <c r="Z211" s="453"/>
      <c r="AA211" s="453"/>
      <c r="AB211" s="67"/>
      <c r="AC211" s="995"/>
      <c r="AD211" s="1429"/>
      <c r="AE211" s="1418"/>
      <c r="AF211" s="1418"/>
      <c r="AG211" s="1418"/>
      <c r="AH211" s="1418"/>
      <c r="AI211" s="1418"/>
      <c r="AJ211" s="1388"/>
      <c r="AK211" s="1408"/>
      <c r="AL211" s="1416"/>
      <c r="AM211" s="1416"/>
      <c r="AN211" s="16"/>
      <c r="AO211" s="13"/>
      <c r="AP211" s="13"/>
      <c r="AQ211" s="13"/>
      <c r="AR211" s="1405"/>
      <c r="AS211" s="67"/>
      <c r="AT211" s="995"/>
      <c r="AU211" s="12"/>
      <c r="AV211" s="12"/>
      <c r="AW211" s="12"/>
      <c r="AX211" s="12"/>
      <c r="AY211" s="12"/>
      <c r="AZ211" s="12"/>
      <c r="BA211" s="12"/>
      <c r="BB211" s="12"/>
      <c r="BC211" s="12"/>
      <c r="BD211" s="12"/>
      <c r="BE211" s="12"/>
      <c r="BF211" s="12"/>
      <c r="BG211" s="12"/>
      <c r="BH211" s="12"/>
      <c r="BI211" s="13"/>
    </row>
    <row r="212" spans="1:61" hidden="1">
      <c r="A212" s="212" t="s">
        <v>493</v>
      </c>
      <c r="B212" s="943"/>
      <c r="C212" s="943"/>
      <c r="D212" s="943"/>
      <c r="E212" s="14"/>
      <c r="F212" s="22" t="s">
        <v>299</v>
      </c>
      <c r="G212" s="214" t="str">
        <f t="shared" si="104"/>
        <v>0</v>
      </c>
      <c r="H212" s="214" t="str">
        <f t="shared" si="104"/>
        <v>0</v>
      </c>
      <c r="I212" s="214"/>
      <c r="J212" s="214" t="str">
        <f t="shared" si="104"/>
        <v>0</v>
      </c>
      <c r="K212" s="214" t="str">
        <f t="shared" si="104"/>
        <v>0.0</v>
      </c>
      <c r="L212" s="214"/>
      <c r="M212" s="214" t="str">
        <f t="shared" si="104"/>
        <v>0</v>
      </c>
      <c r="N212" s="142">
        <f t="shared" si="104"/>
        <v>0.33333333333333331</v>
      </c>
      <c r="O212" s="44"/>
      <c r="P212" s="1493">
        <f t="shared" si="102"/>
        <v>0</v>
      </c>
      <c r="Q212" s="214">
        <f t="shared" si="102"/>
        <v>0</v>
      </c>
      <c r="R212" s="230"/>
      <c r="S212" s="214">
        <f t="shared" si="103"/>
        <v>0</v>
      </c>
      <c r="T212" s="214">
        <f t="shared" si="103"/>
        <v>0</v>
      </c>
      <c r="U212" s="230"/>
      <c r="V212" s="214"/>
      <c r="W212" s="1494">
        <f t="shared" si="105"/>
        <v>0.33333333333333331</v>
      </c>
      <c r="Y212" s="12"/>
      <c r="Z212" s="453"/>
      <c r="AA212" s="453"/>
      <c r="AB212" s="67"/>
      <c r="AC212" s="995"/>
      <c r="AD212" s="891" t="s">
        <v>396</v>
      </c>
      <c r="AE212" s="1477" t="s">
        <v>1406</v>
      </c>
      <c r="AF212" s="1478"/>
      <c r="AG212" s="905"/>
      <c r="AH212" s="905"/>
      <c r="AI212" s="1418"/>
      <c r="AJ212" s="1388"/>
      <c r="AK212" s="1408"/>
      <c r="AL212" s="1416"/>
      <c r="AM212" s="1416"/>
      <c r="AN212" s="16"/>
      <c r="AO212" s="13"/>
      <c r="AP212" s="13"/>
      <c r="AQ212" s="13"/>
      <c r="AR212" s="1405"/>
      <c r="AS212" s="67"/>
      <c r="AT212" s="995"/>
      <c r="AU212" s="12"/>
      <c r="AV212" s="12"/>
      <c r="AW212" s="12"/>
      <c r="AX212" s="12"/>
      <c r="AY212" s="12"/>
      <c r="AZ212" s="12"/>
      <c r="BA212" s="12"/>
      <c r="BB212" s="12"/>
      <c r="BC212" s="12"/>
      <c r="BD212" s="12"/>
      <c r="BE212" s="12"/>
      <c r="BF212" s="12"/>
      <c r="BG212" s="12"/>
      <c r="BH212" s="12"/>
      <c r="BI212" s="13"/>
    </row>
    <row r="213" spans="1:61" hidden="1">
      <c r="A213" s="212" t="s">
        <v>493</v>
      </c>
      <c r="B213" s="943"/>
      <c r="C213" s="943"/>
      <c r="D213" s="943"/>
      <c r="E213" s="14"/>
      <c r="F213" s="22" t="s">
        <v>422</v>
      </c>
      <c r="G213" s="214" t="str">
        <f t="shared" si="104"/>
        <v>0</v>
      </c>
      <c r="H213" s="214" t="str">
        <f t="shared" si="104"/>
        <v>0</v>
      </c>
      <c r="I213" s="214"/>
      <c r="J213" s="214" t="str">
        <f t="shared" si="104"/>
        <v>0</v>
      </c>
      <c r="K213" s="214" t="str">
        <f t="shared" si="104"/>
        <v>0.0</v>
      </c>
      <c r="L213" s="214"/>
      <c r="M213" s="214" t="str">
        <f t="shared" si="104"/>
        <v>0</v>
      </c>
      <c r="N213" s="142">
        <f t="shared" si="104"/>
        <v>0.33333333333333331</v>
      </c>
      <c r="O213" s="44"/>
      <c r="P213" s="1493">
        <f t="shared" si="102"/>
        <v>0</v>
      </c>
      <c r="Q213" s="214">
        <f t="shared" si="102"/>
        <v>0</v>
      </c>
      <c r="R213" s="230"/>
      <c r="S213" s="214">
        <f t="shared" si="103"/>
        <v>0</v>
      </c>
      <c r="T213" s="214">
        <f t="shared" si="103"/>
        <v>0</v>
      </c>
      <c r="U213" s="230"/>
      <c r="V213" s="214"/>
      <c r="W213" s="1494">
        <f t="shared" si="105"/>
        <v>0.33333333333333331</v>
      </c>
      <c r="Y213" s="12"/>
      <c r="Z213" s="453"/>
      <c r="AA213" s="453"/>
      <c r="AB213" s="67"/>
      <c r="AC213" s="995"/>
      <c r="AD213" s="891" t="s">
        <v>396</v>
      </c>
      <c r="AE213" s="903" t="s">
        <v>1441</v>
      </c>
      <c r="AF213" s="1474"/>
      <c r="AG213" s="1475">
        <f>F385</f>
        <v>4.2922165274118269</v>
      </c>
      <c r="AH213" s="1476" t="s">
        <v>440</v>
      </c>
      <c r="AI213" s="1412"/>
      <c r="AJ213" s="1388"/>
      <c r="AK213" s="1408"/>
      <c r="AL213" s="1416"/>
      <c r="AM213" s="1416"/>
      <c r="AN213" s="16"/>
      <c r="AO213" s="13"/>
      <c r="AP213" s="13"/>
      <c r="AQ213" s="13"/>
      <c r="AR213" s="1405"/>
      <c r="AS213" s="67"/>
      <c r="AT213" s="995"/>
      <c r="AU213" s="12"/>
      <c r="AV213" s="12"/>
      <c r="AW213" s="12"/>
      <c r="AX213" s="12"/>
      <c r="AY213" s="12"/>
      <c r="AZ213" s="12"/>
      <c r="BA213" s="12"/>
      <c r="BB213" s="12"/>
      <c r="BC213" s="12"/>
      <c r="BD213" s="12"/>
      <c r="BE213" s="12"/>
      <c r="BF213" s="12"/>
      <c r="BG213" s="12"/>
      <c r="BH213" s="12"/>
      <c r="BI213" s="13"/>
    </row>
    <row r="214" spans="1:61" hidden="1">
      <c r="A214" s="212" t="s">
        <v>493</v>
      </c>
      <c r="B214" s="943"/>
      <c r="C214" s="943"/>
      <c r="D214" s="943"/>
      <c r="E214" s="14"/>
      <c r="F214" s="22" t="s">
        <v>305</v>
      </c>
      <c r="G214" s="214" t="str">
        <f t="shared" si="104"/>
        <v/>
      </c>
      <c r="H214" s="214" t="str">
        <f t="shared" si="104"/>
        <v/>
      </c>
      <c r="I214" s="214"/>
      <c r="J214" s="214" t="str">
        <f t="shared" si="104"/>
        <v/>
      </c>
      <c r="K214" s="214" t="str">
        <f t="shared" si="104"/>
        <v/>
      </c>
      <c r="L214" s="214"/>
      <c r="M214" s="214" t="str">
        <f t="shared" si="104"/>
        <v/>
      </c>
      <c r="N214" s="142" t="str">
        <f t="shared" si="104"/>
        <v/>
      </c>
      <c r="O214" s="44"/>
      <c r="P214" s="1493">
        <f t="shared" si="102"/>
        <v>0</v>
      </c>
      <c r="Q214" s="214">
        <f t="shared" si="102"/>
        <v>0</v>
      </c>
      <c r="R214" s="230"/>
      <c r="S214" s="214">
        <f t="shared" si="103"/>
        <v>0</v>
      </c>
      <c r="T214" s="214">
        <f t="shared" si="103"/>
        <v>0</v>
      </c>
      <c r="U214" s="230"/>
      <c r="V214" s="214"/>
      <c r="W214" s="1494">
        <f t="shared" si="105"/>
        <v>0</v>
      </c>
      <c r="Y214" s="12"/>
      <c r="Z214" s="453"/>
      <c r="AA214" s="453"/>
      <c r="AB214" s="67"/>
      <c r="AC214" s="995"/>
      <c r="AD214" s="891" t="s">
        <v>396</v>
      </c>
      <c r="AE214" s="903" t="s">
        <v>1442</v>
      </c>
      <c r="AF214" s="1474"/>
      <c r="AG214" s="1475">
        <f>G385</f>
        <v>-3.9773319655195288E-2</v>
      </c>
      <c r="AH214" s="1476" t="s">
        <v>440</v>
      </c>
      <c r="AI214" s="1412"/>
      <c r="AJ214" s="1388"/>
      <c r="AK214" s="1408"/>
      <c r="AL214" s="1416"/>
      <c r="AM214" s="1416"/>
      <c r="AN214" s="16"/>
      <c r="AO214" s="13"/>
      <c r="AP214" s="13"/>
      <c r="AQ214" s="13"/>
      <c r="AR214" s="1405"/>
      <c r="AS214" s="67"/>
      <c r="AT214" s="995"/>
      <c r="AU214" s="12"/>
      <c r="AV214" s="12"/>
      <c r="AW214" s="12"/>
      <c r="AX214" s="12"/>
      <c r="AY214" s="12"/>
      <c r="AZ214" s="12"/>
      <c r="BA214" s="12"/>
      <c r="BB214" s="12"/>
      <c r="BC214" s="12"/>
      <c r="BD214" s="12"/>
      <c r="BE214" s="12"/>
      <c r="BF214" s="12"/>
      <c r="BG214" s="12"/>
      <c r="BH214" s="12"/>
      <c r="BI214" s="13"/>
    </row>
    <row r="215" spans="1:61" hidden="1">
      <c r="A215" s="212" t="s">
        <v>493</v>
      </c>
      <c r="B215" s="943"/>
      <c r="C215" s="943"/>
      <c r="D215" s="943"/>
      <c r="E215" s="14"/>
      <c r="F215" s="22" t="s">
        <v>302</v>
      </c>
      <c r="G215" s="214" t="str">
        <f t="shared" si="104"/>
        <v/>
      </c>
      <c r="H215" s="214" t="str">
        <f t="shared" si="104"/>
        <v/>
      </c>
      <c r="I215" s="214"/>
      <c r="J215" s="214" t="str">
        <f t="shared" si="104"/>
        <v/>
      </c>
      <c r="K215" s="214" t="str">
        <f t="shared" si="104"/>
        <v/>
      </c>
      <c r="L215" s="214"/>
      <c r="M215" s="214" t="str">
        <f t="shared" si="104"/>
        <v/>
      </c>
      <c r="N215" s="142" t="str">
        <f t="shared" si="104"/>
        <v/>
      </c>
      <c r="O215" s="44"/>
      <c r="P215" s="1493">
        <f t="shared" si="102"/>
        <v>0</v>
      </c>
      <c r="Q215" s="214">
        <f t="shared" si="102"/>
        <v>0</v>
      </c>
      <c r="R215" s="230"/>
      <c r="S215" s="214">
        <f t="shared" si="103"/>
        <v>0</v>
      </c>
      <c r="T215" s="214">
        <f t="shared" si="103"/>
        <v>0</v>
      </c>
      <c r="U215" s="230"/>
      <c r="V215" s="214"/>
      <c r="W215" s="1494">
        <f t="shared" si="105"/>
        <v>0</v>
      </c>
      <c r="Y215" s="12"/>
      <c r="Z215" s="453"/>
      <c r="AA215" s="453"/>
      <c r="AB215" s="67"/>
      <c r="AC215" s="995"/>
      <c r="AD215" s="1429"/>
      <c r="AE215" s="1418"/>
      <c r="AF215" s="1418"/>
      <c r="AG215" s="1418"/>
      <c r="AH215" s="1418"/>
      <c r="AI215" s="1418"/>
      <c r="AJ215" s="1388"/>
      <c r="AK215" s="1408"/>
      <c r="AL215" s="1416"/>
      <c r="AM215" s="1416"/>
      <c r="AN215" s="16"/>
      <c r="AO215" s="13"/>
      <c r="AP215" s="13"/>
      <c r="AQ215" s="13"/>
      <c r="AR215" s="1405"/>
      <c r="AS215" s="67"/>
      <c r="AT215" s="995"/>
      <c r="AU215" s="12"/>
      <c r="AV215" s="12"/>
      <c r="AW215" s="12"/>
      <c r="AX215" s="12"/>
      <c r="AY215" s="12"/>
      <c r="AZ215" s="12"/>
      <c r="BA215" s="12"/>
      <c r="BB215" s="12"/>
      <c r="BC215" s="12"/>
      <c r="BD215" s="12"/>
      <c r="BE215" s="12"/>
      <c r="BF215" s="12"/>
      <c r="BG215" s="12"/>
      <c r="BH215" s="12"/>
      <c r="BI215" s="13"/>
    </row>
    <row r="216" spans="1:61" hidden="1">
      <c r="A216" s="212" t="s">
        <v>493</v>
      </c>
      <c r="B216" s="943"/>
      <c r="C216" s="943"/>
      <c r="D216" s="943"/>
      <c r="E216" s="14"/>
      <c r="F216" s="22" t="s">
        <v>423</v>
      </c>
      <c r="G216" s="214" t="str">
        <f t="shared" si="104"/>
        <v/>
      </c>
      <c r="H216" s="214" t="str">
        <f t="shared" si="104"/>
        <v/>
      </c>
      <c r="I216" s="214"/>
      <c r="J216" s="214" t="str">
        <f t="shared" si="104"/>
        <v/>
      </c>
      <c r="K216" s="214" t="str">
        <f t="shared" si="104"/>
        <v/>
      </c>
      <c r="L216" s="214"/>
      <c r="M216" s="214" t="str">
        <f t="shared" si="104"/>
        <v/>
      </c>
      <c r="N216" s="142" t="str">
        <f t="shared" si="104"/>
        <v/>
      </c>
      <c r="O216" s="44"/>
      <c r="P216" s="1493">
        <f t="shared" si="102"/>
        <v>0</v>
      </c>
      <c r="Q216" s="214">
        <f t="shared" si="102"/>
        <v>0</v>
      </c>
      <c r="R216" s="230"/>
      <c r="S216" s="214">
        <f t="shared" si="103"/>
        <v>0</v>
      </c>
      <c r="T216" s="214">
        <f t="shared" si="103"/>
        <v>0</v>
      </c>
      <c r="U216" s="230"/>
      <c r="V216" s="214"/>
      <c r="W216" s="1494">
        <f t="shared" si="105"/>
        <v>0</v>
      </c>
      <c r="Y216" s="12"/>
      <c r="Z216" s="453"/>
      <c r="AA216" s="453"/>
      <c r="AB216" s="67"/>
      <c r="AC216" s="995"/>
      <c r="AD216" s="891"/>
      <c r="AE216" s="1383" t="s">
        <v>538</v>
      </c>
      <c r="AF216" s="1444"/>
      <c r="AG216" s="1445">
        <f>N404</f>
        <v>3.3306690738754696E-16</v>
      </c>
      <c r="AH216" s="1412" t="s">
        <v>440</v>
      </c>
      <c r="AI216" s="1412"/>
      <c r="AJ216" s="1388"/>
      <c r="AK216" s="1408"/>
      <c r="AL216" s="1416"/>
      <c r="AM216" s="1416"/>
      <c r="AN216" s="16"/>
      <c r="AO216" s="13"/>
      <c r="AP216" s="13"/>
      <c r="AQ216" s="13"/>
      <c r="AR216" s="1405"/>
      <c r="AS216" s="67"/>
      <c r="AT216" s="995"/>
      <c r="AU216" s="12"/>
      <c r="AV216" s="12"/>
      <c r="AW216" s="12"/>
      <c r="AX216" s="12"/>
      <c r="AY216" s="12"/>
      <c r="AZ216" s="12"/>
      <c r="BA216" s="12"/>
      <c r="BB216" s="12"/>
      <c r="BC216" s="12"/>
      <c r="BD216" s="12"/>
      <c r="BE216" s="12"/>
      <c r="BF216" s="12"/>
      <c r="BG216" s="12"/>
      <c r="BH216" s="12"/>
      <c r="BI216" s="13"/>
    </row>
    <row r="217" spans="1:61" hidden="1">
      <c r="A217" s="212" t="s">
        <v>493</v>
      </c>
      <c r="B217" s="943"/>
      <c r="C217" s="943"/>
      <c r="D217" s="943"/>
      <c r="E217" s="14"/>
      <c r="F217" s="22" t="s">
        <v>307</v>
      </c>
      <c r="G217" s="214" t="str">
        <f t="shared" si="104"/>
        <v/>
      </c>
      <c r="H217" s="214" t="str">
        <f t="shared" si="104"/>
        <v/>
      </c>
      <c r="I217" s="214"/>
      <c r="J217" s="214" t="str">
        <f t="shared" si="104"/>
        <v/>
      </c>
      <c r="K217" s="214" t="str">
        <f t="shared" si="104"/>
        <v/>
      </c>
      <c r="L217" s="214"/>
      <c r="M217" s="214" t="str">
        <f t="shared" si="104"/>
        <v/>
      </c>
      <c r="N217" s="142" t="str">
        <f t="shared" si="104"/>
        <v/>
      </c>
      <c r="O217" s="44"/>
      <c r="P217" s="1493">
        <f t="shared" si="102"/>
        <v>0</v>
      </c>
      <c r="Q217" s="214">
        <f t="shared" si="102"/>
        <v>0</v>
      </c>
      <c r="R217" s="230"/>
      <c r="S217" s="214">
        <f t="shared" si="103"/>
        <v>0</v>
      </c>
      <c r="T217" s="214">
        <f t="shared" si="103"/>
        <v>0</v>
      </c>
      <c r="U217" s="230"/>
      <c r="V217" s="214"/>
      <c r="W217" s="1494">
        <f t="shared" si="105"/>
        <v>0</v>
      </c>
      <c r="Y217" s="12"/>
      <c r="Z217" s="453"/>
      <c r="AA217" s="453"/>
      <c r="AB217" s="67"/>
      <c r="AC217" s="995"/>
      <c r="AD217" s="891"/>
      <c r="AE217" s="1383" t="s">
        <v>431</v>
      </c>
      <c r="AF217" s="1444"/>
      <c r="AG217" s="1445">
        <f>J272</f>
        <v>0</v>
      </c>
      <c r="AH217" s="1412" t="s">
        <v>440</v>
      </c>
      <c r="AI217" s="1412"/>
      <c r="AJ217" s="1388"/>
      <c r="AK217" s="1408"/>
      <c r="AL217" s="1416"/>
      <c r="AM217" s="1416"/>
      <c r="AN217" s="16"/>
      <c r="AO217" s="13"/>
      <c r="AP217" s="13"/>
      <c r="AQ217" s="13"/>
      <c r="AR217" s="1405"/>
      <c r="AS217" s="67"/>
      <c r="AT217" s="995"/>
      <c r="AU217" s="12"/>
      <c r="AV217" s="12"/>
      <c r="AW217" s="12"/>
      <c r="AX217" s="12"/>
      <c r="AY217" s="12"/>
      <c r="AZ217" s="12"/>
      <c r="BA217" s="12"/>
      <c r="BB217" s="12"/>
      <c r="BC217" s="12"/>
      <c r="BD217" s="12"/>
      <c r="BE217" s="12"/>
      <c r="BF217" s="12"/>
      <c r="BG217" s="12"/>
      <c r="BH217" s="12"/>
      <c r="BI217" s="13"/>
    </row>
    <row r="218" spans="1:61" hidden="1">
      <c r="A218" s="212" t="s">
        <v>493</v>
      </c>
      <c r="B218" s="943"/>
      <c r="C218" s="943"/>
      <c r="D218" s="943"/>
      <c r="E218" s="14"/>
      <c r="F218" s="22" t="s">
        <v>306</v>
      </c>
      <c r="G218" s="214" t="str">
        <f t="shared" si="104"/>
        <v/>
      </c>
      <c r="H218" s="214" t="str">
        <f t="shared" si="104"/>
        <v/>
      </c>
      <c r="I218" s="214"/>
      <c r="J218" s="214" t="str">
        <f t="shared" si="104"/>
        <v/>
      </c>
      <c r="K218" s="214" t="str">
        <f t="shared" si="104"/>
        <v/>
      </c>
      <c r="L218" s="214"/>
      <c r="M218" s="214" t="str">
        <f t="shared" si="104"/>
        <v/>
      </c>
      <c r="N218" s="142" t="str">
        <f t="shared" si="104"/>
        <v/>
      </c>
      <c r="O218" s="44"/>
      <c r="P218" s="1493">
        <f t="shared" si="102"/>
        <v>0</v>
      </c>
      <c r="Q218" s="214">
        <f t="shared" si="102"/>
        <v>0</v>
      </c>
      <c r="R218" s="230"/>
      <c r="S218" s="214">
        <f t="shared" si="103"/>
        <v>0</v>
      </c>
      <c r="T218" s="214">
        <f t="shared" si="103"/>
        <v>0</v>
      </c>
      <c r="U218" s="230"/>
      <c r="V218" s="214"/>
      <c r="W218" s="1494">
        <f t="shared" si="105"/>
        <v>0</v>
      </c>
      <c r="Y218" s="12"/>
      <c r="Z218" s="453"/>
      <c r="AA218" s="453"/>
      <c r="AB218" s="67"/>
      <c r="AC218" s="995"/>
      <c r="AD218" s="891" t="s">
        <v>396</v>
      </c>
      <c r="AE218" s="1383" t="s">
        <v>456</v>
      </c>
      <c r="AF218" s="1444"/>
      <c r="AG218" s="1445">
        <f>IFERROR(K404,"")</f>
        <v>3.3306690738754696E-16</v>
      </c>
      <c r="AH218" s="1412" t="s">
        <v>440</v>
      </c>
      <c r="AI218" s="1412"/>
      <c r="AJ218" s="1388"/>
      <c r="AK218" s="1408"/>
      <c r="AL218" s="1416"/>
      <c r="AM218" s="1416"/>
      <c r="AN218" s="16"/>
      <c r="AO218" s="13"/>
      <c r="AP218" s="13"/>
      <c r="AQ218" s="13"/>
      <c r="AR218" s="1405"/>
      <c r="AS218" s="67"/>
      <c r="AT218" s="995"/>
      <c r="AU218" s="12"/>
      <c r="AV218" s="12"/>
      <c r="AW218" s="12"/>
      <c r="AX218" s="12"/>
      <c r="AY218" s="12"/>
      <c r="AZ218" s="12"/>
      <c r="BA218" s="12"/>
      <c r="BB218" s="12"/>
      <c r="BC218" s="12"/>
      <c r="BD218" s="12"/>
      <c r="BE218" s="12"/>
      <c r="BF218" s="12"/>
      <c r="BG218" s="12"/>
      <c r="BH218" s="12"/>
      <c r="BI218" s="13"/>
    </row>
    <row r="219" spans="1:61" hidden="1">
      <c r="A219" s="212" t="s">
        <v>493</v>
      </c>
      <c r="B219" s="943"/>
      <c r="C219" s="943"/>
      <c r="D219" s="943"/>
      <c r="E219" s="14"/>
      <c r="F219" s="22" t="s">
        <v>424</v>
      </c>
      <c r="G219" s="214" t="str">
        <f t="shared" si="104"/>
        <v/>
      </c>
      <c r="H219" s="214" t="str">
        <f t="shared" si="104"/>
        <v/>
      </c>
      <c r="I219" s="214"/>
      <c r="J219" s="214" t="str">
        <f t="shared" si="104"/>
        <v/>
      </c>
      <c r="K219" s="214" t="str">
        <f t="shared" si="104"/>
        <v/>
      </c>
      <c r="L219" s="214"/>
      <c r="M219" s="214" t="str">
        <f t="shared" si="104"/>
        <v/>
      </c>
      <c r="N219" s="142" t="str">
        <f t="shared" si="104"/>
        <v/>
      </c>
      <c r="O219" s="44"/>
      <c r="P219" s="1493">
        <f t="shared" si="102"/>
        <v>0</v>
      </c>
      <c r="Q219" s="214">
        <f t="shared" si="102"/>
        <v>0</v>
      </c>
      <c r="R219" s="230"/>
      <c r="S219" s="214">
        <f t="shared" si="103"/>
        <v>0</v>
      </c>
      <c r="T219" s="214">
        <f t="shared" si="103"/>
        <v>0</v>
      </c>
      <c r="U219" s="230"/>
      <c r="V219" s="214"/>
      <c r="W219" s="1494">
        <f t="shared" si="105"/>
        <v>0</v>
      </c>
      <c r="Y219" s="12"/>
      <c r="Z219" s="453"/>
      <c r="AA219" s="453"/>
      <c r="AB219" s="67"/>
      <c r="AC219" s="995"/>
      <c r="AD219" s="1429"/>
      <c r="AE219" s="1418"/>
      <c r="AF219" s="1418"/>
      <c r="AG219" s="1418"/>
      <c r="AH219" s="1418"/>
      <c r="AI219" s="1418"/>
      <c r="AJ219" s="1388"/>
      <c r="AK219" s="1408"/>
      <c r="AL219" s="1416"/>
      <c r="AM219" s="1416"/>
      <c r="AN219" s="16"/>
      <c r="AO219" s="13"/>
      <c r="AP219" s="13"/>
      <c r="AQ219" s="13"/>
      <c r="AR219" s="1405"/>
      <c r="AS219" s="67"/>
      <c r="AT219" s="995"/>
      <c r="AU219" s="12"/>
      <c r="AV219" s="12"/>
      <c r="AW219" s="12"/>
      <c r="AX219" s="12"/>
      <c r="AY219" s="12"/>
      <c r="AZ219" s="12"/>
      <c r="BA219" s="12"/>
      <c r="BB219" s="12"/>
      <c r="BC219" s="12"/>
      <c r="BD219" s="12"/>
      <c r="BE219" s="12"/>
      <c r="BF219" s="12"/>
      <c r="BG219" s="12"/>
      <c r="BH219" s="12"/>
      <c r="BI219" s="13"/>
    </row>
    <row r="220" spans="1:61" ht="18" hidden="1" thickBot="1">
      <c r="A220" s="212" t="s">
        <v>493</v>
      </c>
      <c r="B220" s="943"/>
      <c r="C220" s="943"/>
      <c r="D220" s="943"/>
      <c r="E220" s="14"/>
      <c r="F220" s="22" t="s">
        <v>425</v>
      </c>
      <c r="G220" s="214" t="str">
        <f t="shared" si="104"/>
        <v/>
      </c>
      <c r="H220" s="214" t="str">
        <f t="shared" si="104"/>
        <v/>
      </c>
      <c r="I220" s="214"/>
      <c r="J220" s="214" t="str">
        <f t="shared" si="104"/>
        <v/>
      </c>
      <c r="K220" s="214" t="str">
        <f t="shared" si="104"/>
        <v/>
      </c>
      <c r="L220" s="214"/>
      <c r="M220" s="214" t="str">
        <f t="shared" si="104"/>
        <v/>
      </c>
      <c r="N220" s="142" t="str">
        <f t="shared" si="104"/>
        <v/>
      </c>
      <c r="O220" s="44"/>
      <c r="P220" s="1495">
        <f t="shared" si="102"/>
        <v>0</v>
      </c>
      <c r="Q220" s="1496">
        <f t="shared" si="102"/>
        <v>0</v>
      </c>
      <c r="R220" s="1497"/>
      <c r="S220" s="1496">
        <f t="shared" si="103"/>
        <v>0</v>
      </c>
      <c r="T220" s="1496">
        <f t="shared" si="103"/>
        <v>0</v>
      </c>
      <c r="U220" s="1497"/>
      <c r="V220" s="1496"/>
      <c r="W220" s="1498">
        <f t="shared" si="105"/>
        <v>0</v>
      </c>
      <c r="Y220" s="12"/>
      <c r="Z220" s="453"/>
      <c r="AA220" s="453"/>
      <c r="AB220" s="67"/>
      <c r="AC220" s="995"/>
      <c r="AD220" s="891" t="s">
        <v>396</v>
      </c>
      <c r="AE220" s="1383" t="s">
        <v>1451</v>
      </c>
      <c r="AF220" s="1444"/>
      <c r="AG220" s="1446">
        <f>F404</f>
        <v>9.9532093528295782</v>
      </c>
      <c r="AH220" s="1387" t="s">
        <v>132</v>
      </c>
      <c r="AI220" s="1412"/>
      <c r="AJ220" s="1388"/>
      <c r="AK220" s="1408"/>
      <c r="AL220" s="1416"/>
      <c r="AM220" s="1416"/>
      <c r="AN220" s="16"/>
      <c r="AO220" s="13"/>
      <c r="AP220" s="13"/>
      <c r="AQ220" s="13"/>
      <c r="AR220" s="1405"/>
      <c r="AS220" s="67"/>
      <c r="AT220" s="995"/>
      <c r="AU220" s="12"/>
      <c r="AV220" s="12"/>
      <c r="AW220" s="12"/>
      <c r="AX220" s="12"/>
      <c r="AY220" s="12"/>
      <c r="AZ220" s="12"/>
      <c r="BA220" s="12"/>
      <c r="BB220" s="12"/>
      <c r="BC220" s="12"/>
      <c r="BD220" s="12"/>
      <c r="BE220" s="12"/>
      <c r="BF220" s="12"/>
      <c r="BG220" s="12"/>
      <c r="BH220" s="12"/>
      <c r="BI220" s="13"/>
    </row>
    <row r="221" spans="1:61" ht="18.5" hidden="1" thickTop="1" thickBot="1">
      <c r="A221" s="212" t="s">
        <v>493</v>
      </c>
      <c r="B221" s="943"/>
      <c r="C221" s="943"/>
      <c r="D221" s="943"/>
      <c r="E221" s="14"/>
      <c r="F221" s="43"/>
      <c r="G221" s="55"/>
      <c r="H221" s="55"/>
      <c r="I221" s="53"/>
      <c r="J221" s="55"/>
      <c r="K221" s="56"/>
      <c r="L221" s="148"/>
      <c r="M221" s="54"/>
      <c r="N221" s="16"/>
      <c r="O221" s="44"/>
      <c r="P221" s="1499"/>
      <c r="Q221" s="1500"/>
      <c r="R221" s="1500"/>
      <c r="S221" s="1500"/>
      <c r="T221" s="1500"/>
      <c r="U221" s="1500"/>
      <c r="V221" s="1501"/>
      <c r="W221" s="1502"/>
      <c r="X221" s="39"/>
      <c r="Y221" s="12"/>
      <c r="Z221" s="453"/>
      <c r="AA221" s="453"/>
      <c r="AB221" s="67"/>
      <c r="AC221" s="995"/>
      <c r="AD221" s="1435"/>
      <c r="AE221" s="1416"/>
      <c r="AF221" s="1419"/>
      <c r="AG221" s="1419"/>
      <c r="AH221" s="1419"/>
      <c r="AI221" s="1418"/>
      <c r="AJ221" s="1418"/>
      <c r="AK221" s="1417"/>
      <c r="AL221" s="1416"/>
      <c r="AM221" s="1416"/>
      <c r="AN221" s="16"/>
      <c r="AO221" s="13"/>
      <c r="AP221" s="13"/>
      <c r="AQ221" s="13"/>
      <c r="AR221" s="1405"/>
      <c r="AS221" s="67"/>
      <c r="AT221" s="995"/>
      <c r="AU221" s="12"/>
      <c r="AV221" s="12"/>
      <c r="AW221" s="12"/>
      <c r="AX221" s="12"/>
      <c r="AY221" s="12"/>
      <c r="AZ221" s="12"/>
      <c r="BA221" s="12"/>
      <c r="BB221" s="12"/>
      <c r="BC221" s="12"/>
      <c r="BD221" s="12"/>
      <c r="BE221" s="12"/>
      <c r="BF221" s="12"/>
      <c r="BG221" s="12"/>
      <c r="BH221" s="12"/>
      <c r="BI221" s="13"/>
    </row>
    <row r="222" spans="1:61">
      <c r="A222" s="212"/>
      <c r="B222" s="943"/>
      <c r="C222" s="943"/>
      <c r="D222" s="943"/>
      <c r="E222" s="14"/>
      <c r="F222" s="43" t="s">
        <v>517</v>
      </c>
      <c r="G222" s="17"/>
      <c r="H222" s="17"/>
      <c r="I222" s="1"/>
      <c r="J222" s="12"/>
      <c r="K222" s="36"/>
      <c r="L222" s="148"/>
      <c r="M222" s="54"/>
      <c r="N222" s="16"/>
      <c r="O222" s="44"/>
      <c r="P222" s="899"/>
      <c r="Q222" s="899"/>
      <c r="R222" s="899"/>
      <c r="S222" s="899"/>
      <c r="T222" s="899"/>
      <c r="U222" s="899"/>
      <c r="V222" s="39"/>
      <c r="W222" s="39"/>
      <c r="X222" s="39"/>
      <c r="Y222" s="12"/>
      <c r="Z222" s="453"/>
      <c r="AA222" s="453"/>
      <c r="AB222" s="67"/>
      <c r="AC222" s="995"/>
      <c r="AD222" s="1432"/>
      <c r="AE222" s="1692" t="str">
        <f>_xlfn.CONCAT("Informatief: Klimaatmonitor en DPG in ",$P$24," ",$P$25)</f>
        <v>Informatief: Klimaatmonitor en DPG in GPR 4.4 nieuwbouw</v>
      </c>
      <c r="AF222" s="1452"/>
      <c r="AG222" s="1694" t="str">
        <f>_xlfn.CONCAT("Grenswaarde GPR bij doelmethode ",P27)</f>
        <v>Grenswaarde GPR bij doelmethode NTA 8800</v>
      </c>
      <c r="AH222" s="1695"/>
      <c r="AI222" s="1453"/>
      <c r="AJ222" s="1694" t="str">
        <f>_xlfn.CONCAT("Broeikasgas-emissie tgv")</f>
        <v>Broeikasgas-emissie tgv</v>
      </c>
      <c r="AK222" s="1695"/>
      <c r="AL222" s="1695"/>
      <c r="AM222" s="1453"/>
      <c r="AN222" s="1694" t="s">
        <v>1711</v>
      </c>
      <c r="AO222" s="1695"/>
      <c r="AP222" s="1695"/>
      <c r="AQ222" s="13"/>
      <c r="AR222" s="1405"/>
      <c r="AS222" s="67"/>
      <c r="AT222" s="995"/>
      <c r="AU222" s="12"/>
      <c r="AV222" s="12"/>
      <c r="AW222" s="12"/>
      <c r="AX222" s="12"/>
      <c r="AY222" s="12"/>
      <c r="AZ222" s="12"/>
      <c r="BA222" s="12"/>
      <c r="BB222" s="12"/>
      <c r="BC222" s="12"/>
      <c r="BD222" s="12"/>
      <c r="BE222" s="12"/>
      <c r="BF222" s="12"/>
      <c r="BG222" s="12"/>
      <c r="BH222" s="12"/>
      <c r="BI222" s="13"/>
    </row>
    <row r="223" spans="1:61" s="211" customFormat="1">
      <c r="A223" s="212"/>
      <c r="B223" s="1092"/>
      <c r="C223" s="1092"/>
      <c r="D223" s="1092"/>
      <c r="E223" s="210"/>
      <c r="F223" s="911"/>
      <c r="G223" s="911"/>
      <c r="H223" s="911"/>
      <c r="I223" s="911"/>
      <c r="J223" s="911"/>
      <c r="K223" s="911"/>
      <c r="L223" s="911"/>
      <c r="M223" s="911"/>
      <c r="N223" s="918"/>
      <c r="O223" s="44"/>
      <c r="P223" s="899"/>
      <c r="Q223" s="899"/>
      <c r="R223" s="899"/>
      <c r="S223" s="899"/>
      <c r="T223" s="899"/>
      <c r="U223" s="899"/>
      <c r="V223" s="39"/>
      <c r="W223" s="39"/>
      <c r="X223" s="39"/>
      <c r="Y223" s="12"/>
      <c r="Z223" s="453"/>
      <c r="AA223" s="453"/>
      <c r="AB223" s="1394"/>
      <c r="AC223" s="1002"/>
      <c r="AD223" s="1436"/>
      <c r="AE223" s="1693"/>
      <c r="AF223" s="1453"/>
      <c r="AG223" s="1695"/>
      <c r="AH223" s="1695"/>
      <c r="AI223" s="1454"/>
      <c r="AJ223" s="1695"/>
      <c r="AK223" s="1695"/>
      <c r="AL223" s="1695"/>
      <c r="AM223" s="1454"/>
      <c r="AN223" s="1695"/>
      <c r="AO223" s="1695"/>
      <c r="AP223" s="1695"/>
      <c r="AQ223" s="1409"/>
      <c r="AR223" s="1409"/>
      <c r="AS223" s="1394"/>
      <c r="AT223" s="1002"/>
      <c r="AU223" s="12"/>
      <c r="AV223" s="12"/>
      <c r="AW223" s="12"/>
      <c r="AX223" s="12"/>
      <c r="AY223" s="12"/>
      <c r="AZ223" s="12"/>
      <c r="BA223" s="12"/>
      <c r="BB223" s="12"/>
      <c r="BC223" s="12"/>
      <c r="BD223" s="12"/>
      <c r="BE223" s="12"/>
      <c r="BF223" s="12"/>
      <c r="BG223" s="12"/>
      <c r="BH223" s="12"/>
      <c r="BI223" s="13"/>
    </row>
    <row r="224" spans="1:61" ht="30.75" customHeight="1">
      <c r="B224" s="943"/>
      <c r="C224" s="943"/>
      <c r="D224" s="943"/>
      <c r="E224" s="14"/>
      <c r="F224" s="911"/>
      <c r="G224" s="911" t="str">
        <f>INDEX(tabellen_EMD!$C$269:$X$274,MATCH(G$226,tabellen_EMD!$C$269:$C$274,0),MATCH(EP_versie_scope_functie_methode,tabellen_EMD!$C$269:$X$269,0))</f>
        <v>aardgas</v>
      </c>
      <c r="H224" s="911" t="str">
        <f>INDEX(tabellen_EMD!$C$269:$X$274,MATCH(H$226,tabellen_EMD!$C$269:$C$274,0),MATCH(EP_versie_scope_functie_methode,tabellen_EMD!$C$269:$X$269,0))</f>
        <v>elektriciteit: gebruik gebouwgebonden installaties</v>
      </c>
      <c r="I224" s="911"/>
      <c r="J224" s="911" t="str">
        <f>INDEX(tabellen_EMD!$C$269:$X$274,MATCH(J$226,tabellen_EMD!$C$269:$C$274,0),MATCH(EP_versie_scope_functie_methode,tabellen_EMD!$C$269:$X$269,0))</f>
        <v>elektriciteit: opgewekt</v>
      </c>
      <c r="K224" s="911" t="str">
        <f>INDEX(tabellen_EMD!$C$269:$X$274,MATCH(K$226,tabellen_EMD!$C$269:$C$274,0),MATCH(EP_versie_scope_functie_methode,tabellen_EMD!$C$269:$X$269,0))</f>
        <v>externe warmte</v>
      </c>
      <c r="L224" s="911"/>
      <c r="M224" s="911" t="str">
        <f>INDEX(tabellen_EMD!$C$269:$X$274,MATCH(M$226,tabellen_EMD!$C$269:$C$274,0),MATCH(EP_versie_scope_functie_methode,tabellen_EMD!$C$269:$X$269,0))</f>
        <v>hout/biomassa</v>
      </c>
      <c r="N224" s="918" t="s">
        <v>1594</v>
      </c>
      <c r="O224" s="44"/>
      <c r="P224" s="899"/>
      <c r="Q224" s="899"/>
      <c r="R224" s="899"/>
      <c r="S224" s="899"/>
      <c r="T224" s="899"/>
      <c r="U224" s="899"/>
      <c r="V224" s="39"/>
      <c r="W224" s="39"/>
      <c r="X224" s="39"/>
      <c r="Y224" s="12"/>
      <c r="Z224" s="453"/>
      <c r="AA224" s="453"/>
      <c r="AB224" s="67"/>
      <c r="AC224" s="995"/>
      <c r="AD224" s="891"/>
      <c r="AE224" s="891"/>
      <c r="AF224" s="891"/>
      <c r="AG224" s="1420" t="s">
        <v>1635</v>
      </c>
      <c r="AH224" s="1420" t="s">
        <v>1636</v>
      </c>
      <c r="AI224" s="1415"/>
      <c r="AJ224" s="1420" t="str">
        <f>_xlfn.CONCAT("energie
(",$P$27,")")</f>
        <v>energie
(NTA 8800)</v>
      </c>
      <c r="AK224" s="1420" t="s">
        <v>1637</v>
      </c>
      <c r="AL224" s="1420" t="s">
        <v>1391</v>
      </c>
      <c r="AM224" s="1420"/>
      <c r="AN224" s="1420" t="s">
        <v>538</v>
      </c>
      <c r="AO224" s="1420" t="s">
        <v>431</v>
      </c>
      <c r="AP224" s="1420" t="s">
        <v>456</v>
      </c>
      <c r="AQ224" s="1420"/>
      <c r="AR224" s="1420" t="s">
        <v>484</v>
      </c>
      <c r="AS224" s="67"/>
      <c r="AT224" s="995"/>
      <c r="AU224" s="12"/>
      <c r="AV224" s="12"/>
      <c r="AW224" s="12"/>
      <c r="AX224" s="12"/>
      <c r="AY224" s="12"/>
      <c r="AZ224" s="12"/>
      <c r="BA224" s="12"/>
      <c r="BB224" s="12"/>
      <c r="BC224" s="12"/>
      <c r="BD224" s="12"/>
      <c r="BE224" s="12"/>
      <c r="BF224" s="12"/>
      <c r="BG224" s="12"/>
      <c r="BH224" s="12"/>
      <c r="BI224" s="13"/>
    </row>
    <row r="225" spans="1:61" s="211" customFormat="1" ht="32">
      <c r="A225" s="1091"/>
      <c r="B225" s="1092"/>
      <c r="C225" s="1092"/>
      <c r="D225" s="1092"/>
      <c r="E225" s="210"/>
      <c r="F225" s="911" t="s">
        <v>204</v>
      </c>
      <c r="G225" s="911" t="str">
        <f>INDEX(tabellen_EMD!$C$277:$Z$282,MATCH(G$204,tabellen_EMD!$C$285:$C$290,0),MATCH(EP_versie_scope_functie_methode,tabellen_EMD!$C$285:$Z$285,0))</f>
        <v>m3</v>
      </c>
      <c r="H225" s="911" t="str">
        <f>INDEX(tabellen_EMD!$C$277:$Z$282,MATCH(H$204,tabellen_EMD!$C$285:$C$290,0),MATCH(EP_versie_scope_functie_methode,tabellen_EMD!$C$285:$Z$285,0))</f>
        <v>kWh</v>
      </c>
      <c r="I225" s="911"/>
      <c r="J225" s="911" t="str">
        <f>INDEX(tabellen_EMD!$C$277:$Z$282,MATCH(J$204,tabellen_EMD!$C$285:$C$290,0),MATCH(EP_versie_scope_functie_methode,tabellen_EMD!$C$285:$Z$285,0))</f>
        <v>kWh</v>
      </c>
      <c r="K225" s="911" t="str">
        <f>INDEX(tabellen_EMD!$C$277:$Z$282,MATCH(K$204,tabellen_EMD!$C$285:$C$290,0),MATCH(EP_versie_scope_functie_methode,tabellen_EMD!$C$285:$Z$285,0))</f>
        <v>GJ</v>
      </c>
      <c r="L225" s="911"/>
      <c r="M225" s="911" t="str">
        <f>INDEX(tabellen_EMD!$C$277:$Z$282,MATCH(M$204,tabellen_EMD!$C$285:$C$290,0),MATCH(EP_versie_scope_functie_methode,tabellen_EMD!$C$285:$Z$285,0))</f>
        <v>kWh</v>
      </c>
      <c r="N225" s="911" t="s">
        <v>562</v>
      </c>
      <c r="O225" s="44"/>
      <c r="P225" s="899"/>
      <c r="Q225" s="899"/>
      <c r="R225" s="899"/>
      <c r="S225" s="899"/>
      <c r="T225" s="899"/>
      <c r="U225" s="899"/>
      <c r="V225" s="39"/>
      <c r="W225" s="39"/>
      <c r="X225" s="39"/>
      <c r="Y225" s="12"/>
      <c r="Z225" s="453"/>
      <c r="AA225" s="453"/>
      <c r="AB225" s="1394"/>
      <c r="AC225" s="1002"/>
      <c r="AD225" s="1436"/>
      <c r="AE225" s="1436"/>
      <c r="AF225" s="1436"/>
      <c r="AG225" s="1420" t="s">
        <v>440</v>
      </c>
      <c r="AH225" s="1420" t="s">
        <v>440</v>
      </c>
      <c r="AI225" s="1415"/>
      <c r="AJ225" s="1420" t="s">
        <v>1595</v>
      </c>
      <c r="AK225" s="1420" t="s">
        <v>1595</v>
      </c>
      <c r="AL225" s="1420" t="s">
        <v>1595</v>
      </c>
      <c r="AM225" s="1420"/>
      <c r="AN225" s="1420" t="s">
        <v>440</v>
      </c>
      <c r="AO225" s="1420" t="s">
        <v>440</v>
      </c>
      <c r="AP225" s="1420" t="s">
        <v>440</v>
      </c>
      <c r="AQ225" s="1420"/>
      <c r="AR225" s="1420" t="s">
        <v>132</v>
      </c>
      <c r="AS225" s="1394"/>
      <c r="AT225" s="1002"/>
      <c r="AU225" s="12"/>
      <c r="AV225" s="12"/>
      <c r="AW225" s="12"/>
      <c r="AX225" s="12"/>
      <c r="AY225" s="12"/>
      <c r="AZ225" s="12"/>
      <c r="BA225" s="12"/>
      <c r="BB225" s="12"/>
      <c r="BC225" s="12"/>
      <c r="BD225" s="12"/>
      <c r="BE225" s="12"/>
      <c r="BF225" s="12"/>
      <c r="BG225" s="12"/>
      <c r="BH225" s="12"/>
      <c r="BI225" s="13"/>
    </row>
    <row r="226" spans="1:61" ht="32" hidden="1">
      <c r="A226" s="212" t="s">
        <v>493</v>
      </c>
      <c r="B226" s="943"/>
      <c r="C226" s="943"/>
      <c r="D226" s="943"/>
      <c r="E226" s="14"/>
      <c r="F226" s="911" t="s">
        <v>458</v>
      </c>
      <c r="G226" s="918" t="str">
        <f>tabellen_EMD!$C$302</f>
        <v>aardgas</v>
      </c>
      <c r="H226" s="918" t="str">
        <f>tabellen_EMD!$C$303</f>
        <v>elektriciteit</v>
      </c>
      <c r="I226" s="911"/>
      <c r="J226" s="918" t="str">
        <f>tabellen_EMD!$C$304</f>
        <v>elektriciteit opgewekt</v>
      </c>
      <c r="K226" s="918" t="str">
        <f>tabellen_EMD!$C$305</f>
        <v>externe warmte</v>
      </c>
      <c r="L226" s="911"/>
      <c r="M226" s="918" t="str">
        <f>tabellen_EMD!$C$306</f>
        <v>hout / biomassa</v>
      </c>
      <c r="N226" s="918" t="s">
        <v>1594</v>
      </c>
      <c r="O226" s="44"/>
      <c r="P226" s="899"/>
      <c r="Q226" s="899"/>
      <c r="R226" s="899"/>
      <c r="S226" s="899"/>
      <c r="T226" s="899"/>
      <c r="U226" s="899"/>
      <c r="V226" s="39"/>
      <c r="W226" s="39"/>
      <c r="X226" s="39"/>
      <c r="Y226" s="12"/>
      <c r="Z226" s="453"/>
      <c r="AA226" s="453"/>
      <c r="AB226" s="67"/>
      <c r="AC226" s="995"/>
      <c r="AD226" s="1432"/>
      <c r="AE226" s="1432"/>
      <c r="AF226" s="1432"/>
      <c r="AG226" s="1432"/>
      <c r="AH226" s="1432"/>
      <c r="AI226" s="1432"/>
      <c r="AJ226" s="1432"/>
      <c r="AK226" s="1432"/>
      <c r="AL226" s="1432"/>
      <c r="AM226" s="1432"/>
      <c r="AN226" s="1432"/>
      <c r="AO226" s="1432"/>
      <c r="AP226" s="1432"/>
      <c r="AQ226" s="1432"/>
      <c r="AR226" s="1432"/>
      <c r="AS226" s="67"/>
      <c r="AT226" s="995"/>
      <c r="AU226" s="12"/>
      <c r="AV226" s="12"/>
      <c r="AW226" s="12"/>
      <c r="AX226" s="12"/>
      <c r="AY226" s="12"/>
      <c r="AZ226" s="12"/>
      <c r="BA226" s="12"/>
      <c r="BB226" s="12"/>
      <c r="BC226" s="12"/>
      <c r="BD226" s="12"/>
      <c r="BE226" s="12"/>
      <c r="BF226" s="12"/>
      <c r="BG226" s="12"/>
      <c r="BH226" s="12"/>
      <c r="BI226" s="13"/>
    </row>
    <row r="227" spans="1:61" s="211" customFormat="1" hidden="1">
      <c r="A227" s="212" t="s">
        <v>493</v>
      </c>
      <c r="B227" s="1092"/>
      <c r="C227" s="1092"/>
      <c r="D227" s="1092"/>
      <c r="E227" s="210"/>
      <c r="F227" s="22" t="s">
        <v>553</v>
      </c>
      <c r="G227" s="186">
        <f>INDEX(tabellen_EMD!$C$301:$R$306,MATCH(G$226,tabellen_EMD!$C$301:$C$306,0),MATCH($P$24,tabellen_EMD!$C$301:$R$301,0))</f>
        <v>0.12266000000000001</v>
      </c>
      <c r="H227" s="186">
        <f>INDEX(tabellen_EMD!$C$301:$R$306,MATCH(H$226,tabellen_EMD!$C$301:$C$306,0),MATCH($P$24,tabellen_EMD!$C$301:$R$301,0))</f>
        <v>3.6199000000000002E-2</v>
      </c>
      <c r="I227" s="911"/>
      <c r="J227" s="186">
        <f>INDEX(tabellen_EMD!$C$301:$R$306,MATCH(J$226,tabellen_EMD!$C$301:$C$306,0),MATCH($P$24,tabellen_EMD!$C$301:$R$301,0))</f>
        <v>-3.6199000000000002E-2</v>
      </c>
      <c r="K227" s="186">
        <f>INDEX(tabellen_EMD!$C$301:$R$306,MATCH(K$226,tabellen_EMD!$C$301:$C$306,0),MATCH($P$24,tabellen_EMD!$C$301:$R$301,0))</f>
        <v>5.2314472561842482</v>
      </c>
      <c r="L227" s="911"/>
      <c r="M227" s="186">
        <f>INDEX(tabellen_EMD!$C$301:$R$306,MATCH(M$226,tabellen_EMD!$C$301:$C$306,0),MATCH($P$24,tabellen_EMD!$C$301:$R$301,0))</f>
        <v>7.2647999999999992E-3</v>
      </c>
      <c r="N227" s="911"/>
      <c r="O227" s="44"/>
      <c r="P227" s="899"/>
      <c r="Q227" s="899"/>
      <c r="R227" s="899"/>
      <c r="S227" s="899"/>
      <c r="T227" s="899"/>
      <c r="U227" s="899"/>
      <c r="V227" s="39"/>
      <c r="W227" s="39"/>
      <c r="X227" s="39"/>
      <c r="Y227" s="12"/>
      <c r="Z227" s="453"/>
      <c r="AA227" s="453"/>
      <c r="AB227" s="1394"/>
      <c r="AC227" s="1002"/>
      <c r="AD227" s="1436"/>
      <c r="AE227" s="1436"/>
      <c r="AF227" s="1436"/>
      <c r="AG227" s="1436"/>
      <c r="AH227" s="1436"/>
      <c r="AI227" s="1436"/>
      <c r="AJ227" s="1436"/>
      <c r="AK227" s="1436"/>
      <c r="AL227" s="1436"/>
      <c r="AM227" s="1436"/>
      <c r="AN227" s="1436"/>
      <c r="AO227" s="1436"/>
      <c r="AP227" s="1436"/>
      <c r="AQ227" s="1436"/>
      <c r="AR227" s="1436"/>
      <c r="AS227" s="1394"/>
      <c r="AT227" s="1002"/>
      <c r="AU227" s="12"/>
      <c r="AV227" s="12"/>
      <c r="AW227" s="12"/>
      <c r="AX227" s="12"/>
      <c r="AY227" s="12"/>
      <c r="AZ227" s="12"/>
      <c r="BA227" s="12"/>
      <c r="BB227" s="12"/>
      <c r="BC227" s="12"/>
      <c r="BD227" s="12"/>
      <c r="BE227" s="12"/>
      <c r="BF227" s="12"/>
      <c r="BG227" s="12"/>
      <c r="BH227" s="12"/>
      <c r="BI227" s="13"/>
    </row>
    <row r="228" spans="1:61" s="211" customFormat="1" hidden="1">
      <c r="A228" s="212" t="s">
        <v>493</v>
      </c>
      <c r="B228" s="1092"/>
      <c r="C228" s="1092"/>
      <c r="D228" s="1092"/>
      <c r="E228" s="210"/>
      <c r="F228" s="22" t="s">
        <v>204</v>
      </c>
      <c r="G228" s="186" t="str">
        <f>INDEX(tabellen_EMD!$C$301:$R$306,MATCH(G$226,tabellen_EMD!$C$301:$C$306,0),MATCH($P$24&amp;" | eenheid",tabellen_EMD!$C$301:$R$301,0))</f>
        <v>euro/m3</v>
      </c>
      <c r="H228" s="186" t="str">
        <f>INDEX(tabellen_EMD!$C$301:$R$306,MATCH(H$226,tabellen_EMD!$C$301:$C$306,0),MATCH($P$24&amp;" | eenheid",tabellen_EMD!$C$301:$R$301,0))</f>
        <v>euro/kWh</v>
      </c>
      <c r="I228" s="911"/>
      <c r="J228" s="186" t="str">
        <f>INDEX(tabellen_EMD!$C$301:$R$306,MATCH(J$226,tabellen_EMD!$C$301:$C$306,0),MATCH($P$24&amp;" | eenheid",tabellen_EMD!$C$301:$R$301,0))</f>
        <v>euro/kWh</v>
      </c>
      <c r="K228" s="186" t="str">
        <f>INDEX(tabellen_EMD!$C$301:$R$306,MATCH(K$226,tabellen_EMD!$C$301:$C$306,0),MATCH($P$24&amp;" | eenheid",tabellen_EMD!$C$301:$R$301,0))</f>
        <v>euro/GJ</v>
      </c>
      <c r="L228" s="911"/>
      <c r="M228" s="186" t="str">
        <f>INDEX(tabellen_EMD!$C$301:$R$306,MATCH(M$226,tabellen_EMD!$C$301:$C$306,0),MATCH($P$24&amp;" | eenheid",tabellen_EMD!$C$301:$R$301,0))</f>
        <v>euro/kg</v>
      </c>
      <c r="N228" s="911"/>
      <c r="O228" s="44"/>
      <c r="P228" s="899"/>
      <c r="Q228" s="899"/>
      <c r="R228" s="899"/>
      <c r="S228" s="899"/>
      <c r="T228" s="899"/>
      <c r="U228" s="899"/>
      <c r="V228" s="39"/>
      <c r="W228" s="39"/>
      <c r="X228" s="39"/>
      <c r="Y228" s="12"/>
      <c r="Z228" s="453"/>
      <c r="AA228" s="453"/>
      <c r="AB228" s="1394"/>
      <c r="AC228" s="1002"/>
      <c r="AD228" s="1436"/>
      <c r="AE228" s="1436"/>
      <c r="AF228" s="1436"/>
      <c r="AG228" s="1436"/>
      <c r="AH228" s="1436"/>
      <c r="AI228" s="1436"/>
      <c r="AJ228" s="1436"/>
      <c r="AK228" s="1436"/>
      <c r="AL228" s="1436"/>
      <c r="AM228" s="1436"/>
      <c r="AN228" s="1436"/>
      <c r="AO228" s="1436"/>
      <c r="AP228" s="1436"/>
      <c r="AQ228" s="1436"/>
      <c r="AR228" s="1436"/>
      <c r="AS228" s="1394"/>
      <c r="AT228" s="1002"/>
      <c r="AU228" s="12"/>
      <c r="AV228" s="12"/>
      <c r="AW228" s="12"/>
      <c r="AX228" s="12"/>
      <c r="AY228" s="12"/>
      <c r="AZ228" s="12"/>
      <c r="BA228" s="12"/>
      <c r="BB228" s="12"/>
      <c r="BC228" s="12"/>
      <c r="BD228" s="12"/>
      <c r="BE228" s="12"/>
      <c r="BF228" s="12"/>
      <c r="BG228" s="12"/>
      <c r="BH228" s="12"/>
      <c r="BI228" s="13"/>
    </row>
    <row r="229" spans="1:61" s="211" customFormat="1" hidden="1">
      <c r="A229" s="212" t="s">
        <v>493</v>
      </c>
      <c r="B229" s="1092"/>
      <c r="C229" s="1092"/>
      <c r="D229" s="1092"/>
      <c r="E229" s="210"/>
      <c r="F229" s="22" t="s">
        <v>510</v>
      </c>
      <c r="G229" s="186">
        <f>INDEX(tabellen_EMD!$C$301:$R$306,MATCH(G$226,tabellen_EMD!$C$301:$C$306,0),MATCH($P$24&amp;" | GWP E",tabellen_EMD!$C$301:$R$301,0))</f>
        <v>2.1019999999999999</v>
      </c>
      <c r="H229" s="186">
        <f>INDEX(tabellen_EMD!$C$301:$R$306,MATCH(H$226,tabellen_EMD!$C$301:$C$306,0),MATCH($P$24&amp;" | GWP E",tabellen_EMD!$C$301:$R$301,0))</f>
        <v>0.48699999999999999</v>
      </c>
      <c r="I229" s="911"/>
      <c r="J229" s="186">
        <f>INDEX(tabellen_EMD!$C$301:$R$306,MATCH(J$226,tabellen_EMD!$C$301:$C$306,0),MATCH($P$24&amp;" | GWP E",tabellen_EMD!$C$301:$R$301,0))</f>
        <v>-0.48699999999999999</v>
      </c>
      <c r="K229" s="186">
        <f>INDEX(tabellen_EMD!$C$301:$R$306,MATCH(K$226,tabellen_EMD!$C$301:$C$306,0),MATCH($P$24&amp;" | GWP E",tabellen_EMD!$C$301:$R$301,0))</f>
        <v>89.650270116576607</v>
      </c>
      <c r="L229" s="911"/>
      <c r="M229" s="186">
        <f>INDEX(tabellen_EMD!$C$301:$R$306,MATCH(M$226,tabellen_EMD!$C$301:$C$306,0),MATCH($P$24&amp;" | GWP E",tabellen_EMD!$C$301:$R$301,0))</f>
        <v>3.9581999999999999E-2</v>
      </c>
      <c r="N229" s="911"/>
      <c r="O229" s="44"/>
      <c r="P229" s="899"/>
      <c r="Q229" s="899"/>
      <c r="R229" s="899"/>
      <c r="S229" s="899"/>
      <c r="T229" s="899"/>
      <c r="U229" s="899"/>
      <c r="V229" s="39"/>
      <c r="W229" s="39"/>
      <c r="X229" s="39"/>
      <c r="Y229" s="12"/>
      <c r="Z229" s="453"/>
      <c r="AA229" s="453"/>
      <c r="AB229" s="1394"/>
      <c r="AC229" s="1002"/>
      <c r="AD229" s="1436"/>
      <c r="AE229" s="1436"/>
      <c r="AF229" s="1436"/>
      <c r="AG229" s="1436"/>
      <c r="AH229" s="1436"/>
      <c r="AI229" s="1436"/>
      <c r="AJ229" s="1436"/>
      <c r="AK229" s="1436"/>
      <c r="AL229" s="1436"/>
      <c r="AM229" s="1436"/>
      <c r="AN229" s="1436"/>
      <c r="AO229" s="1436"/>
      <c r="AP229" s="1436"/>
      <c r="AQ229" s="1436"/>
      <c r="AR229" s="1436"/>
      <c r="AS229" s="1394"/>
      <c r="AT229" s="1002"/>
      <c r="AU229" s="12"/>
      <c r="AV229" s="12"/>
      <c r="AW229" s="12"/>
      <c r="AX229" s="12"/>
      <c r="AY229" s="12"/>
      <c r="AZ229" s="12"/>
      <c r="BA229" s="12"/>
      <c r="BB229" s="12"/>
      <c r="BC229" s="12"/>
      <c r="BD229" s="12"/>
      <c r="BE229" s="12"/>
      <c r="BF229" s="12"/>
      <c r="BG229" s="12"/>
      <c r="BH229" s="12"/>
      <c r="BI229" s="13"/>
    </row>
    <row r="230" spans="1:61" s="211" customFormat="1" hidden="1">
      <c r="A230" s="212" t="s">
        <v>493</v>
      </c>
      <c r="B230" s="1092"/>
      <c r="C230" s="1092"/>
      <c r="D230" s="1092"/>
      <c r="E230" s="210"/>
      <c r="F230" s="22" t="s">
        <v>204</v>
      </c>
      <c r="G230" s="186" t="str">
        <f>INDEX(tabellen_EMD!$C$301:$S$306,MATCH(G$226,tabellen_EMD!$C$301:$C$306,0),MATCH($P$24&amp;" | GWP eenheid",tabellen_EMD!$C$301:$S$301,0))</f>
        <v>kg/m3</v>
      </c>
      <c r="H230" s="186" t="str">
        <f>INDEX(tabellen_EMD!$C$301:$S$306,MATCH(H$226,tabellen_EMD!$C$301:$C$306,0),MATCH($P$24&amp;" | GWP eenheid",tabellen_EMD!$C$301:$S$301,0))</f>
        <v>kg/kWh</v>
      </c>
      <c r="I230" s="911"/>
      <c r="J230" s="186" t="str">
        <f>INDEX(tabellen_EMD!$C$301:$S$306,MATCH(J$226,tabellen_EMD!$C$301:$C$306,0),MATCH($P$24&amp;" | GWP eenheid",tabellen_EMD!$C$301:$S$301,0))</f>
        <v>kg/kWh</v>
      </c>
      <c r="K230" s="186" t="str">
        <f>INDEX(tabellen_EMD!$C$301:$S$306,MATCH(K$226,tabellen_EMD!$C$301:$C$306,0),MATCH($P$24&amp;" | GWP eenheid",tabellen_EMD!$C$301:$S$301,0))</f>
        <v>kg/GJ</v>
      </c>
      <c r="L230" s="911"/>
      <c r="M230" s="186" t="str">
        <f>INDEX(tabellen_EMD!$C$301:$S$306,MATCH(M$226,tabellen_EMD!$C$301:$C$306,0),MATCH($P$24&amp;" | GWP eenheid",tabellen_EMD!$C$301:$S$301,0))</f>
        <v>kg/kg</v>
      </c>
      <c r="N230" s="911"/>
      <c r="O230" s="44"/>
      <c r="P230" s="899"/>
      <c r="Q230" s="899"/>
      <c r="R230" s="899"/>
      <c r="S230" s="899"/>
      <c r="T230" s="899"/>
      <c r="U230" s="899"/>
      <c r="V230" s="39"/>
      <c r="W230" s="39"/>
      <c r="X230" s="39"/>
      <c r="Y230" s="12"/>
      <c r="Z230" s="453"/>
      <c r="AA230" s="453"/>
      <c r="AB230" s="1394"/>
      <c r="AC230" s="1002"/>
      <c r="AD230" s="1436"/>
      <c r="AE230" s="1436"/>
      <c r="AF230" s="1436"/>
      <c r="AG230" s="1436"/>
      <c r="AH230" s="1436"/>
      <c r="AI230" s="1436"/>
      <c r="AJ230" s="1436"/>
      <c r="AK230" s="1436"/>
      <c r="AL230" s="1436"/>
      <c r="AM230" s="1436"/>
      <c r="AN230" s="1436"/>
      <c r="AO230" s="1436"/>
      <c r="AP230" s="1436"/>
      <c r="AQ230" s="1436"/>
      <c r="AR230" s="1436"/>
      <c r="AS230" s="1394"/>
      <c r="AT230" s="1002"/>
      <c r="AU230" s="12"/>
      <c r="AV230" s="12"/>
      <c r="AW230" s="12"/>
      <c r="AX230" s="12"/>
      <c r="AY230" s="12"/>
      <c r="AZ230" s="12"/>
      <c r="BA230" s="12"/>
      <c r="BB230" s="12"/>
      <c r="BC230" s="12"/>
      <c r="BD230" s="12"/>
      <c r="BE230" s="12"/>
      <c r="BF230" s="12"/>
      <c r="BG230" s="12"/>
      <c r="BH230" s="12"/>
      <c r="BI230" s="13"/>
    </row>
    <row r="231" spans="1:61" hidden="1">
      <c r="A231" s="212" t="s">
        <v>493</v>
      </c>
      <c r="B231" s="943"/>
      <c r="C231" s="943"/>
      <c r="D231" s="943"/>
      <c r="E231" s="14"/>
      <c r="F231" s="22" t="s">
        <v>1554</v>
      </c>
      <c r="G231" s="1161">
        <f>INDEX(tabellen_EMD!$C$285:$Z$290,MATCH(G$226,tabellen_EMD!$C$285:$C$290,0),MATCH(EP_versie_scope_functie_methode,tabellen_EMD!$C$285:$Z$285,0))</f>
        <v>1</v>
      </c>
      <c r="H231" s="1161">
        <f>INDEX(tabellen_EMD!$C$285:$Z$290,MATCH(H$226,tabellen_EMD!$C$285:$C$290,0),MATCH(EP_versie_scope_functie_methode,tabellen_EMD!$C$285:$Z$285,0))</f>
        <v>1</v>
      </c>
      <c r="I231" s="1047"/>
      <c r="J231" s="1161">
        <f>INDEX(tabellen_EMD!$C$285:$Z$290,MATCH(J$226,tabellen_EMD!$C$285:$C$290,0),MATCH(EP_versie_scope_functie_methode,tabellen_EMD!$C$285:$Z$285,0))</f>
        <v>1</v>
      </c>
      <c r="K231" s="1161">
        <f>INDEX(tabellen_EMD!$C$285:$Z$290,MATCH(K$226,tabellen_EMD!$C$285:$C$290,0),MATCH(EP_versie_scope_functie_methode,tabellen_EMD!$C$285:$Z$285,0))</f>
        <v>1</v>
      </c>
      <c r="L231" s="1047"/>
      <c r="M231" s="1161">
        <f>INDEX(tabellen_EMD!$C$285:$Z$290,MATCH(M$226,tabellen_EMD!$C$285:$C$290,0),MATCH(EP_versie_scope_functie_methode,tabellen_EMD!$C$285:$Z$285,0))</f>
        <v>4.166666666666667</v>
      </c>
      <c r="N231" s="1047"/>
      <c r="O231" s="44"/>
      <c r="P231" s="899"/>
      <c r="Q231" s="899"/>
      <c r="R231" s="899"/>
      <c r="S231" s="899"/>
      <c r="T231" s="899"/>
      <c r="U231" s="899"/>
      <c r="V231" s="39"/>
      <c r="W231" s="39"/>
      <c r="X231" s="39"/>
      <c r="Y231" s="12"/>
      <c r="Z231" s="453"/>
      <c r="AA231" s="453"/>
      <c r="AB231" s="67"/>
      <c r="AC231" s="995"/>
      <c r="AD231" s="1432"/>
      <c r="AE231" s="1432"/>
      <c r="AF231" s="1432"/>
      <c r="AG231" s="1432"/>
      <c r="AH231" s="1432"/>
      <c r="AI231" s="1432"/>
      <c r="AJ231" s="1432"/>
      <c r="AK231" s="1432"/>
      <c r="AL231" s="1432"/>
      <c r="AM231" s="1432"/>
      <c r="AN231" s="1432"/>
      <c r="AO231" s="1432"/>
      <c r="AP231" s="1432"/>
      <c r="AQ231" s="1432"/>
      <c r="AR231" s="1432"/>
      <c r="AS231" s="67"/>
      <c r="AT231" s="995"/>
      <c r="AU231" s="12"/>
      <c r="AV231" s="12"/>
      <c r="AW231" s="12"/>
      <c r="AX231" s="12"/>
      <c r="AY231" s="12"/>
      <c r="AZ231" s="12"/>
      <c r="BA231" s="12"/>
      <c r="BB231" s="12"/>
      <c r="BC231" s="12"/>
      <c r="BD231" s="12"/>
      <c r="BE231" s="12"/>
      <c r="BF231" s="12"/>
      <c r="BG231" s="12"/>
      <c r="BH231" s="12"/>
      <c r="BI231" s="13"/>
    </row>
    <row r="232" spans="1:61" hidden="1">
      <c r="A232" s="212" t="s">
        <v>493</v>
      </c>
      <c r="B232" s="943"/>
      <c r="C232" s="943"/>
      <c r="D232" s="943"/>
      <c r="E232" s="14"/>
      <c r="F232" s="22" t="s">
        <v>1555</v>
      </c>
      <c r="G232" s="1161">
        <f>INDEX(tabellen_EMD!$C$293:$Z$298,MATCH(G$226,tabellen_EMD!$C$293:$C$298,0),MATCH(EP_versie_scope_functie_methode,tabellen_EMD!$C$293:$Z$293,0))</f>
        <v>0</v>
      </c>
      <c r="H232" s="1161">
        <f>INDEX(tabellen_EMD!$C$293:$Z$298,MATCH(H$226,tabellen_EMD!$C$293:$C$298,0),MATCH(EP_versie_scope_functie_methode,tabellen_EMD!$C$293:$Z$293,0))</f>
        <v>0</v>
      </c>
      <c r="I232" s="1047"/>
      <c r="J232" s="1161">
        <f>INDEX(tabellen_EMD!$C$293:$Z$298,MATCH(J$226,tabellen_EMD!$C$293:$C$298,0),MATCH(EP_versie_scope_functie_methode,tabellen_EMD!$C$293:$Z$293,0))</f>
        <v>0</v>
      </c>
      <c r="K232" s="1161">
        <f>INDEX(tabellen_EMD!$C$293:$Z$298,MATCH(K$226,tabellen_EMD!$C$293:$C$298,0),MATCH(EP_versie_scope_functie_methode,tabellen_EMD!$C$293:$Z$293,0))</f>
        <v>1</v>
      </c>
      <c r="L232" s="1047"/>
      <c r="M232" s="1161">
        <f>INDEX(tabellen_EMD!$C$293:$Z$298,MATCH(M$226,tabellen_EMD!$C$293:$C$298,0),MATCH(EP_versie_scope_functie_methode,tabellen_EMD!$C$293:$Z$293,0))</f>
        <v>0</v>
      </c>
      <c r="N232" s="1047"/>
      <c r="O232" s="44"/>
      <c r="P232" s="899"/>
      <c r="Q232" s="899"/>
      <c r="R232" s="899"/>
      <c r="S232" s="899"/>
      <c r="T232" s="899"/>
      <c r="U232" s="899"/>
      <c r="V232" s="39"/>
      <c r="W232" s="39"/>
      <c r="X232" s="39"/>
      <c r="Y232" s="12"/>
      <c r="Z232" s="453"/>
      <c r="AA232" s="453"/>
      <c r="AB232" s="67"/>
      <c r="AC232" s="995"/>
      <c r="AD232" s="1432"/>
      <c r="AE232" s="1432"/>
      <c r="AF232" s="1432"/>
      <c r="AG232" s="1432"/>
      <c r="AH232" s="1432"/>
      <c r="AI232" s="1432"/>
      <c r="AJ232" s="1432"/>
      <c r="AK232" s="1432"/>
      <c r="AL232" s="1432"/>
      <c r="AM232" s="1432"/>
      <c r="AN232" s="1432"/>
      <c r="AO232" s="1432"/>
      <c r="AP232" s="1432"/>
      <c r="AQ232" s="1432"/>
      <c r="AR232" s="1432"/>
      <c r="AS232" s="67"/>
      <c r="AT232" s="995"/>
      <c r="AU232" s="12"/>
      <c r="AV232" s="12"/>
      <c r="AW232" s="12"/>
      <c r="AX232" s="12"/>
      <c r="AY232" s="12"/>
      <c r="AZ232" s="12"/>
      <c r="BA232" s="12"/>
      <c r="BB232" s="12"/>
      <c r="BC232" s="12"/>
      <c r="BD232" s="12"/>
      <c r="BE232" s="12"/>
      <c r="BF232" s="12"/>
      <c r="BG232" s="12"/>
      <c r="BH232" s="12"/>
      <c r="BI232" s="13"/>
    </row>
    <row r="233" spans="1:61" s="211" customFormat="1" hidden="1">
      <c r="A233" s="212" t="s">
        <v>493</v>
      </c>
      <c r="B233" s="1092"/>
      <c r="C233" s="1092"/>
      <c r="D233" s="1092"/>
      <c r="E233" s="210"/>
      <c r="F233" s="22" t="s">
        <v>1650</v>
      </c>
      <c r="G233" s="24">
        <f>VLOOKUP(G$226,$J$195:$W$199,COLUMNS($J$194:$W$194),FALSE)*G$231</f>
        <v>0</v>
      </c>
      <c r="H233" s="24">
        <f t="shared" ref="H233:M233" si="106">VLOOKUP(H$226,$J$195:$W$199,COLUMNS($J$194:$W$194),FALSE)*H$231</f>
        <v>0</v>
      </c>
      <c r="I233" s="24"/>
      <c r="J233" s="24">
        <f t="shared" si="106"/>
        <v>0</v>
      </c>
      <c r="K233" s="142">
        <f t="shared" si="106"/>
        <v>0</v>
      </c>
      <c r="L233" s="142"/>
      <c r="M233" s="24">
        <f t="shared" si="106"/>
        <v>0</v>
      </c>
      <c r="N233" s="24">
        <f>J275</f>
        <v>1</v>
      </c>
      <c r="O233" s="44"/>
      <c r="P233" s="899"/>
      <c r="Q233" s="899"/>
      <c r="R233" s="899"/>
      <c r="S233" s="899"/>
      <c r="T233" s="899"/>
      <c r="U233" s="899"/>
      <c r="V233" s="39"/>
      <c r="W233" s="39"/>
      <c r="X233" s="39"/>
      <c r="Y233" s="12"/>
      <c r="Z233" s="453"/>
      <c r="AA233" s="453"/>
      <c r="AB233" s="1394"/>
      <c r="AC233" s="1002"/>
      <c r="AD233" s="1436"/>
      <c r="AE233" s="1436"/>
      <c r="AF233" s="1436"/>
      <c r="AG233" s="1436"/>
      <c r="AH233" s="1436"/>
      <c r="AI233" s="1436"/>
      <c r="AJ233" s="1436"/>
      <c r="AK233" s="1436"/>
      <c r="AL233" s="1436"/>
      <c r="AM233" s="1436"/>
      <c r="AN233" s="1436"/>
      <c r="AO233" s="1436"/>
      <c r="AP233" s="1436"/>
      <c r="AQ233" s="1436"/>
      <c r="AR233" s="1436"/>
      <c r="AS233" s="1394"/>
      <c r="AT233" s="1002"/>
      <c r="AU233" s="12"/>
      <c r="AV233" s="12"/>
      <c r="AW233" s="12"/>
      <c r="AX233" s="12"/>
      <c r="AY233" s="12"/>
      <c r="AZ233" s="12"/>
      <c r="BA233" s="12"/>
      <c r="BB233" s="12"/>
      <c r="BC233" s="12"/>
      <c r="BD233" s="12"/>
      <c r="BE233" s="12"/>
      <c r="BF233" s="12"/>
      <c r="BG233" s="12"/>
      <c r="BH233" s="12"/>
      <c r="BI233" s="13"/>
    </row>
    <row r="234" spans="1:61" s="211" customFormat="1" hidden="1">
      <c r="A234" s="212" t="s">
        <v>493</v>
      </c>
      <c r="B234" s="1092"/>
      <c r="C234" s="1092"/>
      <c r="D234" s="1092"/>
      <c r="E234" s="210"/>
      <c r="F234" s="911"/>
      <c r="G234" s="911"/>
      <c r="H234" s="911"/>
      <c r="I234" s="911"/>
      <c r="J234" s="911"/>
      <c r="K234" s="911"/>
      <c r="L234" s="911"/>
      <c r="M234" s="911"/>
      <c r="N234" s="911"/>
      <c r="O234" s="44"/>
      <c r="P234" s="899"/>
      <c r="Q234" s="899"/>
      <c r="R234" s="899"/>
      <c r="S234" s="899"/>
      <c r="T234" s="899"/>
      <c r="U234" s="899"/>
      <c r="V234" s="39"/>
      <c r="W234" s="39"/>
      <c r="X234" s="39"/>
      <c r="Y234" s="12"/>
      <c r="Z234" s="453"/>
      <c r="AA234" s="453"/>
      <c r="AB234" s="1394"/>
      <c r="AC234" s="1002"/>
      <c r="AD234" s="1436"/>
      <c r="AE234" s="1436"/>
      <c r="AF234" s="1436"/>
      <c r="AG234" s="1436"/>
      <c r="AH234" s="1436"/>
      <c r="AI234" s="1436"/>
      <c r="AJ234" s="1436"/>
      <c r="AK234" s="1436"/>
      <c r="AL234" s="1436"/>
      <c r="AM234" s="1436"/>
      <c r="AN234" s="1436"/>
      <c r="AO234" s="1436"/>
      <c r="AP234" s="1436"/>
      <c r="AQ234" s="1436"/>
      <c r="AR234" s="1436"/>
      <c r="AS234" s="1394"/>
      <c r="AT234" s="1002"/>
      <c r="AU234" s="12"/>
      <c r="AV234" s="12"/>
      <c r="AW234" s="12"/>
      <c r="AX234" s="12"/>
      <c r="AY234" s="12"/>
      <c r="AZ234" s="12"/>
      <c r="BA234" s="12"/>
      <c r="BB234" s="12"/>
      <c r="BC234" s="12"/>
      <c r="BD234" s="12"/>
      <c r="BE234" s="12"/>
      <c r="BF234" s="12"/>
      <c r="BG234" s="12"/>
      <c r="BH234" s="12"/>
      <c r="BI234" s="13"/>
    </row>
    <row r="235" spans="1:61" s="211" customFormat="1" hidden="1">
      <c r="A235" s="212" t="s">
        <v>493</v>
      </c>
      <c r="B235" s="1092"/>
      <c r="C235" s="1092"/>
      <c r="D235" s="1092"/>
      <c r="E235" s="210"/>
      <c r="F235" s="1334" t="s">
        <v>1651</v>
      </c>
      <c r="G235" s="911"/>
      <c r="H235" s="911"/>
      <c r="I235" s="911"/>
      <c r="J235" s="911"/>
      <c r="K235" s="911"/>
      <c r="L235" s="911"/>
      <c r="M235" s="911"/>
      <c r="N235" s="911"/>
      <c r="O235" s="44"/>
      <c r="P235" s="899"/>
      <c r="Q235" s="899"/>
      <c r="R235" s="899"/>
      <c r="S235" s="899"/>
      <c r="T235" s="899"/>
      <c r="U235" s="899"/>
      <c r="V235" s="39"/>
      <c r="W235" s="39"/>
      <c r="X235" s="39"/>
      <c r="Y235" s="12"/>
      <c r="Z235" s="453"/>
      <c r="AA235" s="453"/>
      <c r="AB235" s="1394"/>
      <c r="AC235" s="1002"/>
      <c r="AD235" s="1436"/>
      <c r="AE235" s="1436"/>
      <c r="AF235" s="1436"/>
      <c r="AG235" s="1436"/>
      <c r="AH235" s="1436"/>
      <c r="AI235" s="1436"/>
      <c r="AJ235" s="1436"/>
      <c r="AK235" s="1436"/>
      <c r="AL235" s="1436"/>
      <c r="AM235" s="1436"/>
      <c r="AN235" s="1436"/>
      <c r="AO235" s="1436"/>
      <c r="AP235" s="1436"/>
      <c r="AQ235" s="1436"/>
      <c r="AR235" s="1436"/>
      <c r="AS235" s="1394"/>
      <c r="AT235" s="1002"/>
      <c r="AU235" s="12"/>
      <c r="AV235" s="12"/>
      <c r="AW235" s="12"/>
      <c r="AX235" s="12"/>
      <c r="AY235" s="12"/>
      <c r="AZ235" s="12"/>
      <c r="BA235" s="12"/>
      <c r="BB235" s="12"/>
      <c r="BC235" s="12"/>
      <c r="BD235" s="12"/>
      <c r="BE235" s="12"/>
      <c r="BF235" s="12"/>
      <c r="BG235" s="12"/>
      <c r="BH235" s="12"/>
      <c r="BI235" s="13"/>
    </row>
    <row r="236" spans="1:61" s="211" customFormat="1" hidden="1">
      <c r="A236" s="212" t="s">
        <v>493</v>
      </c>
      <c r="B236" s="1092"/>
      <c r="C236" s="1092"/>
      <c r="D236" s="1092"/>
      <c r="E236" s="210"/>
      <c r="F236" s="22" t="s">
        <v>297</v>
      </c>
      <c r="G236" s="24" t="str">
        <f t="shared" ref="G236:H247" si="107">IF(OR($Q391="",ISNUMBER(G$233)=FALSE),"",$Q391*G$233)</f>
        <v/>
      </c>
      <c r="H236" s="24" t="str">
        <f t="shared" si="107"/>
        <v/>
      </c>
      <c r="I236" s="24"/>
      <c r="J236" s="24" t="str">
        <f t="shared" ref="J236:K247" si="108">IF(OR($Q391="",ISNUMBER(J$233)=FALSE),"",$Q391*J$233)</f>
        <v/>
      </c>
      <c r="K236" s="142" t="str">
        <f t="shared" si="108"/>
        <v/>
      </c>
      <c r="L236" s="142"/>
      <c r="M236" s="24" t="str">
        <f t="shared" ref="M236:M247" si="109">IF(OR($Q391="",ISNUMBER(M$233)=FALSE),"",$Q391*M$233)</f>
        <v/>
      </c>
      <c r="N236" s="911"/>
      <c r="O236" s="44"/>
      <c r="P236" s="899"/>
      <c r="Q236" s="899"/>
      <c r="R236" s="899"/>
      <c r="S236" s="899"/>
      <c r="T236" s="899"/>
      <c r="U236" s="899"/>
      <c r="V236" s="39"/>
      <c r="W236" s="39"/>
      <c r="X236" s="39"/>
      <c r="Y236" s="12"/>
      <c r="Z236" s="453"/>
      <c r="AA236" s="453"/>
      <c r="AB236" s="1394"/>
      <c r="AC236" s="1002"/>
      <c r="AD236" s="1436"/>
      <c r="AE236" s="1436"/>
      <c r="AF236" s="1436"/>
      <c r="AG236" s="1436"/>
      <c r="AH236" s="1436"/>
      <c r="AI236" s="1436"/>
      <c r="AJ236" s="1436"/>
      <c r="AK236" s="1436"/>
      <c r="AL236" s="1436"/>
      <c r="AM236" s="1436"/>
      <c r="AN236" s="1436"/>
      <c r="AO236" s="1436"/>
      <c r="AP236" s="1436"/>
      <c r="AQ236" s="1436"/>
      <c r="AR236" s="1436"/>
      <c r="AS236" s="1394"/>
      <c r="AT236" s="1002"/>
      <c r="AU236" s="12"/>
      <c r="AV236" s="12"/>
      <c r="AW236" s="12"/>
      <c r="AX236" s="12"/>
      <c r="AY236" s="12"/>
      <c r="AZ236" s="12"/>
      <c r="BA236" s="12"/>
      <c r="BB236" s="12"/>
      <c r="BC236" s="12"/>
      <c r="BD236" s="12"/>
      <c r="BE236" s="12"/>
      <c r="BF236" s="12"/>
      <c r="BG236" s="12"/>
      <c r="BH236" s="12"/>
      <c r="BI236" s="13"/>
    </row>
    <row r="237" spans="1:61" s="211" customFormat="1" hidden="1">
      <c r="A237" s="212" t="s">
        <v>493</v>
      </c>
      <c r="B237" s="1092"/>
      <c r="C237" s="1092"/>
      <c r="D237" s="1092"/>
      <c r="E237" s="210"/>
      <c r="F237" s="22" t="s">
        <v>298</v>
      </c>
      <c r="G237" s="24" t="str">
        <f t="shared" si="107"/>
        <v/>
      </c>
      <c r="H237" s="24" t="str">
        <f t="shared" si="107"/>
        <v/>
      </c>
      <c r="I237" s="24"/>
      <c r="J237" s="24" t="str">
        <f t="shared" si="108"/>
        <v/>
      </c>
      <c r="K237" s="142" t="str">
        <f t="shared" si="108"/>
        <v/>
      </c>
      <c r="L237" s="142"/>
      <c r="M237" s="24" t="str">
        <f t="shared" si="109"/>
        <v/>
      </c>
      <c r="N237" s="911"/>
      <c r="O237" s="44"/>
      <c r="P237" s="899"/>
      <c r="Q237" s="899"/>
      <c r="R237" s="899"/>
      <c r="S237" s="899"/>
      <c r="T237" s="899"/>
      <c r="U237" s="899"/>
      <c r="V237" s="39"/>
      <c r="W237" s="39"/>
      <c r="X237" s="39"/>
      <c r="Y237" s="12"/>
      <c r="Z237" s="453"/>
      <c r="AA237" s="453"/>
      <c r="AB237" s="1394"/>
      <c r="AC237" s="1002"/>
      <c r="AD237" s="1436"/>
      <c r="AE237" s="1436"/>
      <c r="AF237" s="1436"/>
      <c r="AG237" s="1436"/>
      <c r="AH237" s="1436"/>
      <c r="AI237" s="1436"/>
      <c r="AJ237" s="1436"/>
      <c r="AK237" s="1436"/>
      <c r="AL237" s="1436"/>
      <c r="AM237" s="1436"/>
      <c r="AN237" s="1436"/>
      <c r="AO237" s="1436"/>
      <c r="AP237" s="1436"/>
      <c r="AQ237" s="1436"/>
      <c r="AR237" s="1436"/>
      <c r="AS237" s="1394"/>
      <c r="AT237" s="1002"/>
      <c r="AU237" s="12"/>
      <c r="AV237" s="12"/>
      <c r="AW237" s="12"/>
      <c r="AX237" s="12"/>
      <c r="AY237" s="12"/>
      <c r="AZ237" s="12"/>
      <c r="BA237" s="12"/>
      <c r="BB237" s="12"/>
      <c r="BC237" s="12"/>
      <c r="BD237" s="12"/>
      <c r="BE237" s="12"/>
      <c r="BF237" s="12"/>
      <c r="BG237" s="12"/>
      <c r="BH237" s="12"/>
      <c r="BI237" s="13"/>
    </row>
    <row r="238" spans="1:61" s="211" customFormat="1" hidden="1">
      <c r="A238" s="212" t="s">
        <v>493</v>
      </c>
      <c r="B238" s="1092"/>
      <c r="C238" s="1092"/>
      <c r="D238" s="1092"/>
      <c r="E238" s="210"/>
      <c r="F238" s="22" t="s">
        <v>303</v>
      </c>
      <c r="G238" s="24">
        <f t="shared" si="107"/>
        <v>0</v>
      </c>
      <c r="H238" s="24">
        <f t="shared" si="107"/>
        <v>0</v>
      </c>
      <c r="I238" s="24"/>
      <c r="J238" s="24">
        <f t="shared" si="108"/>
        <v>0</v>
      </c>
      <c r="K238" s="142">
        <f t="shared" si="108"/>
        <v>0</v>
      </c>
      <c r="L238" s="142"/>
      <c r="M238" s="24">
        <f t="shared" si="109"/>
        <v>0</v>
      </c>
      <c r="N238" s="911"/>
      <c r="O238" s="44"/>
      <c r="P238" s="899"/>
      <c r="Q238" s="899"/>
      <c r="R238" s="899"/>
      <c r="S238" s="899"/>
      <c r="T238" s="899"/>
      <c r="U238" s="899"/>
      <c r="V238" s="39"/>
      <c r="W238" s="39"/>
      <c r="X238" s="39"/>
      <c r="Y238" s="12"/>
      <c r="Z238" s="453"/>
      <c r="AA238" s="453"/>
      <c r="AB238" s="1394"/>
      <c r="AC238" s="1002"/>
      <c r="AD238" s="1436"/>
      <c r="AE238" s="1436"/>
      <c r="AF238" s="1436"/>
      <c r="AG238" s="1436"/>
      <c r="AH238" s="1436"/>
      <c r="AI238" s="1436"/>
      <c r="AJ238" s="1436"/>
      <c r="AK238" s="1436"/>
      <c r="AL238" s="1436"/>
      <c r="AM238" s="1436"/>
      <c r="AN238" s="1436"/>
      <c r="AO238" s="1436"/>
      <c r="AP238" s="1436"/>
      <c r="AQ238" s="1436"/>
      <c r="AR238" s="1436"/>
      <c r="AS238" s="1394"/>
      <c r="AT238" s="1002"/>
      <c r="AU238" s="12"/>
      <c r="AV238" s="12"/>
      <c r="AW238" s="12"/>
      <c r="AX238" s="12"/>
      <c r="AY238" s="12"/>
      <c r="AZ238" s="12"/>
      <c r="BA238" s="12"/>
      <c r="BB238" s="12"/>
      <c r="BC238" s="12"/>
      <c r="BD238" s="12"/>
      <c r="BE238" s="12"/>
      <c r="BF238" s="12"/>
      <c r="BG238" s="12"/>
      <c r="BH238" s="12"/>
      <c r="BI238" s="13"/>
    </row>
    <row r="239" spans="1:61" s="211" customFormat="1" hidden="1">
      <c r="A239" s="212" t="s">
        <v>493</v>
      </c>
      <c r="B239" s="1092"/>
      <c r="C239" s="1092"/>
      <c r="D239" s="1092"/>
      <c r="E239" s="210"/>
      <c r="F239" s="22" t="s">
        <v>299</v>
      </c>
      <c r="G239" s="24">
        <f t="shared" si="107"/>
        <v>0</v>
      </c>
      <c r="H239" s="24">
        <f t="shared" si="107"/>
        <v>0</v>
      </c>
      <c r="I239" s="24"/>
      <c r="J239" s="24">
        <f t="shared" si="108"/>
        <v>0</v>
      </c>
      <c r="K239" s="142">
        <f t="shared" si="108"/>
        <v>0</v>
      </c>
      <c r="L239" s="142"/>
      <c r="M239" s="24">
        <f t="shared" si="109"/>
        <v>0</v>
      </c>
      <c r="N239" s="911"/>
      <c r="O239" s="44"/>
      <c r="P239" s="899"/>
      <c r="Q239" s="899"/>
      <c r="R239" s="899"/>
      <c r="S239" s="899"/>
      <c r="T239" s="899"/>
      <c r="U239" s="899"/>
      <c r="V239" s="39"/>
      <c r="W239" s="39"/>
      <c r="X239" s="39"/>
      <c r="Y239" s="12"/>
      <c r="Z239" s="453"/>
      <c r="AA239" s="453"/>
      <c r="AB239" s="1394"/>
      <c r="AC239" s="1002"/>
      <c r="AD239" s="1436"/>
      <c r="AE239" s="1436"/>
      <c r="AF239" s="1436"/>
      <c r="AG239" s="1436"/>
      <c r="AH239" s="1436"/>
      <c r="AI239" s="1436"/>
      <c r="AJ239" s="1436"/>
      <c r="AK239" s="1436"/>
      <c r="AL239" s="1436"/>
      <c r="AM239" s="1436"/>
      <c r="AN239" s="1436"/>
      <c r="AO239" s="1436"/>
      <c r="AP239" s="1436"/>
      <c r="AQ239" s="1436"/>
      <c r="AR239" s="1436"/>
      <c r="AS239" s="1394"/>
      <c r="AT239" s="1002"/>
      <c r="AU239" s="12"/>
      <c r="AV239" s="12"/>
      <c r="AW239" s="12"/>
      <c r="AX239" s="12"/>
      <c r="AY239" s="12"/>
      <c r="AZ239" s="12"/>
      <c r="BA239" s="12"/>
      <c r="BB239" s="12"/>
      <c r="BC239" s="12"/>
      <c r="BD239" s="12"/>
      <c r="BE239" s="12"/>
      <c r="BF239" s="12"/>
      <c r="BG239" s="12"/>
      <c r="BH239" s="12"/>
      <c r="BI239" s="13"/>
    </row>
    <row r="240" spans="1:61" s="211" customFormat="1" hidden="1">
      <c r="A240" s="212" t="s">
        <v>493</v>
      </c>
      <c r="B240" s="1092"/>
      <c r="C240" s="1092"/>
      <c r="D240" s="1092"/>
      <c r="E240" s="210"/>
      <c r="F240" s="22" t="s">
        <v>422</v>
      </c>
      <c r="G240" s="24">
        <f t="shared" si="107"/>
        <v>0</v>
      </c>
      <c r="H240" s="24">
        <f t="shared" si="107"/>
        <v>0</v>
      </c>
      <c r="I240" s="24"/>
      <c r="J240" s="24">
        <f t="shared" si="108"/>
        <v>0</v>
      </c>
      <c r="K240" s="142">
        <f t="shared" si="108"/>
        <v>0</v>
      </c>
      <c r="L240" s="142"/>
      <c r="M240" s="24">
        <f t="shared" si="109"/>
        <v>0</v>
      </c>
      <c r="N240" s="911"/>
      <c r="O240" s="44"/>
      <c r="P240" s="899"/>
      <c r="Q240" s="899"/>
      <c r="R240" s="899"/>
      <c r="S240" s="899"/>
      <c r="T240" s="899"/>
      <c r="U240" s="899"/>
      <c r="V240" s="39"/>
      <c r="W240" s="39"/>
      <c r="X240" s="39"/>
      <c r="Y240" s="12"/>
      <c r="Z240" s="453"/>
      <c r="AA240" s="453"/>
      <c r="AB240" s="1394"/>
      <c r="AC240" s="1002"/>
      <c r="AD240" s="1436"/>
      <c r="AE240" s="1436"/>
      <c r="AF240" s="1436"/>
      <c r="AG240" s="1436"/>
      <c r="AH240" s="1436"/>
      <c r="AI240" s="1436"/>
      <c r="AJ240" s="1436"/>
      <c r="AK240" s="1436"/>
      <c r="AL240" s="1436"/>
      <c r="AM240" s="1436"/>
      <c r="AN240" s="1436"/>
      <c r="AO240" s="1436"/>
      <c r="AP240" s="1436"/>
      <c r="AQ240" s="1436"/>
      <c r="AR240" s="1436"/>
      <c r="AS240" s="1394"/>
      <c r="AT240" s="1002"/>
      <c r="AU240" s="12"/>
      <c r="AV240" s="12"/>
      <c r="AW240" s="12"/>
      <c r="AX240" s="12"/>
      <c r="AY240" s="12"/>
      <c r="AZ240" s="12"/>
      <c r="BA240" s="12"/>
      <c r="BB240" s="12"/>
      <c r="BC240" s="12"/>
      <c r="BD240" s="12"/>
      <c r="BE240" s="12"/>
      <c r="BF240" s="12"/>
      <c r="BG240" s="12"/>
      <c r="BH240" s="12"/>
      <c r="BI240" s="13"/>
    </row>
    <row r="241" spans="1:61" s="211" customFormat="1" hidden="1">
      <c r="A241" s="212" t="s">
        <v>493</v>
      </c>
      <c r="B241" s="1092"/>
      <c r="C241" s="1092"/>
      <c r="D241" s="1092"/>
      <c r="E241" s="210"/>
      <c r="F241" s="22" t="s">
        <v>305</v>
      </c>
      <c r="G241" s="24" t="str">
        <f t="shared" si="107"/>
        <v/>
      </c>
      <c r="H241" s="24" t="str">
        <f t="shared" si="107"/>
        <v/>
      </c>
      <c r="I241" s="24"/>
      <c r="J241" s="24" t="str">
        <f t="shared" si="108"/>
        <v/>
      </c>
      <c r="K241" s="142" t="str">
        <f t="shared" si="108"/>
        <v/>
      </c>
      <c r="L241" s="142"/>
      <c r="M241" s="24" t="str">
        <f t="shared" si="109"/>
        <v/>
      </c>
      <c r="N241" s="911"/>
      <c r="O241" s="44"/>
      <c r="P241" s="899"/>
      <c r="Q241" s="899"/>
      <c r="R241" s="899"/>
      <c r="S241" s="899"/>
      <c r="T241" s="899"/>
      <c r="U241" s="899"/>
      <c r="V241" s="39"/>
      <c r="W241" s="39"/>
      <c r="X241" s="39"/>
      <c r="Y241" s="12"/>
      <c r="Z241" s="453"/>
      <c r="AA241" s="453"/>
      <c r="AB241" s="1394"/>
      <c r="AC241" s="1002"/>
      <c r="AD241" s="1436"/>
      <c r="AE241" s="1436"/>
      <c r="AF241" s="1436"/>
      <c r="AG241" s="1436"/>
      <c r="AH241" s="1436"/>
      <c r="AI241" s="1436"/>
      <c r="AJ241" s="1436"/>
      <c r="AK241" s="1436"/>
      <c r="AL241" s="1436"/>
      <c r="AM241" s="1436"/>
      <c r="AN241" s="1436"/>
      <c r="AO241" s="1436"/>
      <c r="AP241" s="1436"/>
      <c r="AQ241" s="1436"/>
      <c r="AR241" s="1436"/>
      <c r="AS241" s="1394"/>
      <c r="AT241" s="1002"/>
      <c r="AU241" s="12"/>
      <c r="AV241" s="12"/>
      <c r="AW241" s="12"/>
      <c r="AX241" s="12"/>
      <c r="AY241" s="12"/>
      <c r="AZ241" s="12"/>
      <c r="BA241" s="12"/>
      <c r="BB241" s="12"/>
      <c r="BC241" s="12"/>
      <c r="BD241" s="12"/>
      <c r="BE241" s="12"/>
      <c r="BF241" s="12"/>
      <c r="BG241" s="12"/>
      <c r="BH241" s="12"/>
      <c r="BI241" s="13"/>
    </row>
    <row r="242" spans="1:61" s="211" customFormat="1" hidden="1">
      <c r="A242" s="212" t="s">
        <v>493</v>
      </c>
      <c r="B242" s="1092"/>
      <c r="C242" s="1092"/>
      <c r="D242" s="1092"/>
      <c r="E242" s="210"/>
      <c r="F242" s="22" t="s">
        <v>302</v>
      </c>
      <c r="G242" s="24" t="str">
        <f t="shared" si="107"/>
        <v/>
      </c>
      <c r="H242" s="24" t="str">
        <f t="shared" si="107"/>
        <v/>
      </c>
      <c r="I242" s="24"/>
      <c r="J242" s="24" t="str">
        <f t="shared" si="108"/>
        <v/>
      </c>
      <c r="K242" s="142" t="str">
        <f t="shared" si="108"/>
        <v/>
      </c>
      <c r="L242" s="142"/>
      <c r="M242" s="24" t="str">
        <f t="shared" si="109"/>
        <v/>
      </c>
      <c r="N242" s="911"/>
      <c r="O242" s="44"/>
      <c r="P242" s="899"/>
      <c r="Q242" s="899"/>
      <c r="R242" s="899"/>
      <c r="S242" s="899"/>
      <c r="T242" s="899"/>
      <c r="U242" s="899"/>
      <c r="V242" s="39"/>
      <c r="W242" s="39"/>
      <c r="X242" s="39"/>
      <c r="Y242" s="12"/>
      <c r="Z242" s="453"/>
      <c r="AA242" s="453"/>
      <c r="AB242" s="1394"/>
      <c r="AC242" s="1002"/>
      <c r="AD242" s="1436"/>
      <c r="AE242" s="1436"/>
      <c r="AF242" s="1436"/>
      <c r="AG242" s="1436"/>
      <c r="AH242" s="1436"/>
      <c r="AI242" s="1436"/>
      <c r="AJ242" s="1436"/>
      <c r="AK242" s="1436"/>
      <c r="AL242" s="1436"/>
      <c r="AM242" s="1436"/>
      <c r="AN242" s="1436"/>
      <c r="AO242" s="1436"/>
      <c r="AP242" s="1436"/>
      <c r="AQ242" s="1436"/>
      <c r="AR242" s="1436"/>
      <c r="AS242" s="1394"/>
      <c r="AT242" s="1002"/>
      <c r="AU242" s="12"/>
      <c r="AV242" s="12"/>
      <c r="AW242" s="12"/>
      <c r="AX242" s="12"/>
      <c r="AY242" s="12"/>
      <c r="AZ242" s="12"/>
      <c r="BA242" s="12"/>
      <c r="BB242" s="12"/>
      <c r="BC242" s="12"/>
      <c r="BD242" s="12"/>
      <c r="BE242" s="12"/>
      <c r="BF242" s="12"/>
      <c r="BG242" s="12"/>
      <c r="BH242" s="12"/>
      <c r="BI242" s="13"/>
    </row>
    <row r="243" spans="1:61" s="211" customFormat="1" hidden="1">
      <c r="A243" s="212" t="s">
        <v>493</v>
      </c>
      <c r="B243" s="1092"/>
      <c r="C243" s="1092"/>
      <c r="D243" s="1092"/>
      <c r="E243" s="210"/>
      <c r="F243" s="22" t="s">
        <v>423</v>
      </c>
      <c r="G243" s="24" t="str">
        <f t="shared" si="107"/>
        <v/>
      </c>
      <c r="H243" s="24" t="str">
        <f t="shared" si="107"/>
        <v/>
      </c>
      <c r="I243" s="24"/>
      <c r="J243" s="24" t="str">
        <f t="shared" si="108"/>
        <v/>
      </c>
      <c r="K243" s="142" t="str">
        <f t="shared" si="108"/>
        <v/>
      </c>
      <c r="L243" s="142"/>
      <c r="M243" s="24" t="str">
        <f t="shared" si="109"/>
        <v/>
      </c>
      <c r="N243" s="911"/>
      <c r="O243" s="44"/>
      <c r="P243" s="899"/>
      <c r="Q243" s="899"/>
      <c r="R243" s="899"/>
      <c r="S243" s="899"/>
      <c r="T243" s="899"/>
      <c r="U243" s="899"/>
      <c r="V243" s="39"/>
      <c r="W243" s="39"/>
      <c r="X243" s="39"/>
      <c r="Y243" s="12"/>
      <c r="Z243" s="453"/>
      <c r="AA243" s="453"/>
      <c r="AB243" s="1394"/>
      <c r="AC243" s="1002"/>
      <c r="AD243" s="1436"/>
      <c r="AE243" s="1436"/>
      <c r="AF243" s="1436"/>
      <c r="AG243" s="1436"/>
      <c r="AH243" s="1436"/>
      <c r="AI243" s="1436"/>
      <c r="AJ243" s="1436"/>
      <c r="AK243" s="1436"/>
      <c r="AL243" s="1436"/>
      <c r="AM243" s="1436"/>
      <c r="AN243" s="1436"/>
      <c r="AO243" s="1436"/>
      <c r="AP243" s="1436"/>
      <c r="AQ243" s="1436"/>
      <c r="AR243" s="1436"/>
      <c r="AS243" s="1394"/>
      <c r="AT243" s="1002"/>
      <c r="AU243" s="12"/>
      <c r="AV243" s="12"/>
      <c r="AW243" s="12"/>
      <c r="AX243" s="12"/>
      <c r="AY243" s="12"/>
      <c r="AZ243" s="12"/>
      <c r="BA243" s="12"/>
      <c r="BB243" s="12"/>
      <c r="BC243" s="12"/>
      <c r="BD243" s="12"/>
      <c r="BE243" s="12"/>
      <c r="BF243" s="12"/>
      <c r="BG243" s="12"/>
      <c r="BH243" s="12"/>
      <c r="BI243" s="13"/>
    </row>
    <row r="244" spans="1:61" s="211" customFormat="1" hidden="1">
      <c r="A244" s="212" t="s">
        <v>493</v>
      </c>
      <c r="B244" s="1092"/>
      <c r="C244" s="1092"/>
      <c r="D244" s="1092"/>
      <c r="E244" s="210"/>
      <c r="F244" s="22" t="s">
        <v>307</v>
      </c>
      <c r="G244" s="24" t="str">
        <f t="shared" si="107"/>
        <v/>
      </c>
      <c r="H244" s="24" t="str">
        <f t="shared" si="107"/>
        <v/>
      </c>
      <c r="I244" s="24"/>
      <c r="J244" s="24" t="str">
        <f t="shared" si="108"/>
        <v/>
      </c>
      <c r="K244" s="142" t="str">
        <f t="shared" si="108"/>
        <v/>
      </c>
      <c r="L244" s="142"/>
      <c r="M244" s="24" t="str">
        <f t="shared" si="109"/>
        <v/>
      </c>
      <c r="N244" s="911"/>
      <c r="O244" s="44"/>
      <c r="P244" s="899"/>
      <c r="Q244" s="899"/>
      <c r="R244" s="899"/>
      <c r="S244" s="899"/>
      <c r="T244" s="899"/>
      <c r="U244" s="899"/>
      <c r="V244" s="39"/>
      <c r="W244" s="39"/>
      <c r="X244" s="39"/>
      <c r="Y244" s="12"/>
      <c r="Z244" s="453"/>
      <c r="AA244" s="453"/>
      <c r="AB244" s="1394"/>
      <c r="AC244" s="1002"/>
      <c r="AD244" s="1436"/>
      <c r="AE244" s="1436"/>
      <c r="AF244" s="1436"/>
      <c r="AG244" s="1436"/>
      <c r="AH244" s="1436"/>
      <c r="AI244" s="1436"/>
      <c r="AJ244" s="1436"/>
      <c r="AK244" s="1436"/>
      <c r="AL244" s="1436"/>
      <c r="AM244" s="1436"/>
      <c r="AN244" s="1436"/>
      <c r="AO244" s="1436"/>
      <c r="AP244" s="1436"/>
      <c r="AQ244" s="1436"/>
      <c r="AR244" s="1436"/>
      <c r="AS244" s="1394"/>
      <c r="AT244" s="1002"/>
      <c r="AU244" s="12"/>
      <c r="AV244" s="12"/>
      <c r="AW244" s="12"/>
      <c r="AX244" s="12"/>
      <c r="AY244" s="12"/>
      <c r="AZ244" s="12"/>
      <c r="BA244" s="12"/>
      <c r="BB244" s="12"/>
      <c r="BC244" s="12"/>
      <c r="BD244" s="12"/>
      <c r="BE244" s="12"/>
      <c r="BF244" s="12"/>
      <c r="BG244" s="12"/>
      <c r="BH244" s="12"/>
      <c r="BI244" s="13"/>
    </row>
    <row r="245" spans="1:61" s="211" customFormat="1" hidden="1">
      <c r="A245" s="212" t="s">
        <v>493</v>
      </c>
      <c r="B245" s="1092"/>
      <c r="C245" s="1092"/>
      <c r="D245" s="1092"/>
      <c r="E245" s="210"/>
      <c r="F245" s="22" t="s">
        <v>306</v>
      </c>
      <c r="G245" s="24" t="str">
        <f t="shared" si="107"/>
        <v/>
      </c>
      <c r="H245" s="24" t="str">
        <f t="shared" si="107"/>
        <v/>
      </c>
      <c r="I245" s="24"/>
      <c r="J245" s="24" t="str">
        <f t="shared" si="108"/>
        <v/>
      </c>
      <c r="K245" s="142" t="str">
        <f t="shared" si="108"/>
        <v/>
      </c>
      <c r="L245" s="142"/>
      <c r="M245" s="24" t="str">
        <f t="shared" si="109"/>
        <v/>
      </c>
      <c r="N245" s="911"/>
      <c r="O245" s="44"/>
      <c r="P245" s="899"/>
      <c r="Q245" s="899"/>
      <c r="R245" s="899"/>
      <c r="S245" s="899"/>
      <c r="T245" s="899"/>
      <c r="U245" s="899"/>
      <c r="V245" s="39"/>
      <c r="W245" s="39"/>
      <c r="X245" s="39"/>
      <c r="Y245" s="12"/>
      <c r="Z245" s="453"/>
      <c r="AA245" s="453"/>
      <c r="AB245" s="1394"/>
      <c r="AC245" s="1002"/>
      <c r="AD245" s="1436"/>
      <c r="AE245" s="1436"/>
      <c r="AF245" s="1436"/>
      <c r="AG245" s="1436"/>
      <c r="AH245" s="1436"/>
      <c r="AI245" s="1436"/>
      <c r="AJ245" s="1436"/>
      <c r="AK245" s="1436"/>
      <c r="AL245" s="1436"/>
      <c r="AM245" s="1436"/>
      <c r="AN245" s="1436"/>
      <c r="AO245" s="1436"/>
      <c r="AP245" s="1436"/>
      <c r="AQ245" s="1436"/>
      <c r="AR245" s="1436"/>
      <c r="AS245" s="1394"/>
      <c r="AT245" s="1002"/>
      <c r="AU245" s="12"/>
      <c r="AV245" s="12"/>
      <c r="AW245" s="12"/>
      <c r="AX245" s="12"/>
      <c r="AY245" s="12"/>
      <c r="AZ245" s="12"/>
      <c r="BA245" s="12"/>
      <c r="BB245" s="12"/>
      <c r="BC245" s="12"/>
      <c r="BD245" s="12"/>
      <c r="BE245" s="12"/>
      <c r="BF245" s="12"/>
      <c r="BG245" s="12"/>
      <c r="BH245" s="12"/>
      <c r="BI245" s="13"/>
    </row>
    <row r="246" spans="1:61" s="211" customFormat="1" hidden="1">
      <c r="A246" s="212" t="s">
        <v>493</v>
      </c>
      <c r="B246" s="1092"/>
      <c r="C246" s="1092"/>
      <c r="D246" s="1092"/>
      <c r="E246" s="210"/>
      <c r="F246" s="22" t="s">
        <v>424</v>
      </c>
      <c r="G246" s="24" t="str">
        <f t="shared" si="107"/>
        <v/>
      </c>
      <c r="H246" s="24" t="str">
        <f t="shared" si="107"/>
        <v/>
      </c>
      <c r="I246" s="24"/>
      <c r="J246" s="24" t="str">
        <f t="shared" si="108"/>
        <v/>
      </c>
      <c r="K246" s="142" t="str">
        <f t="shared" si="108"/>
        <v/>
      </c>
      <c r="L246" s="142"/>
      <c r="M246" s="24" t="str">
        <f t="shared" si="109"/>
        <v/>
      </c>
      <c r="N246" s="911"/>
      <c r="O246" s="44"/>
      <c r="P246" s="899"/>
      <c r="Q246" s="899"/>
      <c r="R246" s="899"/>
      <c r="S246" s="899"/>
      <c r="T246" s="899"/>
      <c r="U246" s="899"/>
      <c r="V246" s="39"/>
      <c r="W246" s="39"/>
      <c r="X246" s="39"/>
      <c r="Y246" s="12"/>
      <c r="Z246" s="453"/>
      <c r="AA246" s="453"/>
      <c r="AB246" s="1394"/>
      <c r="AC246" s="1002"/>
      <c r="AD246" s="1436"/>
      <c r="AE246" s="1436"/>
      <c r="AF246" s="1436"/>
      <c r="AG246" s="1436"/>
      <c r="AH246" s="1436"/>
      <c r="AI246" s="1436"/>
      <c r="AJ246" s="1436"/>
      <c r="AK246" s="1436"/>
      <c r="AL246" s="1436"/>
      <c r="AM246" s="1436"/>
      <c r="AN246" s="1436"/>
      <c r="AO246" s="1436"/>
      <c r="AP246" s="1436"/>
      <c r="AQ246" s="1436"/>
      <c r="AR246" s="1436"/>
      <c r="AS246" s="1394"/>
      <c r="AT246" s="1002"/>
      <c r="AU246" s="12"/>
      <c r="AV246" s="12"/>
      <c r="AW246" s="12"/>
      <c r="AX246" s="12"/>
      <c r="AY246" s="12"/>
      <c r="AZ246" s="12"/>
      <c r="BA246" s="12"/>
      <c r="BB246" s="12"/>
      <c r="BC246" s="12"/>
      <c r="BD246" s="12"/>
      <c r="BE246" s="12"/>
      <c r="BF246" s="12"/>
      <c r="BG246" s="12"/>
      <c r="BH246" s="12"/>
      <c r="BI246" s="13"/>
    </row>
    <row r="247" spans="1:61" s="211" customFormat="1" hidden="1">
      <c r="A247" s="212" t="s">
        <v>493</v>
      </c>
      <c r="B247" s="1092"/>
      <c r="C247" s="1092"/>
      <c r="D247" s="1092"/>
      <c r="E247" s="210"/>
      <c r="F247" s="22" t="s">
        <v>425</v>
      </c>
      <c r="G247" s="24" t="str">
        <f t="shared" si="107"/>
        <v/>
      </c>
      <c r="H247" s="24" t="str">
        <f t="shared" si="107"/>
        <v/>
      </c>
      <c r="I247" s="24"/>
      <c r="J247" s="24" t="str">
        <f t="shared" si="108"/>
        <v/>
      </c>
      <c r="K247" s="142" t="str">
        <f t="shared" si="108"/>
        <v/>
      </c>
      <c r="L247" s="142"/>
      <c r="M247" s="24" t="str">
        <f t="shared" si="109"/>
        <v/>
      </c>
      <c r="N247" s="911"/>
      <c r="O247" s="44"/>
      <c r="P247" s="899"/>
      <c r="Q247" s="899"/>
      <c r="R247" s="899"/>
      <c r="S247" s="899"/>
      <c r="T247" s="899"/>
      <c r="U247" s="899"/>
      <c r="V247" s="39"/>
      <c r="W247" s="39"/>
      <c r="X247" s="39"/>
      <c r="Y247" s="12"/>
      <c r="Z247" s="453"/>
      <c r="AA247" s="453"/>
      <c r="AB247" s="1394"/>
      <c r="AC247" s="1002"/>
      <c r="AD247" s="1436"/>
      <c r="AE247" s="1436"/>
      <c r="AF247" s="1436"/>
      <c r="AG247" s="1436"/>
      <c r="AH247" s="1436"/>
      <c r="AI247" s="1436"/>
      <c r="AJ247" s="1436"/>
      <c r="AK247" s="1436"/>
      <c r="AL247" s="1436"/>
      <c r="AM247" s="1436"/>
      <c r="AN247" s="1436"/>
      <c r="AO247" s="1436"/>
      <c r="AP247" s="1436"/>
      <c r="AQ247" s="1436"/>
      <c r="AR247" s="1436"/>
      <c r="AS247" s="1394"/>
      <c r="AT247" s="1002"/>
      <c r="AU247" s="12"/>
      <c r="AV247" s="12"/>
      <c r="AW247" s="12"/>
      <c r="AX247" s="12"/>
      <c r="AY247" s="12"/>
      <c r="AZ247" s="12"/>
      <c r="BA247" s="12"/>
      <c r="BB247" s="12"/>
      <c r="BC247" s="12"/>
      <c r="BD247" s="12"/>
      <c r="BE247" s="12"/>
      <c r="BF247" s="12"/>
      <c r="BG247" s="12"/>
      <c r="BH247" s="12"/>
      <c r="BI247" s="13"/>
    </row>
    <row r="248" spans="1:61" s="211" customFormat="1" hidden="1">
      <c r="A248" s="212" t="s">
        <v>493</v>
      </c>
      <c r="B248" s="1092"/>
      <c r="C248" s="1092"/>
      <c r="D248" s="1092"/>
      <c r="E248" s="210"/>
      <c r="F248" s="43"/>
      <c r="G248" s="911"/>
      <c r="H248" s="911"/>
      <c r="I248" s="911"/>
      <c r="J248" s="911"/>
      <c r="K248" s="911"/>
      <c r="L248" s="911"/>
      <c r="M248" s="911"/>
      <c r="N248" s="911"/>
      <c r="O248" s="44"/>
      <c r="P248" s="899"/>
      <c r="Q248" s="899"/>
      <c r="R248" s="899"/>
      <c r="S248" s="899"/>
      <c r="T248" s="899"/>
      <c r="U248" s="899"/>
      <c r="V248" s="39"/>
      <c r="W248" s="39"/>
      <c r="X248" s="39"/>
      <c r="Y248" s="12"/>
      <c r="Z248" s="453"/>
      <c r="AA248" s="453"/>
      <c r="AB248" s="1394"/>
      <c r="AC248" s="1002"/>
      <c r="AD248" s="1436"/>
      <c r="AE248" s="1436"/>
      <c r="AF248" s="1436"/>
      <c r="AG248" s="1436"/>
      <c r="AH248" s="1436"/>
      <c r="AI248" s="1436"/>
      <c r="AJ248" s="1436"/>
      <c r="AK248" s="1436"/>
      <c r="AL248" s="1436"/>
      <c r="AM248" s="1436"/>
      <c r="AN248" s="1436"/>
      <c r="AO248" s="1436"/>
      <c r="AP248" s="1436"/>
      <c r="AQ248" s="1436"/>
      <c r="AR248" s="1436"/>
      <c r="AS248" s="1394"/>
      <c r="AT248" s="1002"/>
      <c r="AU248" s="12"/>
      <c r="AV248" s="12"/>
      <c r="AW248" s="12"/>
      <c r="AX248" s="12"/>
      <c r="AY248" s="12"/>
      <c r="AZ248" s="12"/>
      <c r="BA248" s="12"/>
      <c r="BB248" s="12"/>
      <c r="BC248" s="12"/>
      <c r="BD248" s="12"/>
      <c r="BE248" s="12"/>
      <c r="BF248" s="12"/>
      <c r="BG248" s="12"/>
      <c r="BH248" s="12"/>
      <c r="BI248" s="13"/>
    </row>
    <row r="249" spans="1:61" s="211" customFormat="1" hidden="1">
      <c r="A249" s="212" t="s">
        <v>493</v>
      </c>
      <c r="B249" s="1092"/>
      <c r="C249" s="1092"/>
      <c r="D249" s="1092"/>
      <c r="E249" s="210"/>
      <c r="F249" s="22" t="s">
        <v>1597</v>
      </c>
      <c r="G249" s="24">
        <f>IF(OR($Q404="",ISNUMBER(G$233)=FALSE),"",$Q404*G$233)</f>
        <v>0</v>
      </c>
      <c r="H249" s="24">
        <f>IF(OR($Q404="",ISNUMBER(H$233)=FALSE),"",$Q404*H$233)</f>
        <v>0</v>
      </c>
      <c r="I249" s="24"/>
      <c r="J249" s="24">
        <f>IF(OR($Q404="",ISNUMBER(J$233)=FALSE),"",$Q404*J$233)</f>
        <v>0</v>
      </c>
      <c r="K249" s="142">
        <f>IF(OR($Q404="",ISNUMBER(K$233)=FALSE),"",$Q404*K$233)</f>
        <v>0</v>
      </c>
      <c r="L249" s="142"/>
      <c r="M249" s="24">
        <f>IF(OR($Q404="",ISNUMBER(M$233)=FALSE),"",$Q404*M$233)</f>
        <v>0</v>
      </c>
      <c r="N249" s="911"/>
      <c r="O249" s="44"/>
      <c r="P249" s="899"/>
      <c r="Q249" s="899"/>
      <c r="R249" s="899"/>
      <c r="S249" s="899"/>
      <c r="T249" s="899"/>
      <c r="U249" s="899"/>
      <c r="V249" s="39"/>
      <c r="W249" s="39"/>
      <c r="X249" s="39"/>
      <c r="Y249" s="12"/>
      <c r="Z249" s="453"/>
      <c r="AA249" s="453"/>
      <c r="AB249" s="1394"/>
      <c r="AC249" s="1002"/>
      <c r="AD249" s="1436"/>
      <c r="AE249" s="1436"/>
      <c r="AF249" s="1436"/>
      <c r="AG249" s="1436"/>
      <c r="AH249" s="1436"/>
      <c r="AI249" s="1436"/>
      <c r="AJ249" s="1436"/>
      <c r="AK249" s="1436"/>
      <c r="AL249" s="1436"/>
      <c r="AM249" s="1436"/>
      <c r="AN249" s="1436"/>
      <c r="AO249" s="1436"/>
      <c r="AP249" s="1436"/>
      <c r="AQ249" s="1436"/>
      <c r="AR249" s="1436"/>
      <c r="AS249" s="1394"/>
      <c r="AT249" s="1002"/>
      <c r="AU249" s="12"/>
      <c r="AV249" s="12"/>
      <c r="AW249" s="12"/>
      <c r="AX249" s="12"/>
      <c r="AY249" s="12"/>
      <c r="AZ249" s="12"/>
      <c r="BA249" s="12"/>
      <c r="BB249" s="12"/>
      <c r="BC249" s="12"/>
      <c r="BD249" s="12"/>
      <c r="BE249" s="12"/>
      <c r="BF249" s="12"/>
      <c r="BG249" s="12"/>
      <c r="BH249" s="12"/>
      <c r="BI249" s="13"/>
    </row>
    <row r="250" spans="1:61" s="211" customFormat="1" hidden="1">
      <c r="A250" s="212" t="s">
        <v>493</v>
      </c>
      <c r="B250" s="1092"/>
      <c r="C250" s="1092"/>
      <c r="D250" s="1092"/>
      <c r="E250" s="210"/>
      <c r="F250" s="22" t="s">
        <v>1600</v>
      </c>
      <c r="G250" s="24">
        <f>SUM(G236:G247)</f>
        <v>0</v>
      </c>
      <c r="H250" s="24">
        <f t="shared" ref="H250:M250" si="110">SUM(H236:H247)</f>
        <v>0</v>
      </c>
      <c r="I250" s="24"/>
      <c r="J250" s="24">
        <f t="shared" si="110"/>
        <v>0</v>
      </c>
      <c r="K250" s="142">
        <f t="shared" si="110"/>
        <v>0</v>
      </c>
      <c r="L250" s="142"/>
      <c r="M250" s="24">
        <f t="shared" si="110"/>
        <v>0</v>
      </c>
      <c r="N250" s="911"/>
      <c r="O250" s="44"/>
      <c r="P250" s="899"/>
      <c r="Q250" s="899"/>
      <c r="R250" s="899"/>
      <c r="S250" s="899"/>
      <c r="T250" s="899"/>
      <c r="U250" s="899"/>
      <c r="V250" s="39"/>
      <c r="W250" s="39"/>
      <c r="X250" s="39"/>
      <c r="Y250" s="12"/>
      <c r="Z250" s="453"/>
      <c r="AA250" s="453"/>
      <c r="AB250" s="1394"/>
      <c r="AC250" s="1002"/>
      <c r="AD250" s="1436"/>
      <c r="AE250" s="1436"/>
      <c r="AF250" s="1436"/>
      <c r="AG250" s="1436"/>
      <c r="AH250" s="1436"/>
      <c r="AI250" s="1436"/>
      <c r="AJ250" s="1436"/>
      <c r="AK250" s="1436"/>
      <c r="AL250" s="1436"/>
      <c r="AM250" s="1436"/>
      <c r="AN250" s="1436"/>
      <c r="AO250" s="1436"/>
      <c r="AP250" s="1436"/>
      <c r="AQ250" s="1436"/>
      <c r="AR250" s="1436"/>
      <c r="AS250" s="1394"/>
      <c r="AT250" s="1002"/>
      <c r="AU250" s="12"/>
      <c r="AV250" s="12"/>
      <c r="AW250" s="12"/>
      <c r="AX250" s="12"/>
      <c r="AY250" s="12"/>
      <c r="AZ250" s="12"/>
      <c r="BA250" s="12"/>
      <c r="BB250" s="12"/>
      <c r="BC250" s="12"/>
      <c r="BD250" s="12"/>
      <c r="BE250" s="12"/>
      <c r="BF250" s="12"/>
      <c r="BG250" s="12"/>
      <c r="BH250" s="12"/>
      <c r="BI250" s="13"/>
    </row>
    <row r="251" spans="1:61" s="211" customFormat="1" hidden="1">
      <c r="A251" s="212" t="s">
        <v>493</v>
      </c>
      <c r="B251" s="1092"/>
      <c r="C251" s="1092"/>
      <c r="D251" s="1092"/>
      <c r="E251" s="210"/>
      <c r="F251" s="43"/>
      <c r="G251" s="911"/>
      <c r="H251" s="911"/>
      <c r="I251" s="911"/>
      <c r="J251" s="911"/>
      <c r="K251" s="911"/>
      <c r="L251" s="911"/>
      <c r="M251" s="911"/>
      <c r="N251" s="911" t="s">
        <v>1391</v>
      </c>
      <c r="O251" s="44"/>
      <c r="P251" s="899"/>
      <c r="Q251" s="899"/>
      <c r="R251" s="899"/>
      <c r="S251" s="899"/>
      <c r="T251" s="899"/>
      <c r="U251" s="899"/>
      <c r="V251" s="39"/>
      <c r="W251" s="39"/>
      <c r="X251" s="39"/>
      <c r="Y251" s="12"/>
      <c r="Z251" s="453"/>
      <c r="AA251" s="453"/>
      <c r="AB251" s="1394"/>
      <c r="AC251" s="1002"/>
      <c r="AD251" s="1436"/>
      <c r="AE251" s="1436"/>
      <c r="AF251" s="1436"/>
      <c r="AG251" s="1436"/>
      <c r="AH251" s="1436"/>
      <c r="AI251" s="1436"/>
      <c r="AJ251" s="1436"/>
      <c r="AK251" s="1436"/>
      <c r="AL251" s="1436"/>
      <c r="AM251" s="1436"/>
      <c r="AN251" s="1436"/>
      <c r="AO251" s="1436"/>
      <c r="AP251" s="1436"/>
      <c r="AQ251" s="1436"/>
      <c r="AR251" s="1436"/>
      <c r="AS251" s="1394"/>
      <c r="AT251" s="1002"/>
      <c r="AU251" s="12"/>
      <c r="AV251" s="12"/>
      <c r="AW251" s="12"/>
      <c r="AX251" s="12"/>
      <c r="AY251" s="12"/>
      <c r="AZ251" s="12"/>
      <c r="BA251" s="12"/>
      <c r="BB251" s="12"/>
      <c r="BC251" s="12"/>
      <c r="BD251" s="12"/>
      <c r="BE251" s="12"/>
      <c r="BF251" s="12"/>
      <c r="BG251" s="12"/>
      <c r="BH251" s="12"/>
      <c r="BI251" s="13"/>
    </row>
    <row r="252" spans="1:61" s="211" customFormat="1" hidden="1">
      <c r="A252" s="212" t="s">
        <v>493</v>
      </c>
      <c r="B252" s="1092"/>
      <c r="C252" s="1092"/>
      <c r="D252" s="1092"/>
      <c r="E252" s="210"/>
      <c r="F252" s="22" t="s">
        <v>1520</v>
      </c>
      <c r="G252" s="59">
        <f>G249/$J$275</f>
        <v>0</v>
      </c>
      <c r="H252" s="59">
        <f>H249/$J$275</f>
        <v>0</v>
      </c>
      <c r="I252" s="59"/>
      <c r="J252" s="115">
        <f>J249/$J$275</f>
        <v>0</v>
      </c>
      <c r="K252" s="115">
        <f>K249/$J$275</f>
        <v>0</v>
      </c>
      <c r="L252" s="115"/>
      <c r="M252" s="115">
        <f>M249/$J$275</f>
        <v>0</v>
      </c>
      <c r="N252" s="911"/>
      <c r="O252" s="44"/>
      <c r="P252" s="899"/>
      <c r="Q252" s="899"/>
      <c r="R252" s="899"/>
      <c r="S252" s="899"/>
      <c r="T252" s="899"/>
      <c r="U252" s="899"/>
      <c r="V252" s="39"/>
      <c r="W252" s="39"/>
      <c r="X252" s="39"/>
      <c r="Y252" s="12"/>
      <c r="Z252" s="453"/>
      <c r="AA252" s="453"/>
      <c r="AB252" s="1394"/>
      <c r="AC252" s="1002"/>
      <c r="AD252" s="1436"/>
      <c r="AE252" s="1436"/>
      <c r="AF252" s="1436"/>
      <c r="AG252" s="1436"/>
      <c r="AH252" s="1436"/>
      <c r="AI252" s="1436"/>
      <c r="AJ252" s="1436"/>
      <c r="AK252" s="1436"/>
      <c r="AL252" s="1436"/>
      <c r="AM252" s="1436"/>
      <c r="AN252" s="1436"/>
      <c r="AO252" s="1436"/>
      <c r="AP252" s="1436"/>
      <c r="AQ252" s="1436"/>
      <c r="AR252" s="1436"/>
      <c r="AS252" s="1394"/>
      <c r="AT252" s="1002"/>
      <c r="AU252" s="12"/>
      <c r="AV252" s="12"/>
      <c r="AW252" s="12"/>
      <c r="AX252" s="12"/>
      <c r="AY252" s="12"/>
      <c r="AZ252" s="12"/>
      <c r="BA252" s="12"/>
      <c r="BB252" s="12"/>
      <c r="BC252" s="12"/>
      <c r="BD252" s="12"/>
      <c r="BE252" s="12"/>
      <c r="BF252" s="12"/>
      <c r="BG252" s="12"/>
      <c r="BH252" s="12"/>
      <c r="BI252" s="13"/>
    </row>
    <row r="253" spans="1:61" s="211" customFormat="1" hidden="1">
      <c r="A253" s="212" t="s">
        <v>493</v>
      </c>
      <c r="B253" s="1092"/>
      <c r="C253" s="1092"/>
      <c r="D253" s="1092"/>
      <c r="E253" s="210"/>
      <c r="F253" s="22" t="s">
        <v>1652</v>
      </c>
      <c r="G253" s="115">
        <f>G$252*G227</f>
        <v>0</v>
      </c>
      <c r="H253" s="115">
        <f>H$252*H227</f>
        <v>0</v>
      </c>
      <c r="I253" s="115"/>
      <c r="J253" s="115">
        <f>J$252*J227</f>
        <v>0</v>
      </c>
      <c r="K253" s="115">
        <f>K$252*K227</f>
        <v>0</v>
      </c>
      <c r="L253" s="115"/>
      <c r="M253" s="115">
        <f>M$252*M227</f>
        <v>0</v>
      </c>
      <c r="N253" s="918">
        <f>SUM(G253:M253)</f>
        <v>0</v>
      </c>
      <c r="O253" s="44"/>
      <c r="P253" s="899"/>
      <c r="Q253" s="899"/>
      <c r="R253" s="899"/>
      <c r="S253" s="899"/>
      <c r="T253" s="899"/>
      <c r="U253" s="899"/>
      <c r="V253" s="39"/>
      <c r="W253" s="39"/>
      <c r="X253" s="39"/>
      <c r="Y253" s="12"/>
      <c r="Z253" s="453"/>
      <c r="AA253" s="453"/>
      <c r="AB253" s="1394"/>
      <c r="AC253" s="1002"/>
      <c r="AD253" s="1436"/>
      <c r="AE253" s="1436"/>
      <c r="AF253" s="1436"/>
      <c r="AG253" s="1436"/>
      <c r="AH253" s="1436"/>
      <c r="AI253" s="1436"/>
      <c r="AJ253" s="1436"/>
      <c r="AK253" s="1436"/>
      <c r="AL253" s="1436"/>
      <c r="AM253" s="1436"/>
      <c r="AN253" s="1436"/>
      <c r="AO253" s="1436"/>
      <c r="AP253" s="1436"/>
      <c r="AQ253" s="1436"/>
      <c r="AR253" s="1436"/>
      <c r="AS253" s="1394"/>
      <c r="AT253" s="1002"/>
      <c r="AU253" s="1421" t="s">
        <v>1621</v>
      </c>
      <c r="AV253" s="12"/>
      <c r="AW253" s="12"/>
      <c r="AX253" s="12"/>
      <c r="AY253" s="12"/>
      <c r="AZ253" s="12"/>
      <c r="BA253" s="12"/>
      <c r="BB253" s="12"/>
      <c r="BC253" s="12"/>
      <c r="BD253" s="12"/>
      <c r="BE253" s="12"/>
      <c r="BF253" s="12"/>
      <c r="BG253" s="12"/>
      <c r="BH253" s="12"/>
      <c r="BI253" s="13"/>
    </row>
    <row r="254" spans="1:61" s="211" customFormat="1" hidden="1">
      <c r="A254" s="212" t="s">
        <v>493</v>
      </c>
      <c r="B254" s="1092"/>
      <c r="C254" s="1092"/>
      <c r="D254" s="1092"/>
      <c r="E254" s="210"/>
      <c r="F254" s="22" t="s">
        <v>1653</v>
      </c>
      <c r="G254" s="115">
        <f>G$252*G229</f>
        <v>0</v>
      </c>
      <c r="H254" s="115">
        <f>H$252*H229</f>
        <v>0</v>
      </c>
      <c r="I254" s="115"/>
      <c r="J254" s="115">
        <f>J$252*J229</f>
        <v>0</v>
      </c>
      <c r="K254" s="115">
        <f>K$252*K229</f>
        <v>0</v>
      </c>
      <c r="L254" s="115"/>
      <c r="M254" s="115">
        <f>M$252*M229</f>
        <v>0</v>
      </c>
      <c r="N254" s="918">
        <f>SUM(G254:M254)</f>
        <v>0</v>
      </c>
      <c r="O254" s="44"/>
      <c r="P254" s="899"/>
      <c r="Q254" s="899"/>
      <c r="R254" s="899"/>
      <c r="S254" s="899"/>
      <c r="T254" s="899"/>
      <c r="U254" s="899"/>
      <c r="V254" s="39"/>
      <c r="W254" s="39"/>
      <c r="X254" s="39"/>
      <c r="Y254" s="12"/>
      <c r="Z254" s="453"/>
      <c r="AA254" s="453"/>
      <c r="AB254" s="1394"/>
      <c r="AC254" s="1002"/>
      <c r="AD254" s="1436"/>
      <c r="AE254" s="1436"/>
      <c r="AF254" s="1436"/>
      <c r="AG254" s="1436"/>
      <c r="AH254" s="1436"/>
      <c r="AI254" s="1436"/>
      <c r="AJ254" s="1436"/>
      <c r="AK254" s="1436"/>
      <c r="AL254" s="1436"/>
      <c r="AM254" s="1436"/>
      <c r="AN254" s="1436"/>
      <c r="AO254" s="1436"/>
      <c r="AP254" s="1436"/>
      <c r="AQ254" s="1436"/>
      <c r="AR254" s="1436"/>
      <c r="AS254" s="1394"/>
      <c r="AT254" s="1002"/>
      <c r="AU254" s="1422" t="s">
        <v>1654</v>
      </c>
      <c r="AV254" s="12"/>
      <c r="AW254" s="12"/>
      <c r="AX254" s="12"/>
      <c r="AY254" s="12"/>
      <c r="AZ254" s="12"/>
      <c r="BA254" s="12"/>
      <c r="BB254" s="12"/>
      <c r="BC254" s="12"/>
      <c r="BD254" s="12"/>
      <c r="BE254" s="12"/>
      <c r="BF254" s="12"/>
      <c r="BG254" s="12"/>
      <c r="BH254" s="12"/>
      <c r="BI254" s="13"/>
    </row>
    <row r="255" spans="1:61" s="211" customFormat="1" hidden="1">
      <c r="A255" s="212" t="s">
        <v>493</v>
      </c>
      <c r="B255" s="1092"/>
      <c r="C255" s="1092"/>
      <c r="D255" s="1092"/>
      <c r="E255" s="210"/>
      <c r="F255" s="911"/>
      <c r="G255" s="911"/>
      <c r="H255" s="911"/>
      <c r="I255" s="911"/>
      <c r="J255" s="911"/>
      <c r="K255" s="911"/>
      <c r="L255" s="911"/>
      <c r="M255" s="911"/>
      <c r="N255" s="911"/>
      <c r="O255" s="44"/>
      <c r="P255" s="899"/>
      <c r="Q255" s="899"/>
      <c r="R255" s="899"/>
      <c r="S255" s="899"/>
      <c r="T255" s="899"/>
      <c r="U255" s="899"/>
      <c r="V255" s="39"/>
      <c r="W255" s="39"/>
      <c r="X255" s="39"/>
      <c r="Y255" s="12"/>
      <c r="Z255" s="453"/>
      <c r="AA255" s="453"/>
      <c r="AB255" s="1394"/>
      <c r="AC255" s="1002"/>
      <c r="AD255" s="1436"/>
      <c r="AE255" s="1436"/>
      <c r="AF255" s="1436"/>
      <c r="AG255" s="1436"/>
      <c r="AH255" s="1436"/>
      <c r="AI255" s="1436"/>
      <c r="AJ255" s="1436"/>
      <c r="AK255" s="1436"/>
      <c r="AL255" s="1436"/>
      <c r="AM255" s="1436"/>
      <c r="AN255" s="1436"/>
      <c r="AO255" s="1436"/>
      <c r="AP255" s="1436"/>
      <c r="AQ255" s="1436"/>
      <c r="AR255" s="1436"/>
      <c r="AS255" s="1394"/>
      <c r="AT255" s="1002"/>
      <c r="AU255" s="12"/>
      <c r="AV255" s="12"/>
      <c r="AW255" s="12"/>
      <c r="AX255" s="12"/>
      <c r="AY255" s="12"/>
      <c r="AZ255" s="12"/>
      <c r="BA255" s="12"/>
      <c r="BB255" s="12"/>
      <c r="BC255" s="12"/>
      <c r="BD255" s="12"/>
      <c r="BE255" s="12"/>
      <c r="BF255" s="12"/>
      <c r="BG255" s="12"/>
      <c r="BH255" s="12"/>
      <c r="BI255" s="13"/>
    </row>
    <row r="256" spans="1:61">
      <c r="A256" s="86"/>
      <c r="B256" s="943"/>
      <c r="C256" s="943"/>
      <c r="D256" s="943"/>
      <c r="E256" s="14"/>
      <c r="F256" s="22" t="s">
        <v>297</v>
      </c>
      <c r="G256" s="214" t="str">
        <f>IFERROR(FIXED(ROUND(G236/G$231,G$232),G$232),"")</f>
        <v/>
      </c>
      <c r="H256" s="214" t="str">
        <f t="shared" ref="H256:M256" si="111">IFERROR(FIXED(ROUND(H236/H$231,H$232),H$232),"")</f>
        <v/>
      </c>
      <c r="I256" s="214" t="str">
        <f t="shared" si="111"/>
        <v/>
      </c>
      <c r="J256" s="214" t="str">
        <f t="shared" si="111"/>
        <v/>
      </c>
      <c r="K256" s="214" t="str">
        <f t="shared" si="111"/>
        <v/>
      </c>
      <c r="L256" s="214" t="str">
        <f t="shared" si="111"/>
        <v/>
      </c>
      <c r="M256" s="214" t="str">
        <f t="shared" si="111"/>
        <v/>
      </c>
      <c r="N256" s="142" t="str">
        <f t="shared" ref="N256:N267" si="112">IF(M44&gt;0,M44/$M$58*$J$275,"")</f>
        <v/>
      </c>
      <c r="O256" s="44"/>
      <c r="P256" s="899"/>
      <c r="Q256" s="899"/>
      <c r="R256" s="899"/>
      <c r="S256" s="899"/>
      <c r="T256" s="899"/>
      <c r="U256" s="899"/>
      <c r="V256" s="39"/>
      <c r="W256" s="39"/>
      <c r="X256" s="39"/>
      <c r="Y256" s="12"/>
      <c r="Z256" s="453"/>
      <c r="AA256" s="453"/>
      <c r="AB256" s="67"/>
      <c r="AC256" s="995"/>
      <c r="AD256" s="891"/>
      <c r="AE256" s="22" t="str">
        <f>F256</f>
        <v>woning</v>
      </c>
      <c r="AF256" s="22"/>
      <c r="AG256" s="1445" t="str">
        <f t="shared" ref="AG256:AH267" si="113">IF($N256&lt;&gt;"",F372,"")</f>
        <v/>
      </c>
      <c r="AH256" s="1449" t="str">
        <f t="shared" si="113"/>
        <v/>
      </c>
      <c r="AI256" s="1415"/>
      <c r="AJ256" s="1445" t="str">
        <f t="shared" ref="AJ256:AJ267" si="114">IFERROR(SUMPRODUCT($G$229:$M$229,$G236:$M236)/N256,"")</f>
        <v/>
      </c>
      <c r="AK256" s="1442" t="str">
        <f t="shared" ref="AK256:AK267" si="115">IFERROR(IF(N256&lt;&gt;"",$M$273,""),"")</f>
        <v/>
      </c>
      <c r="AL256" s="1449" t="str">
        <f t="shared" ref="AL256:AL267" si="116">IF(N256&lt;&gt;"",SUM(AJ256,AK256),"")</f>
        <v/>
      </c>
      <c r="AM256" s="1420"/>
      <c r="AN256" s="1445" t="str">
        <f t="shared" ref="AN256:AN267" si="117">IF($N256&lt;&gt;"",N391,"")</f>
        <v/>
      </c>
      <c r="AO256" s="1442" t="str">
        <f t="shared" ref="AO256:AO267" si="118">IF(N256&lt;&gt;"",$J$272,"")</f>
        <v/>
      </c>
      <c r="AP256" s="1442" t="str">
        <f t="shared" ref="AP256:AP267" si="119">IF($N256&lt;&gt;"",SUM(AN256,AO256),"")</f>
        <v/>
      </c>
      <c r="AQ256" s="1420"/>
      <c r="AR256" s="1450" t="str">
        <f t="shared" ref="AR256:AR267" si="120">IF($N256&lt;&gt;"",W391,"")</f>
        <v/>
      </c>
      <c r="AS256" s="67"/>
      <c r="AT256" s="995"/>
      <c r="AU256" s="12"/>
      <c r="AV256" s="12"/>
      <c r="AW256" s="12"/>
      <c r="AX256" s="12"/>
      <c r="AY256" s="12"/>
      <c r="AZ256" s="12"/>
      <c r="BA256" s="12"/>
      <c r="BB256" s="12"/>
      <c r="BC256" s="12"/>
      <c r="BD256" s="12"/>
      <c r="BE256" s="12"/>
      <c r="BF256" s="12"/>
      <c r="BG256" s="12"/>
      <c r="BH256" s="12"/>
      <c r="BI256" s="13"/>
    </row>
    <row r="257" spans="1:61">
      <c r="A257" s="86"/>
      <c r="B257" s="943"/>
      <c r="C257" s="943"/>
      <c r="D257" s="943"/>
      <c r="E257" s="14"/>
      <c r="F257" s="22" t="s">
        <v>298</v>
      </c>
      <c r="G257" s="214" t="str">
        <f t="shared" ref="G257:M267" si="121">IFERROR(FIXED(ROUND(G237/G$231,G$232),G$232),"")</f>
        <v/>
      </c>
      <c r="H257" s="214" t="str">
        <f t="shared" si="121"/>
        <v/>
      </c>
      <c r="I257" s="214" t="str">
        <f t="shared" si="121"/>
        <v/>
      </c>
      <c r="J257" s="214" t="str">
        <f t="shared" si="121"/>
        <v/>
      </c>
      <c r="K257" s="214" t="str">
        <f t="shared" si="121"/>
        <v/>
      </c>
      <c r="L257" s="214" t="str">
        <f t="shared" si="121"/>
        <v/>
      </c>
      <c r="M257" s="214" t="str">
        <f t="shared" si="121"/>
        <v/>
      </c>
      <c r="N257" s="142" t="str">
        <f t="shared" si="112"/>
        <v/>
      </c>
      <c r="O257" s="44"/>
      <c r="P257" s="899"/>
      <c r="Q257" s="899"/>
      <c r="R257" s="899"/>
      <c r="S257" s="899"/>
      <c r="T257" s="899"/>
      <c r="U257" s="899"/>
      <c r="V257" s="39"/>
      <c r="W257" s="39"/>
      <c r="X257" s="39"/>
      <c r="Y257" s="12"/>
      <c r="Z257" s="453"/>
      <c r="AA257" s="453"/>
      <c r="AB257" s="67"/>
      <c r="AC257" s="995"/>
      <c r="AD257" s="1434"/>
      <c r="AE257" s="22" t="str">
        <f t="shared" ref="AE257:AE267" si="122">F257</f>
        <v>woongebouw</v>
      </c>
      <c r="AF257" s="22"/>
      <c r="AG257" s="1445" t="str">
        <f t="shared" si="113"/>
        <v/>
      </c>
      <c r="AH257" s="1449" t="str">
        <f t="shared" si="113"/>
        <v/>
      </c>
      <c r="AI257" s="1415"/>
      <c r="AJ257" s="1445" t="str">
        <f t="shared" si="114"/>
        <v/>
      </c>
      <c r="AK257" s="1442" t="str">
        <f t="shared" si="115"/>
        <v/>
      </c>
      <c r="AL257" s="1449" t="str">
        <f t="shared" si="116"/>
        <v/>
      </c>
      <c r="AM257" s="1420"/>
      <c r="AN257" s="1445" t="str">
        <f t="shared" si="117"/>
        <v/>
      </c>
      <c r="AO257" s="1442" t="str">
        <f t="shared" si="118"/>
        <v/>
      </c>
      <c r="AP257" s="1442" t="str">
        <f t="shared" si="119"/>
        <v/>
      </c>
      <c r="AQ257" s="1420"/>
      <c r="AR257" s="1450" t="str">
        <f t="shared" si="120"/>
        <v/>
      </c>
      <c r="AS257" s="67"/>
      <c r="AT257" s="995"/>
      <c r="AU257" s="12"/>
      <c r="AV257" s="12"/>
      <c r="AW257" s="12"/>
      <c r="AX257" s="12"/>
      <c r="AY257" s="12"/>
      <c r="AZ257" s="12"/>
      <c r="BA257" s="12"/>
      <c r="BB257" s="12"/>
      <c r="BC257" s="12"/>
      <c r="BD257" s="12"/>
      <c r="BE257" s="12"/>
      <c r="BF257" s="12"/>
      <c r="BG257" s="12"/>
      <c r="BH257" s="12"/>
      <c r="BI257" s="13"/>
    </row>
    <row r="258" spans="1:61">
      <c r="A258" s="86"/>
      <c r="B258" s="943"/>
      <c r="C258" s="943"/>
      <c r="D258" s="943"/>
      <c r="E258" s="14"/>
      <c r="F258" s="22" t="s">
        <v>303</v>
      </c>
      <c r="G258" s="214" t="str">
        <f t="shared" si="121"/>
        <v>0</v>
      </c>
      <c r="H258" s="214" t="str">
        <f t="shared" si="121"/>
        <v>0</v>
      </c>
      <c r="I258" s="214" t="str">
        <f t="shared" si="121"/>
        <v/>
      </c>
      <c r="J258" s="214" t="str">
        <f t="shared" si="121"/>
        <v>0</v>
      </c>
      <c r="K258" s="214" t="str">
        <f t="shared" si="121"/>
        <v>0.0</v>
      </c>
      <c r="L258" s="214" t="str">
        <f t="shared" si="121"/>
        <v/>
      </c>
      <c r="M258" s="214" t="str">
        <f t="shared" si="121"/>
        <v>0</v>
      </c>
      <c r="N258" s="142">
        <f t="shared" si="112"/>
        <v>0.33333333333333331</v>
      </c>
      <c r="O258" s="44"/>
      <c r="P258" s="899"/>
      <c r="Q258" s="899"/>
      <c r="R258" s="899"/>
      <c r="S258" s="899"/>
      <c r="T258" s="899"/>
      <c r="U258" s="899"/>
      <c r="V258" s="39"/>
      <c r="W258" s="39"/>
      <c r="X258" s="39"/>
      <c r="Y258" s="12"/>
      <c r="Z258" s="453"/>
      <c r="AA258" s="453"/>
      <c r="AB258" s="67"/>
      <c r="AC258" s="995"/>
      <c r="AD258" s="1429"/>
      <c r="AE258" s="22" t="str">
        <f t="shared" si="122"/>
        <v>kantoor</v>
      </c>
      <c r="AF258" s="22"/>
      <c r="AG258" s="1445">
        <f t="shared" si="113"/>
        <v>3.4181135498615678</v>
      </c>
      <c r="AH258" s="1449">
        <f t="shared" si="113"/>
        <v>-0.5305607399933423</v>
      </c>
      <c r="AI258" s="1415"/>
      <c r="AJ258" s="1445">
        <f t="shared" si="114"/>
        <v>0</v>
      </c>
      <c r="AK258" s="1442">
        <f t="shared" si="115"/>
        <v>0</v>
      </c>
      <c r="AL258" s="1449">
        <f t="shared" si="116"/>
        <v>0</v>
      </c>
      <c r="AM258" s="1420"/>
      <c r="AN258" s="1445">
        <f t="shared" si="117"/>
        <v>-0.49430675734585661</v>
      </c>
      <c r="AO258" s="1442">
        <f t="shared" si="118"/>
        <v>0</v>
      </c>
      <c r="AP258" s="1442">
        <f t="shared" si="119"/>
        <v>-0.49430675734585661</v>
      </c>
      <c r="AQ258" s="1420"/>
      <c r="AR258" s="1450">
        <f t="shared" si="120"/>
        <v>9.3366580783613315</v>
      </c>
      <c r="AS258" s="67"/>
      <c r="AT258" s="995"/>
      <c r="AU258" s="12"/>
      <c r="AV258" s="12"/>
      <c r="AW258" s="12"/>
      <c r="AX258" s="12"/>
      <c r="AY258" s="12"/>
      <c r="AZ258" s="12"/>
      <c r="BA258" s="12"/>
      <c r="BB258" s="12"/>
      <c r="BC258" s="12"/>
      <c r="BD258" s="12"/>
      <c r="BE258" s="12"/>
      <c r="BF258" s="12"/>
      <c r="BG258" s="12"/>
      <c r="BH258" s="12"/>
      <c r="BI258" s="13"/>
    </row>
    <row r="259" spans="1:61">
      <c r="A259" s="86"/>
      <c r="B259" s="943"/>
      <c r="C259" s="943"/>
      <c r="D259" s="943"/>
      <c r="E259" s="14"/>
      <c r="F259" s="22" t="s">
        <v>299</v>
      </c>
      <c r="G259" s="214" t="str">
        <f t="shared" si="121"/>
        <v>0</v>
      </c>
      <c r="H259" s="214" t="str">
        <f t="shared" si="121"/>
        <v>0</v>
      </c>
      <c r="I259" s="214" t="str">
        <f t="shared" si="121"/>
        <v/>
      </c>
      <c r="J259" s="214" t="str">
        <f t="shared" si="121"/>
        <v>0</v>
      </c>
      <c r="K259" s="214" t="str">
        <f t="shared" si="121"/>
        <v>0.0</v>
      </c>
      <c r="L259" s="214" t="str">
        <f t="shared" si="121"/>
        <v/>
      </c>
      <c r="M259" s="214" t="str">
        <f t="shared" si="121"/>
        <v>0</v>
      </c>
      <c r="N259" s="142">
        <f t="shared" si="112"/>
        <v>0.33333333333333331</v>
      </c>
      <c r="O259" s="44"/>
      <c r="P259" s="899"/>
      <c r="Q259" s="899"/>
      <c r="R259" s="899"/>
      <c r="S259" s="899"/>
      <c r="T259" s="899"/>
      <c r="U259" s="899"/>
      <c r="V259" s="39"/>
      <c r="W259" s="39"/>
      <c r="X259" s="39"/>
      <c r="Y259" s="12"/>
      <c r="Z259" s="453"/>
      <c r="AA259" s="453"/>
      <c r="AB259" s="67"/>
      <c r="AC259" s="995"/>
      <c r="AD259" s="891"/>
      <c r="AE259" s="22" t="str">
        <f t="shared" si="122"/>
        <v>bijeenkomst overig</v>
      </c>
      <c r="AF259" s="22"/>
      <c r="AG259" s="1445">
        <f t="shared" si="113"/>
        <v>4.496642433386441</v>
      </c>
      <c r="AH259" s="1449">
        <f t="shared" si="113"/>
        <v>0.18902985498063157</v>
      </c>
      <c r="AI259" s="1415"/>
      <c r="AJ259" s="1445">
        <f t="shared" si="114"/>
        <v>0</v>
      </c>
      <c r="AK259" s="1442">
        <f t="shared" si="115"/>
        <v>0</v>
      </c>
      <c r="AL259" s="1449">
        <f t="shared" si="116"/>
        <v>0</v>
      </c>
      <c r="AM259" s="1420"/>
      <c r="AN259" s="1445">
        <f t="shared" si="117"/>
        <v>0.22857935949936295</v>
      </c>
      <c r="AO259" s="1442">
        <f t="shared" si="118"/>
        <v>0</v>
      </c>
      <c r="AP259" s="1442">
        <f t="shared" si="119"/>
        <v>0.22857935949936295</v>
      </c>
      <c r="AQ259" s="1420"/>
      <c r="AR259" s="1450">
        <f t="shared" si="120"/>
        <v>10.226695655633833</v>
      </c>
      <c r="AS259" s="67"/>
      <c r="AT259" s="995"/>
      <c r="AU259" s="12"/>
      <c r="AV259" s="12"/>
      <c r="AW259" s="12"/>
      <c r="AX259" s="12"/>
      <c r="AY259" s="12"/>
      <c r="AZ259" s="12"/>
      <c r="BA259" s="12"/>
      <c r="BB259" s="12"/>
      <c r="BC259" s="12"/>
      <c r="BD259" s="12"/>
      <c r="BE259" s="12"/>
      <c r="BF259" s="12"/>
      <c r="BG259" s="12"/>
      <c r="BH259" s="12"/>
      <c r="BI259" s="13"/>
    </row>
    <row r="260" spans="1:61">
      <c r="A260" s="86"/>
      <c r="B260" s="943"/>
      <c r="C260" s="943"/>
      <c r="D260" s="943"/>
      <c r="E260" s="14"/>
      <c r="F260" s="22" t="s">
        <v>422</v>
      </c>
      <c r="G260" s="214" t="str">
        <f t="shared" si="121"/>
        <v>0</v>
      </c>
      <c r="H260" s="214" t="str">
        <f t="shared" si="121"/>
        <v>0</v>
      </c>
      <c r="I260" s="214" t="str">
        <f t="shared" si="121"/>
        <v/>
      </c>
      <c r="J260" s="214" t="str">
        <f t="shared" si="121"/>
        <v>0</v>
      </c>
      <c r="K260" s="214" t="str">
        <f t="shared" si="121"/>
        <v>0.0</v>
      </c>
      <c r="L260" s="214" t="str">
        <f t="shared" si="121"/>
        <v/>
      </c>
      <c r="M260" s="214" t="str">
        <f t="shared" si="121"/>
        <v>0</v>
      </c>
      <c r="N260" s="142">
        <f t="shared" si="112"/>
        <v>0.33333333333333331</v>
      </c>
      <c r="O260" s="44"/>
      <c r="P260" s="899"/>
      <c r="Q260" s="899"/>
      <c r="R260" s="899"/>
      <c r="S260" s="899"/>
      <c r="T260" s="899"/>
      <c r="U260" s="899"/>
      <c r="V260" s="39"/>
      <c r="W260" s="39"/>
      <c r="X260" s="39"/>
      <c r="Y260" s="12"/>
      <c r="Z260" s="453"/>
      <c r="AA260" s="453"/>
      <c r="AB260" s="67"/>
      <c r="AC260" s="995"/>
      <c r="AD260" s="891"/>
      <c r="AE260" s="22" t="str">
        <f t="shared" si="122"/>
        <v>bijeenkomst kinderdagverblijf</v>
      </c>
      <c r="AF260" s="22"/>
      <c r="AG260" s="1445">
        <f t="shared" si="113"/>
        <v>4.9618935989874702</v>
      </c>
      <c r="AH260" s="1449">
        <f t="shared" si="113"/>
        <v>0.22221092604712483</v>
      </c>
      <c r="AI260" s="1415"/>
      <c r="AJ260" s="1445">
        <f t="shared" si="114"/>
        <v>0</v>
      </c>
      <c r="AK260" s="1442">
        <f t="shared" si="115"/>
        <v>0</v>
      </c>
      <c r="AL260" s="1449">
        <f t="shared" si="116"/>
        <v>0</v>
      </c>
      <c r="AM260" s="1420"/>
      <c r="AN260" s="1445">
        <f t="shared" si="117"/>
        <v>0.26572739784649463</v>
      </c>
      <c r="AO260" s="1442">
        <f t="shared" si="118"/>
        <v>0</v>
      </c>
      <c r="AP260" s="1442">
        <f t="shared" si="119"/>
        <v>0.26572739784649463</v>
      </c>
      <c r="AQ260" s="1420"/>
      <c r="AR260" s="1450">
        <f t="shared" si="120"/>
        <v>10.242381613607767</v>
      </c>
      <c r="AS260" s="67"/>
      <c r="AT260" s="995"/>
      <c r="AU260" s="12"/>
      <c r="AV260" s="12"/>
      <c r="AW260" s="12"/>
      <c r="AX260" s="12"/>
      <c r="AY260" s="12"/>
      <c r="AZ260" s="12"/>
      <c r="BA260" s="12"/>
      <c r="BB260" s="12"/>
      <c r="BC260" s="12"/>
      <c r="BD260" s="12"/>
      <c r="BE260" s="12"/>
      <c r="BF260" s="12"/>
      <c r="BG260" s="12"/>
      <c r="BH260" s="12"/>
      <c r="BI260" s="13"/>
    </row>
    <row r="261" spans="1:61">
      <c r="A261" s="86"/>
      <c r="B261" s="943"/>
      <c r="C261" s="943"/>
      <c r="D261" s="943"/>
      <c r="E261" s="14"/>
      <c r="F261" s="22" t="s">
        <v>305</v>
      </c>
      <c r="G261" s="214" t="str">
        <f t="shared" si="121"/>
        <v/>
      </c>
      <c r="H261" s="214" t="str">
        <f t="shared" si="121"/>
        <v/>
      </c>
      <c r="I261" s="214" t="str">
        <f t="shared" si="121"/>
        <v/>
      </c>
      <c r="J261" s="214" t="str">
        <f t="shared" si="121"/>
        <v/>
      </c>
      <c r="K261" s="214" t="str">
        <f t="shared" si="121"/>
        <v/>
      </c>
      <c r="L261" s="214" t="str">
        <f t="shared" si="121"/>
        <v/>
      </c>
      <c r="M261" s="214" t="str">
        <f t="shared" si="121"/>
        <v/>
      </c>
      <c r="N261" s="142" t="str">
        <f t="shared" si="112"/>
        <v/>
      </c>
      <c r="O261" s="44"/>
      <c r="P261" s="899"/>
      <c r="Q261" s="899"/>
      <c r="R261" s="899"/>
      <c r="S261" s="899"/>
      <c r="T261" s="899"/>
      <c r="U261" s="899"/>
      <c r="V261" s="39"/>
      <c r="W261" s="39"/>
      <c r="X261" s="39"/>
      <c r="Y261" s="12"/>
      <c r="Z261" s="453"/>
      <c r="AA261" s="453"/>
      <c r="AB261" s="67"/>
      <c r="AC261" s="995"/>
      <c r="AD261" s="891"/>
      <c r="AE261" s="22" t="str">
        <f t="shared" si="122"/>
        <v>onderwijs</v>
      </c>
      <c r="AF261" s="22"/>
      <c r="AG261" s="1445" t="str">
        <f t="shared" si="113"/>
        <v/>
      </c>
      <c r="AH261" s="1449" t="str">
        <f t="shared" si="113"/>
        <v/>
      </c>
      <c r="AI261" s="1415"/>
      <c r="AJ261" s="1445" t="str">
        <f t="shared" si="114"/>
        <v/>
      </c>
      <c r="AK261" s="1442" t="str">
        <f t="shared" si="115"/>
        <v/>
      </c>
      <c r="AL261" s="1449" t="str">
        <f t="shared" si="116"/>
        <v/>
      </c>
      <c r="AM261" s="1420"/>
      <c r="AN261" s="1445" t="str">
        <f t="shared" si="117"/>
        <v/>
      </c>
      <c r="AO261" s="1442" t="str">
        <f t="shared" si="118"/>
        <v/>
      </c>
      <c r="AP261" s="1442" t="str">
        <f t="shared" si="119"/>
        <v/>
      </c>
      <c r="AQ261" s="1420"/>
      <c r="AR261" s="1450" t="str">
        <f t="shared" si="120"/>
        <v/>
      </c>
      <c r="AS261" s="67"/>
      <c r="AT261" s="995"/>
      <c r="AU261" s="12"/>
      <c r="AV261" s="12"/>
      <c r="AW261" s="12"/>
      <c r="AX261" s="12"/>
      <c r="AY261" s="12"/>
      <c r="AZ261" s="12"/>
      <c r="BA261" s="12"/>
      <c r="BB261" s="12"/>
      <c r="BC261" s="12"/>
      <c r="BD261" s="12"/>
      <c r="BE261" s="12"/>
      <c r="BF261" s="12"/>
      <c r="BG261" s="12"/>
      <c r="BH261" s="12"/>
      <c r="BI261" s="13"/>
    </row>
    <row r="262" spans="1:61">
      <c r="A262" s="86"/>
      <c r="B262" s="943"/>
      <c r="C262" s="943"/>
      <c r="D262" s="943"/>
      <c r="E262" s="14"/>
      <c r="F262" s="22" t="s">
        <v>302</v>
      </c>
      <c r="G262" s="214" t="str">
        <f t="shared" si="121"/>
        <v/>
      </c>
      <c r="H262" s="214" t="str">
        <f t="shared" si="121"/>
        <v/>
      </c>
      <c r="I262" s="214" t="str">
        <f t="shared" si="121"/>
        <v/>
      </c>
      <c r="J262" s="214" t="str">
        <f t="shared" si="121"/>
        <v/>
      </c>
      <c r="K262" s="214" t="str">
        <f t="shared" si="121"/>
        <v/>
      </c>
      <c r="L262" s="214" t="str">
        <f t="shared" si="121"/>
        <v/>
      </c>
      <c r="M262" s="214" t="str">
        <f t="shared" si="121"/>
        <v/>
      </c>
      <c r="N262" s="142" t="str">
        <f t="shared" si="112"/>
        <v/>
      </c>
      <c r="O262" s="44"/>
      <c r="P262" s="899"/>
      <c r="Q262" s="899"/>
      <c r="R262" s="899"/>
      <c r="S262" s="899"/>
      <c r="T262" s="899"/>
      <c r="U262" s="899"/>
      <c r="V262" s="39"/>
      <c r="W262" s="39"/>
      <c r="X262" s="39"/>
      <c r="Y262" s="12"/>
      <c r="Z262" s="453"/>
      <c r="AA262" s="453"/>
      <c r="AB262" s="67"/>
      <c r="AC262" s="995"/>
      <c r="AD262" s="1429"/>
      <c r="AE262" s="22" t="str">
        <f t="shared" si="122"/>
        <v>gezondheid overig</v>
      </c>
      <c r="AF262" s="22"/>
      <c r="AG262" s="1445" t="str">
        <f t="shared" si="113"/>
        <v/>
      </c>
      <c r="AH262" s="1449" t="str">
        <f t="shared" si="113"/>
        <v/>
      </c>
      <c r="AI262" s="1415"/>
      <c r="AJ262" s="1445" t="str">
        <f t="shared" si="114"/>
        <v/>
      </c>
      <c r="AK262" s="1442" t="str">
        <f t="shared" si="115"/>
        <v/>
      </c>
      <c r="AL262" s="1449" t="str">
        <f t="shared" si="116"/>
        <v/>
      </c>
      <c r="AM262" s="1420"/>
      <c r="AN262" s="1445" t="str">
        <f t="shared" si="117"/>
        <v/>
      </c>
      <c r="AO262" s="1442" t="str">
        <f t="shared" si="118"/>
        <v/>
      </c>
      <c r="AP262" s="1442" t="str">
        <f t="shared" si="119"/>
        <v/>
      </c>
      <c r="AQ262" s="1420"/>
      <c r="AR262" s="1450" t="str">
        <f t="shared" si="120"/>
        <v/>
      </c>
      <c r="AS262" s="67"/>
      <c r="AT262" s="995"/>
      <c r="AU262" s="12"/>
      <c r="AV262" s="12"/>
      <c r="AW262" s="12"/>
      <c r="AX262" s="12"/>
      <c r="AY262" s="12"/>
      <c r="AZ262" s="12"/>
      <c r="BA262" s="12"/>
      <c r="BB262" s="12"/>
      <c r="BC262" s="12"/>
      <c r="BD262" s="12"/>
      <c r="BE262" s="12"/>
      <c r="BF262" s="12"/>
      <c r="BG262" s="12"/>
      <c r="BH262" s="12"/>
      <c r="BI262" s="13"/>
    </row>
    <row r="263" spans="1:61">
      <c r="A263" s="86"/>
      <c r="B263" s="943"/>
      <c r="C263" s="943"/>
      <c r="D263" s="943"/>
      <c r="E263" s="14"/>
      <c r="F263" s="22" t="s">
        <v>423</v>
      </c>
      <c r="G263" s="214" t="str">
        <f t="shared" si="121"/>
        <v/>
      </c>
      <c r="H263" s="214" t="str">
        <f t="shared" si="121"/>
        <v/>
      </c>
      <c r="I263" s="214" t="str">
        <f t="shared" si="121"/>
        <v/>
      </c>
      <c r="J263" s="214" t="str">
        <f t="shared" si="121"/>
        <v/>
      </c>
      <c r="K263" s="214" t="str">
        <f t="shared" si="121"/>
        <v/>
      </c>
      <c r="L263" s="214" t="str">
        <f t="shared" si="121"/>
        <v/>
      </c>
      <c r="M263" s="214" t="str">
        <f t="shared" si="121"/>
        <v/>
      </c>
      <c r="N263" s="142" t="str">
        <f t="shared" si="112"/>
        <v/>
      </c>
      <c r="O263" s="44"/>
      <c r="P263" s="899"/>
      <c r="Q263" s="899"/>
      <c r="R263" s="899"/>
      <c r="S263" s="899"/>
      <c r="T263" s="899"/>
      <c r="U263" s="899"/>
      <c r="V263" s="39"/>
      <c r="W263" s="39"/>
      <c r="X263" s="39"/>
      <c r="Y263" s="12"/>
      <c r="Z263" s="453"/>
      <c r="AA263" s="453"/>
      <c r="AB263" s="67"/>
      <c r="AC263" s="995"/>
      <c r="AD263" s="891"/>
      <c r="AE263" s="22" t="str">
        <f t="shared" si="122"/>
        <v>gezondheid bedgebied</v>
      </c>
      <c r="AF263" s="22"/>
      <c r="AG263" s="1445" t="str">
        <f t="shared" si="113"/>
        <v/>
      </c>
      <c r="AH263" s="1449" t="str">
        <f t="shared" si="113"/>
        <v/>
      </c>
      <c r="AI263" s="1415"/>
      <c r="AJ263" s="1445" t="str">
        <f t="shared" si="114"/>
        <v/>
      </c>
      <c r="AK263" s="1442" t="str">
        <f t="shared" si="115"/>
        <v/>
      </c>
      <c r="AL263" s="1449" t="str">
        <f t="shared" si="116"/>
        <v/>
      </c>
      <c r="AM263" s="1420"/>
      <c r="AN263" s="1445" t="str">
        <f t="shared" si="117"/>
        <v/>
      </c>
      <c r="AO263" s="1442" t="str">
        <f t="shared" si="118"/>
        <v/>
      </c>
      <c r="AP263" s="1442" t="str">
        <f t="shared" si="119"/>
        <v/>
      </c>
      <c r="AQ263" s="1420"/>
      <c r="AR263" s="1450" t="str">
        <f t="shared" si="120"/>
        <v/>
      </c>
      <c r="AS263" s="67"/>
      <c r="AT263" s="995"/>
      <c r="AU263" s="12"/>
      <c r="AV263" s="12"/>
      <c r="AW263" s="12"/>
      <c r="AX263" s="12"/>
      <c r="AY263" s="12"/>
      <c r="AZ263" s="12"/>
      <c r="BA263" s="12"/>
      <c r="BB263" s="12"/>
      <c r="BC263" s="12"/>
      <c r="BD263" s="12"/>
      <c r="BE263" s="12"/>
      <c r="BF263" s="12"/>
      <c r="BG263" s="12"/>
      <c r="BH263" s="12"/>
      <c r="BI263" s="13"/>
    </row>
    <row r="264" spans="1:61">
      <c r="A264" s="86"/>
      <c r="B264" s="943"/>
      <c r="C264" s="943"/>
      <c r="D264" s="943"/>
      <c r="E264" s="14"/>
      <c r="F264" s="22" t="s">
        <v>307</v>
      </c>
      <c r="G264" s="214" t="str">
        <f t="shared" si="121"/>
        <v/>
      </c>
      <c r="H264" s="214" t="str">
        <f t="shared" si="121"/>
        <v/>
      </c>
      <c r="I264" s="214" t="str">
        <f t="shared" si="121"/>
        <v/>
      </c>
      <c r="J264" s="214" t="str">
        <f t="shared" si="121"/>
        <v/>
      </c>
      <c r="K264" s="214" t="str">
        <f t="shared" si="121"/>
        <v/>
      </c>
      <c r="L264" s="214" t="str">
        <f t="shared" si="121"/>
        <v/>
      </c>
      <c r="M264" s="214" t="str">
        <f t="shared" si="121"/>
        <v/>
      </c>
      <c r="N264" s="142" t="str">
        <f t="shared" si="112"/>
        <v/>
      </c>
      <c r="O264" s="44"/>
      <c r="P264" s="899"/>
      <c r="Q264" s="899"/>
      <c r="R264" s="899"/>
      <c r="S264" s="899"/>
      <c r="T264" s="899"/>
      <c r="U264" s="899"/>
      <c r="V264" s="39"/>
      <c r="W264" s="39"/>
      <c r="X264" s="39"/>
      <c r="Y264" s="12"/>
      <c r="Z264" s="453"/>
      <c r="AA264" s="453"/>
      <c r="AB264" s="67"/>
      <c r="AC264" s="995"/>
      <c r="AD264" s="891"/>
      <c r="AE264" s="22" t="str">
        <f t="shared" si="122"/>
        <v>winkel</v>
      </c>
      <c r="AF264" s="22"/>
      <c r="AG264" s="1445" t="str">
        <f t="shared" si="113"/>
        <v/>
      </c>
      <c r="AH264" s="1449" t="str">
        <f t="shared" si="113"/>
        <v/>
      </c>
      <c r="AI264" s="1415"/>
      <c r="AJ264" s="1445" t="str">
        <f t="shared" si="114"/>
        <v/>
      </c>
      <c r="AK264" s="1442" t="str">
        <f t="shared" si="115"/>
        <v/>
      </c>
      <c r="AL264" s="1449" t="str">
        <f t="shared" si="116"/>
        <v/>
      </c>
      <c r="AM264" s="1420"/>
      <c r="AN264" s="1445" t="str">
        <f t="shared" si="117"/>
        <v/>
      </c>
      <c r="AO264" s="1442" t="str">
        <f t="shared" si="118"/>
        <v/>
      </c>
      <c r="AP264" s="1442" t="str">
        <f t="shared" si="119"/>
        <v/>
      </c>
      <c r="AQ264" s="1420"/>
      <c r="AR264" s="1450" t="str">
        <f t="shared" si="120"/>
        <v/>
      </c>
      <c r="AS264" s="67"/>
      <c r="AT264" s="995"/>
      <c r="AU264" s="12"/>
      <c r="AV264" s="12"/>
      <c r="AW264" s="12"/>
      <c r="AX264" s="12"/>
      <c r="AY264" s="12"/>
      <c r="AZ264" s="12"/>
      <c r="BA264" s="12"/>
      <c r="BB264" s="12"/>
      <c r="BC264" s="12"/>
      <c r="BD264" s="12"/>
      <c r="BE264" s="12"/>
      <c r="BF264" s="12"/>
      <c r="BG264" s="12"/>
      <c r="BH264" s="12"/>
      <c r="BI264" s="13"/>
    </row>
    <row r="265" spans="1:61">
      <c r="A265" s="86"/>
      <c r="B265" s="943"/>
      <c r="C265" s="943"/>
      <c r="D265" s="943"/>
      <c r="E265" s="14"/>
      <c r="F265" s="22" t="s">
        <v>306</v>
      </c>
      <c r="G265" s="214" t="str">
        <f t="shared" si="121"/>
        <v/>
      </c>
      <c r="H265" s="214" t="str">
        <f t="shared" si="121"/>
        <v/>
      </c>
      <c r="I265" s="214" t="str">
        <f t="shared" si="121"/>
        <v/>
      </c>
      <c r="J265" s="214" t="str">
        <f t="shared" si="121"/>
        <v/>
      </c>
      <c r="K265" s="214" t="str">
        <f t="shared" si="121"/>
        <v/>
      </c>
      <c r="L265" s="214" t="str">
        <f t="shared" si="121"/>
        <v/>
      </c>
      <c r="M265" s="214" t="str">
        <f t="shared" si="121"/>
        <v/>
      </c>
      <c r="N265" s="142" t="str">
        <f t="shared" si="112"/>
        <v/>
      </c>
      <c r="O265" s="44"/>
      <c r="P265" s="899"/>
      <c r="Q265" s="899"/>
      <c r="R265" s="899"/>
      <c r="S265" s="899"/>
      <c r="T265" s="899"/>
      <c r="U265" s="899"/>
      <c r="V265" s="39"/>
      <c r="W265" s="39"/>
      <c r="X265" s="39"/>
      <c r="Y265" s="12"/>
      <c r="Z265" s="453"/>
      <c r="AA265" s="453"/>
      <c r="AB265" s="67"/>
      <c r="AC265" s="995"/>
      <c r="AD265" s="891"/>
      <c r="AE265" s="22" t="str">
        <f t="shared" si="122"/>
        <v>sport</v>
      </c>
      <c r="AF265" s="22"/>
      <c r="AG265" s="1445" t="str">
        <f t="shared" si="113"/>
        <v/>
      </c>
      <c r="AH265" s="1449" t="str">
        <f t="shared" si="113"/>
        <v/>
      </c>
      <c r="AI265" s="1415"/>
      <c r="AJ265" s="1445" t="str">
        <f t="shared" si="114"/>
        <v/>
      </c>
      <c r="AK265" s="1442" t="str">
        <f t="shared" si="115"/>
        <v/>
      </c>
      <c r="AL265" s="1449" t="str">
        <f t="shared" si="116"/>
        <v/>
      </c>
      <c r="AM265" s="1420"/>
      <c r="AN265" s="1445" t="str">
        <f t="shared" si="117"/>
        <v/>
      </c>
      <c r="AO265" s="1442" t="str">
        <f t="shared" si="118"/>
        <v/>
      </c>
      <c r="AP265" s="1442" t="str">
        <f t="shared" si="119"/>
        <v/>
      </c>
      <c r="AQ265" s="1420"/>
      <c r="AR265" s="1450" t="str">
        <f t="shared" si="120"/>
        <v/>
      </c>
      <c r="AS265" s="67"/>
      <c r="AT265" s="995"/>
      <c r="AU265" s="12"/>
      <c r="AV265" s="12"/>
      <c r="AW265" s="12"/>
      <c r="AX265" s="12"/>
      <c r="AY265" s="12"/>
      <c r="AZ265" s="12"/>
      <c r="BA265" s="12"/>
      <c r="BB265" s="12"/>
      <c r="BC265" s="12"/>
      <c r="BD265" s="12"/>
      <c r="BE265" s="12"/>
      <c r="BF265" s="12"/>
      <c r="BG265" s="12"/>
      <c r="BH265" s="12"/>
      <c r="BI265" s="13"/>
    </row>
    <row r="266" spans="1:61">
      <c r="A266" s="86"/>
      <c r="B266" s="943"/>
      <c r="C266" s="943"/>
      <c r="D266" s="943"/>
      <c r="E266" s="14"/>
      <c r="F266" s="22" t="s">
        <v>424</v>
      </c>
      <c r="G266" s="214" t="str">
        <f t="shared" si="121"/>
        <v/>
      </c>
      <c r="H266" s="214" t="str">
        <f t="shared" si="121"/>
        <v/>
      </c>
      <c r="I266" s="214" t="str">
        <f t="shared" si="121"/>
        <v/>
      </c>
      <c r="J266" s="214" t="str">
        <f t="shared" si="121"/>
        <v/>
      </c>
      <c r="K266" s="214" t="str">
        <f t="shared" si="121"/>
        <v/>
      </c>
      <c r="L266" s="214" t="str">
        <f t="shared" si="121"/>
        <v/>
      </c>
      <c r="M266" s="214" t="str">
        <f t="shared" si="121"/>
        <v/>
      </c>
      <c r="N266" s="142" t="str">
        <f t="shared" si="112"/>
        <v/>
      </c>
      <c r="O266" s="44"/>
      <c r="P266" s="899"/>
      <c r="Q266" s="899"/>
      <c r="R266" s="899"/>
      <c r="S266" s="899"/>
      <c r="T266" s="899"/>
      <c r="U266" s="899"/>
      <c r="V266" s="39"/>
      <c r="W266" s="39"/>
      <c r="X266" s="39"/>
      <c r="Y266" s="12"/>
      <c r="Z266" s="453"/>
      <c r="AA266" s="453"/>
      <c r="AB266" s="67"/>
      <c r="AC266" s="995"/>
      <c r="AD266" s="1429"/>
      <c r="AE266" s="22" t="str">
        <f t="shared" si="122"/>
        <v>logies in logiesgebouw</v>
      </c>
      <c r="AF266" s="22"/>
      <c r="AG266" s="1445" t="str">
        <f t="shared" si="113"/>
        <v/>
      </c>
      <c r="AH266" s="1449" t="str">
        <f t="shared" si="113"/>
        <v/>
      </c>
      <c r="AI266" s="1415"/>
      <c r="AJ266" s="1445" t="str">
        <f t="shared" si="114"/>
        <v/>
      </c>
      <c r="AK266" s="1442" t="str">
        <f t="shared" si="115"/>
        <v/>
      </c>
      <c r="AL266" s="1449" t="str">
        <f t="shared" si="116"/>
        <v/>
      </c>
      <c r="AM266" s="1420"/>
      <c r="AN266" s="1445" t="str">
        <f t="shared" si="117"/>
        <v/>
      </c>
      <c r="AO266" s="1442" t="str">
        <f t="shared" si="118"/>
        <v/>
      </c>
      <c r="AP266" s="1442" t="str">
        <f t="shared" si="119"/>
        <v/>
      </c>
      <c r="AQ266" s="1420"/>
      <c r="AR266" s="1450" t="str">
        <f t="shared" si="120"/>
        <v/>
      </c>
      <c r="AS266" s="67"/>
      <c r="AT266" s="995"/>
      <c r="AU266" s="12"/>
      <c r="AV266" s="12"/>
      <c r="AW266" s="12"/>
      <c r="AX266" s="12"/>
      <c r="AY266" s="12"/>
      <c r="AZ266" s="12"/>
      <c r="BA266" s="12"/>
      <c r="BB266" s="12"/>
      <c r="BC266" s="12"/>
      <c r="BD266" s="12"/>
      <c r="BE266" s="12"/>
      <c r="BF266" s="12"/>
      <c r="BG266" s="12"/>
      <c r="BH266" s="12"/>
      <c r="BI266" s="13"/>
    </row>
    <row r="267" spans="1:61">
      <c r="A267" s="86"/>
      <c r="B267" s="943"/>
      <c r="C267" s="943"/>
      <c r="D267" s="943"/>
      <c r="E267" s="14"/>
      <c r="F267" s="22" t="s">
        <v>425</v>
      </c>
      <c r="G267" s="214" t="str">
        <f t="shared" si="121"/>
        <v/>
      </c>
      <c r="H267" s="214" t="str">
        <f t="shared" si="121"/>
        <v/>
      </c>
      <c r="I267" s="214" t="str">
        <f t="shared" si="121"/>
        <v/>
      </c>
      <c r="J267" s="214" t="str">
        <f t="shared" si="121"/>
        <v/>
      </c>
      <c r="K267" s="214" t="str">
        <f t="shared" si="121"/>
        <v/>
      </c>
      <c r="L267" s="214" t="str">
        <f t="shared" si="121"/>
        <v/>
      </c>
      <c r="M267" s="214" t="str">
        <f t="shared" si="121"/>
        <v/>
      </c>
      <c r="N267" s="142" t="str">
        <f t="shared" si="112"/>
        <v/>
      </c>
      <c r="O267" s="44"/>
      <c r="P267" s="899"/>
      <c r="Q267" s="899"/>
      <c r="R267" s="899"/>
      <c r="S267" s="899"/>
      <c r="T267" s="899"/>
      <c r="U267" s="899"/>
      <c r="V267" s="39"/>
      <c r="W267" s="39"/>
      <c r="X267" s="39"/>
      <c r="Y267" s="12"/>
      <c r="Z267" s="453"/>
      <c r="AA267" s="453"/>
      <c r="AB267" s="67"/>
      <c r="AC267" s="995"/>
      <c r="AD267" s="891" t="s">
        <v>396</v>
      </c>
      <c r="AE267" s="22" t="str">
        <f t="shared" si="122"/>
        <v>cel</v>
      </c>
      <c r="AF267" s="22"/>
      <c r="AG267" s="1445" t="str">
        <f t="shared" si="113"/>
        <v/>
      </c>
      <c r="AH267" s="1449" t="str">
        <f t="shared" si="113"/>
        <v/>
      </c>
      <c r="AI267" s="1415"/>
      <c r="AJ267" s="1445" t="str">
        <f t="shared" si="114"/>
        <v/>
      </c>
      <c r="AK267" s="1442" t="str">
        <f t="shared" si="115"/>
        <v/>
      </c>
      <c r="AL267" s="1449" t="str">
        <f t="shared" si="116"/>
        <v/>
      </c>
      <c r="AM267" s="1420"/>
      <c r="AN267" s="1445" t="str">
        <f t="shared" si="117"/>
        <v/>
      </c>
      <c r="AO267" s="1442" t="str">
        <f t="shared" si="118"/>
        <v/>
      </c>
      <c r="AP267" s="1442" t="str">
        <f t="shared" si="119"/>
        <v/>
      </c>
      <c r="AQ267" s="1420"/>
      <c r="AR267" s="1450" t="str">
        <f t="shared" si="120"/>
        <v/>
      </c>
      <c r="AS267" s="67"/>
      <c r="AT267" s="995"/>
      <c r="AU267" s="12"/>
      <c r="AV267" s="12"/>
      <c r="AW267" s="12"/>
      <c r="AX267" s="12"/>
      <c r="AY267" s="12"/>
      <c r="AZ267" s="12"/>
      <c r="BA267" s="12"/>
      <c r="BB267" s="12"/>
      <c r="BC267" s="12"/>
      <c r="BD267" s="12"/>
      <c r="BE267" s="12"/>
      <c r="BF267" s="12"/>
      <c r="BG267" s="12"/>
      <c r="BH267" s="12"/>
      <c r="BI267" s="13"/>
    </row>
    <row r="268" spans="1:61" ht="6.75" customHeight="1">
      <c r="A268" s="86"/>
      <c r="B268" s="943"/>
      <c r="C268" s="943"/>
      <c r="D268" s="943"/>
      <c r="E268" s="14"/>
      <c r="F268" s="43"/>
      <c r="G268" s="55"/>
      <c r="H268" s="55"/>
      <c r="I268" s="53"/>
      <c r="J268" s="55"/>
      <c r="K268" s="56"/>
      <c r="L268" s="148"/>
      <c r="M268" s="54"/>
      <c r="N268" s="16"/>
      <c r="O268" s="44"/>
      <c r="P268" s="899"/>
      <c r="Q268" s="899"/>
      <c r="R268" s="899"/>
      <c r="S268" s="899"/>
      <c r="T268" s="899"/>
      <c r="U268" s="899"/>
      <c r="V268" s="39"/>
      <c r="W268" s="39"/>
      <c r="X268" s="39"/>
      <c r="Y268" s="12"/>
      <c r="Z268" s="453"/>
      <c r="AA268" s="453"/>
      <c r="AB268" s="67"/>
      <c r="AC268" s="995"/>
      <c r="AD268" s="1435"/>
      <c r="AE268" s="43"/>
      <c r="AF268" s="43"/>
      <c r="AG268" s="1418"/>
      <c r="AH268" s="1418"/>
      <c r="AI268" s="1415"/>
      <c r="AJ268" s="1416"/>
      <c r="AK268" s="1419"/>
      <c r="AL268" s="1419"/>
      <c r="AM268" s="1420"/>
      <c r="AN268" s="1416"/>
      <c r="AO268" s="1416"/>
      <c r="AP268" s="1416"/>
      <c r="AQ268" s="1420"/>
      <c r="AR268" s="1416"/>
      <c r="AS268" s="67"/>
      <c r="AT268" s="995"/>
      <c r="AU268" s="12"/>
      <c r="AV268" s="12"/>
      <c r="AW268" s="12"/>
      <c r="AX268" s="12"/>
      <c r="AY268" s="12"/>
      <c r="AZ268" s="12"/>
      <c r="BA268" s="12"/>
      <c r="BB268" s="12"/>
      <c r="BC268" s="12"/>
      <c r="BD268" s="12"/>
      <c r="BE268" s="12"/>
      <c r="BF268" s="12"/>
      <c r="BG268" s="12"/>
      <c r="BH268" s="12"/>
      <c r="BI268" s="13"/>
    </row>
    <row r="269" spans="1:61">
      <c r="A269" s="86"/>
      <c r="B269" s="943" t="s">
        <v>1596</v>
      </c>
      <c r="C269" s="943"/>
      <c r="D269" s="943"/>
      <c r="E269" s="14"/>
      <c r="F269" s="22" t="s">
        <v>1597</v>
      </c>
      <c r="G269" s="214" t="str">
        <f>IFERROR(FIXED(ROUND($Q404*G$233/G$231,G$232),G$232),"")</f>
        <v>0</v>
      </c>
      <c r="H269" s="214" t="str">
        <f>IFERROR(FIXED(ROUND($Q404*H$233/H$231,H$232),H$232),"")</f>
        <v>0</v>
      </c>
      <c r="I269" s="214"/>
      <c r="J269" s="214" t="str">
        <f>IFERROR(FIXED(ROUND($Q404*J$233/J$231,J$232),J$232),"")</f>
        <v>0</v>
      </c>
      <c r="K269" s="214" t="str">
        <f>IFERROR(FIXED(ROUND($Q404*K$233/K$231,K$232),K$232),"")</f>
        <v>0.0</v>
      </c>
      <c r="L269" s="214"/>
      <c r="M269" s="214" t="str">
        <f>IFERROR(FIXED(ROUND($Q404*M$233/M$231,M$232),M$232),"")</f>
        <v>0</v>
      </c>
      <c r="N269" s="142">
        <f>IF($M$58&gt;0,$M$58/$M$58*$J$275,"")</f>
        <v>1</v>
      </c>
      <c r="O269" s="44"/>
      <c r="P269" s="899"/>
      <c r="Q269" s="899"/>
      <c r="R269" s="899"/>
      <c r="S269" s="899"/>
      <c r="T269" s="899"/>
      <c r="U269" s="899"/>
      <c r="V269" s="39"/>
      <c r="W269" s="39"/>
      <c r="X269" s="39"/>
      <c r="Y269" s="12"/>
      <c r="Z269" s="453"/>
      <c r="AA269" s="453"/>
      <c r="AB269" s="67"/>
      <c r="AC269" s="995"/>
      <c r="AD269" s="891" t="s">
        <v>396</v>
      </c>
      <c r="AE269" s="22" t="str">
        <f>F269</f>
        <v>combinatiegebouw</v>
      </c>
      <c r="AF269" s="22"/>
      <c r="AG269" s="1445">
        <f>IF($N269&lt;&gt;"",F385,"")</f>
        <v>4.2922165274118269</v>
      </c>
      <c r="AH269" s="1449">
        <f>IF($N269&lt;&gt;"",G385,"")</f>
        <v>-3.9773319655195288E-2</v>
      </c>
      <c r="AI269" s="1415"/>
      <c r="AJ269" s="1445">
        <f>IFERROR(SUMPRODUCT($G$229:$M$229,$G249:$M249)/N269,"")</f>
        <v>0</v>
      </c>
      <c r="AK269" s="1442">
        <f>IFERROR(IF(N269&lt;&gt;"",$M$273,""),"")</f>
        <v>0</v>
      </c>
      <c r="AL269" s="1449">
        <f>IF(N269&lt;&gt;"",SUM(AJ269,AK269),"")</f>
        <v>0</v>
      </c>
      <c r="AM269" s="1420"/>
      <c r="AN269" s="1445">
        <f>IF($N269&lt;&gt;"",N404,"")</f>
        <v>3.3306690738754696E-16</v>
      </c>
      <c r="AO269" s="1442">
        <f>IF(N269&lt;&gt;"",$J$272,"")</f>
        <v>0</v>
      </c>
      <c r="AP269" s="1449">
        <f>IF($N269&lt;&gt;"",SUM(AN269,AO269),"")</f>
        <v>3.3306690738754696E-16</v>
      </c>
      <c r="AQ269" s="1420"/>
      <c r="AR269" s="1451">
        <f>IF($N269&lt;&gt;"",W404,"")</f>
        <v>9.9532093528295782</v>
      </c>
      <c r="AS269" s="67"/>
      <c r="AT269" s="995"/>
      <c r="AU269" s="12"/>
      <c r="AV269" s="12"/>
      <c r="AW269" s="12"/>
      <c r="AX269" s="12"/>
      <c r="AY269" s="12"/>
      <c r="AZ269" s="12"/>
      <c r="BA269" s="12"/>
      <c r="BB269" s="12"/>
      <c r="BC269" s="12"/>
      <c r="BD269" s="12"/>
      <c r="BE269" s="12"/>
      <c r="BF269" s="12"/>
      <c r="BG269" s="12"/>
      <c r="BH269" s="12"/>
      <c r="BI269" s="13"/>
    </row>
    <row r="270" spans="1:61">
      <c r="A270" s="86"/>
      <c r="B270" s="943"/>
      <c r="C270" s="943"/>
      <c r="D270" s="943"/>
      <c r="E270" s="14"/>
      <c r="F270" s="43"/>
      <c r="G270" s="55"/>
      <c r="H270" s="55"/>
      <c r="I270" s="53"/>
      <c r="J270" s="55"/>
      <c r="K270" s="56"/>
      <c r="L270" s="148"/>
      <c r="M270" s="54"/>
      <c r="N270" s="16"/>
      <c r="O270" s="44"/>
      <c r="P270" s="899"/>
      <c r="Q270" s="899"/>
      <c r="R270" s="899"/>
      <c r="S270" s="899"/>
      <c r="T270" s="899"/>
      <c r="U270" s="899"/>
      <c r="V270" s="39"/>
      <c r="W270" s="39"/>
      <c r="X270" s="39"/>
      <c r="Y270" s="12"/>
      <c r="Z270" s="453"/>
      <c r="AA270" s="453"/>
      <c r="AB270" s="67"/>
      <c r="AC270" s="995"/>
      <c r="AD270" s="1405"/>
      <c r="AE270" s="1405"/>
      <c r="AF270" s="1405"/>
      <c r="AG270" s="1405"/>
      <c r="AH270" s="1405"/>
      <c r="AI270" s="1405"/>
      <c r="AJ270" s="1405"/>
      <c r="AK270" s="1405"/>
      <c r="AL270" s="1405"/>
      <c r="AM270" s="1405"/>
      <c r="AN270" s="1405"/>
      <c r="AO270" s="1405"/>
      <c r="AP270" s="1405"/>
      <c r="AQ270" s="1405"/>
      <c r="AR270" s="1405"/>
      <c r="AS270" s="67"/>
      <c r="AT270" s="995"/>
      <c r="AU270" s="12"/>
      <c r="AV270" s="12"/>
      <c r="AW270" s="12"/>
      <c r="AX270" s="12"/>
      <c r="AY270" s="12"/>
      <c r="AZ270" s="12"/>
      <c r="BA270" s="12"/>
      <c r="BB270" s="12"/>
      <c r="BC270" s="12"/>
      <c r="BD270" s="12"/>
      <c r="BE270" s="12"/>
      <c r="BF270" s="12"/>
      <c r="BG270" s="12"/>
      <c r="BH270" s="12"/>
      <c r="BI270" s="13"/>
    </row>
    <row r="271" spans="1:61">
      <c r="A271" s="139" t="s">
        <v>396</v>
      </c>
      <c r="B271" s="944"/>
      <c r="C271" s="944"/>
      <c r="D271" s="944"/>
      <c r="E271" s="14"/>
      <c r="F271" s="15" t="s">
        <v>1712</v>
      </c>
      <c r="G271" s="44"/>
      <c r="H271" s="44"/>
      <c r="I271" s="44"/>
      <c r="J271" s="44"/>
      <c r="K271" s="44"/>
      <c r="L271" s="44"/>
      <c r="M271" s="39"/>
      <c r="N271" s="39"/>
      <c r="O271" s="901"/>
      <c r="P271" s="901"/>
      <c r="Q271" s="901"/>
      <c r="R271" s="901"/>
      <c r="S271" s="901"/>
      <c r="T271" s="901"/>
      <c r="U271" s="901"/>
      <c r="V271" s="901"/>
      <c r="W271" s="39"/>
      <c r="X271" s="39"/>
      <c r="Y271" s="39"/>
      <c r="Z271" s="39"/>
      <c r="AA271" s="39"/>
      <c r="AB271" s="67"/>
      <c r="AC271" s="995"/>
      <c r="AD271" s="1405"/>
      <c r="AE271" s="1405"/>
      <c r="AF271" s="1405"/>
      <c r="AG271" s="1405"/>
      <c r="AH271" s="1405"/>
      <c r="AI271" s="1405"/>
      <c r="AJ271" s="1405"/>
      <c r="AK271" s="1405"/>
      <c r="AL271" s="1405"/>
      <c r="AM271" s="1405"/>
      <c r="AN271" s="1405"/>
      <c r="AO271" s="1405"/>
      <c r="AP271" s="1405"/>
      <c r="AQ271" s="1405"/>
      <c r="AR271" s="1405"/>
      <c r="AS271" s="67"/>
      <c r="AT271" s="995"/>
      <c r="AU271" s="12"/>
      <c r="AV271" s="12" t="s">
        <v>1662</v>
      </c>
      <c r="AW271" s="12"/>
      <c r="AX271" s="12"/>
      <c r="AY271" s="12"/>
      <c r="AZ271" s="928" t="s">
        <v>513</v>
      </c>
      <c r="BA271" s="929"/>
      <c r="BB271" s="929"/>
      <c r="BC271" s="930"/>
      <c r="BD271" s="1"/>
      <c r="BE271" s="40"/>
      <c r="BF271" s="13"/>
      <c r="BG271" s="13"/>
      <c r="BH271" s="13"/>
      <c r="BI271" s="14"/>
    </row>
    <row r="272" spans="1:61">
      <c r="A272" s="139"/>
      <c r="B272" s="944"/>
      <c r="C272" s="944"/>
      <c r="D272" s="944"/>
      <c r="E272" s="14"/>
      <c r="F272" s="22" t="s">
        <v>1482</v>
      </c>
      <c r="G272" s="22"/>
      <c r="H272" s="22"/>
      <c r="I272" s="44"/>
      <c r="J272" s="420"/>
      <c r="K272" s="47" t="s">
        <v>440</v>
      </c>
      <c r="L272" s="47"/>
      <c r="M272" s="47"/>
      <c r="N272" s="47"/>
      <c r="O272" s="901"/>
      <c r="P272" s="901"/>
      <c r="Q272" s="901"/>
      <c r="R272" s="901"/>
      <c r="S272" s="901"/>
      <c r="T272" s="901"/>
      <c r="U272" s="901"/>
      <c r="V272" s="901"/>
      <c r="W272" s="39"/>
      <c r="X272" s="39"/>
      <c r="Y272" s="39"/>
      <c r="Z272" s="39"/>
      <c r="AA272" s="39"/>
      <c r="AB272" s="67"/>
      <c r="AC272" s="995"/>
      <c r="AD272" s="891" t="s">
        <v>396</v>
      </c>
      <c r="AE272" s="1383" t="str">
        <f>IF(P24=GPR4.3,"score op subthema 'Materiaalprestatie'","score op maatregelgroep 'Milieuprestatie Gebouw (MPG)'")</f>
        <v>score op maatregelgroep 'Milieuprestatie Gebouw (MPG)'</v>
      </c>
      <c r="AF272" s="1383"/>
      <c r="AG272" s="1383"/>
      <c r="AH272" s="1384">
        <f>IFERROR($N$363,"")</f>
        <v>0</v>
      </c>
      <c r="AI272" s="1388"/>
      <c r="AJ272" s="1405"/>
      <c r="AK272" s="1405"/>
      <c r="AL272" s="1405"/>
      <c r="AM272" s="1405"/>
      <c r="AN272" s="1405"/>
      <c r="AO272" s="1405"/>
      <c r="AP272" s="1405"/>
      <c r="AQ272" s="1405"/>
      <c r="AR272" s="1405"/>
      <c r="AS272" s="67"/>
      <c r="AT272" s="995"/>
      <c r="AU272" s="12"/>
      <c r="AV272" s="1060">
        <v>6</v>
      </c>
      <c r="AW272" s="1060">
        <v>10</v>
      </c>
      <c r="AX272" s="12"/>
      <c r="AY272" s="12"/>
      <c r="AZ272" s="935" t="s">
        <v>515</v>
      </c>
      <c r="BA272" s="936">
        <f>1-BA273</f>
        <v>1</v>
      </c>
      <c r="BB272" s="937"/>
      <c r="BC272" s="938"/>
      <c r="BD272" s="1"/>
      <c r="BE272" s="40"/>
      <c r="BF272" s="13"/>
      <c r="BG272" s="13"/>
      <c r="BH272" s="13"/>
      <c r="BI272" s="14"/>
    </row>
    <row r="273" spans="1:61">
      <c r="A273" s="212"/>
      <c r="B273" s="898"/>
      <c r="C273" s="898"/>
      <c r="D273" s="898"/>
      <c r="E273" s="14"/>
      <c r="F273" s="22" t="s">
        <v>1483</v>
      </c>
      <c r="G273" s="22"/>
      <c r="H273" s="22"/>
      <c r="I273" s="44"/>
      <c r="J273" s="25"/>
      <c r="K273" s="47" t="str">
        <f>IF(P24=GPR4.3,"kg CO2 eq/jaar.m2 BVO","kg CO2eq/jaar")</f>
        <v>kg CO2eq/jaar</v>
      </c>
      <c r="L273" s="47"/>
      <c r="M273" s="115">
        <f>IFERROR(IF(P24=GPR4.3,J273,J273/J275),0)</f>
        <v>0</v>
      </c>
      <c r="N273" s="47" t="s">
        <v>1407</v>
      </c>
      <c r="O273" s="901"/>
      <c r="P273" s="901"/>
      <c r="Q273" s="901"/>
      <c r="R273" s="901"/>
      <c r="S273" s="901"/>
      <c r="T273" s="901"/>
      <c r="U273" s="901"/>
      <c r="V273" s="901"/>
      <c r="W273" s="39"/>
      <c r="X273" s="39"/>
      <c r="Y273" s="39"/>
      <c r="Z273" s="39"/>
      <c r="AA273" s="39"/>
      <c r="AB273" s="67"/>
      <c r="AC273" s="995"/>
      <c r="AD273" s="891"/>
      <c r="AE273" s="1389" t="s">
        <v>1710</v>
      </c>
      <c r="AF273" s="1389"/>
      <c r="AG273" s="1696" t="s">
        <v>297</v>
      </c>
      <c r="AH273" s="1697"/>
      <c r="AI273" s="1388"/>
      <c r="AJ273" s="1405"/>
      <c r="AK273" s="1405"/>
      <c r="AL273" s="1405"/>
      <c r="AM273" s="1405"/>
      <c r="AN273" s="1405"/>
      <c r="AO273" s="1405"/>
      <c r="AP273" s="1405"/>
      <c r="AQ273" s="1405"/>
      <c r="AR273" s="1405"/>
      <c r="AS273" s="67"/>
      <c r="AT273" s="995"/>
      <c r="AU273" s="12"/>
      <c r="AV273" s="1060">
        <f>INDEX(MPG_punten_6,MATCH($AG$273,MPG_punten_lijst,0),MATCH($P$24&amp;" | "&amp;$P$25,MPG_punten_6_titels,0))</f>
        <v>0</v>
      </c>
      <c r="AW273" s="1060">
        <f>INDEX(MPG_punten_10,MATCH($AG$273,MPG_punten_lijst,0),MATCH($P$24&amp;" | "&amp;$P$25,MPG_punten_10_titels,0))</f>
        <v>140</v>
      </c>
      <c r="AX273" s="13"/>
      <c r="AY273" s="13"/>
      <c r="AZ273" s="931" t="s">
        <v>514</v>
      </c>
      <c r="BA273" s="932">
        <v>0</v>
      </c>
      <c r="BB273" s="933"/>
      <c r="BC273" s="934"/>
      <c r="BD273" s="13"/>
      <c r="BE273" s="40"/>
      <c r="BF273" s="13"/>
      <c r="BG273" s="13"/>
      <c r="BH273" s="13"/>
      <c r="BI273" s="14"/>
    </row>
    <row r="274" spans="1:61">
      <c r="A274" s="139" t="s">
        <v>396</v>
      </c>
      <c r="B274" s="944"/>
      <c r="C274" s="944"/>
      <c r="D274" s="944"/>
      <c r="E274" s="14"/>
      <c r="F274" s="920" t="s">
        <v>1515</v>
      </c>
      <c r="G274" s="905"/>
      <c r="H274" s="905"/>
      <c r="I274" s="905"/>
      <c r="J274" s="905"/>
      <c r="K274" s="905"/>
      <c r="L274" s="905"/>
      <c r="M274" s="39"/>
      <c r="N274" s="39"/>
      <c r="O274" s="39"/>
      <c r="P274" s="39"/>
      <c r="Q274" s="39"/>
      <c r="R274" s="39"/>
      <c r="S274" s="39"/>
      <c r="T274" s="39"/>
      <c r="U274" s="39"/>
      <c r="V274" s="39"/>
      <c r="W274" s="39"/>
      <c r="X274" s="39"/>
      <c r="Y274" s="39"/>
      <c r="Z274" s="39"/>
      <c r="AA274" s="39"/>
      <c r="AB274" s="67"/>
      <c r="AC274" s="995"/>
      <c r="AD274" s="891" t="s">
        <v>396</v>
      </c>
      <c r="AE274" s="1389" t="s">
        <v>1588</v>
      </c>
      <c r="AF274" s="1389"/>
      <c r="AG274" s="1411"/>
      <c r="AH274" s="1385">
        <f>_xlfn.FORECAST.LINEAR(MIN(10,AH272),AV273:AW273,AV272:AW272)</f>
        <v>-210</v>
      </c>
      <c r="AI274" s="1388"/>
      <c r="AJ274" s="1405"/>
      <c r="AK274" s="1405"/>
      <c r="AL274" s="1405"/>
      <c r="AM274" s="1405"/>
      <c r="AN274" s="1405"/>
      <c r="AO274" s="1405"/>
      <c r="AP274" s="1405"/>
      <c r="AQ274" s="1405"/>
      <c r="AR274" s="1405"/>
      <c r="AS274" s="67"/>
      <c r="AT274" s="995"/>
      <c r="AU274" s="12"/>
      <c r="AV274" s="12"/>
      <c r="AW274" s="12"/>
      <c r="AX274" s="13"/>
      <c r="AY274" s="13"/>
      <c r="AZ274" s="13"/>
      <c r="BA274" s="13"/>
      <c r="BB274" s="12"/>
      <c r="BC274" s="12"/>
      <c r="BD274" s="12"/>
      <c r="BE274" s="40"/>
      <c r="BF274" s="13"/>
      <c r="BG274" s="13"/>
      <c r="BH274" s="13"/>
      <c r="BI274" s="14"/>
    </row>
    <row r="275" spans="1:61">
      <c r="A275" s="139"/>
      <c r="B275" s="944"/>
      <c r="C275" s="944"/>
      <c r="D275" s="944"/>
      <c r="E275" s="14"/>
      <c r="F275" s="22" t="s">
        <v>1481</v>
      </c>
      <c r="G275" s="22"/>
      <c r="H275" s="22"/>
      <c r="I275" s="44"/>
      <c r="J275" s="25">
        <v>1</v>
      </c>
      <c r="K275" s="47" t="s">
        <v>512</v>
      </c>
      <c r="L275" s="47"/>
      <c r="M275" s="47"/>
      <c r="N275" s="47"/>
      <c r="O275" s="39"/>
      <c r="P275" s="39"/>
      <c r="Q275" s="39"/>
      <c r="R275" s="39"/>
      <c r="S275" s="39"/>
      <c r="T275" s="39"/>
      <c r="U275" s="39"/>
      <c r="V275" s="39"/>
      <c r="W275" s="39"/>
      <c r="X275" s="39"/>
      <c r="Y275" s="39"/>
      <c r="Z275" s="39"/>
      <c r="AA275" s="39"/>
      <c r="AB275" s="67"/>
      <c r="AC275" s="995"/>
      <c r="AD275" s="1405"/>
      <c r="AE275" s="1405"/>
      <c r="AF275" s="1405"/>
      <c r="AG275" s="1405"/>
      <c r="AH275" s="1405"/>
      <c r="AI275" s="1405"/>
      <c r="AJ275" s="1405"/>
      <c r="AK275" s="1405"/>
      <c r="AL275" s="1405"/>
      <c r="AM275" s="1405"/>
      <c r="AN275" s="1405"/>
      <c r="AO275" s="1405"/>
      <c r="AP275" s="1405"/>
      <c r="AQ275" s="1405"/>
      <c r="AR275" s="1405"/>
      <c r="AS275" s="67"/>
      <c r="AT275" s="995"/>
      <c r="AU275" s="12"/>
      <c r="AV275" s="12"/>
      <c r="AW275" s="12"/>
      <c r="AX275" s="12"/>
      <c r="AY275" s="12"/>
      <c r="AZ275" s="12"/>
      <c r="BA275" s="13"/>
      <c r="BB275" s="13"/>
      <c r="BC275" s="13"/>
      <c r="BD275" s="13"/>
      <c r="BE275" s="12"/>
      <c r="BF275" s="12"/>
      <c r="BG275" s="12"/>
      <c r="BH275" s="40"/>
      <c r="BI275" s="13"/>
    </row>
    <row r="276" spans="1:61">
      <c r="A276" s="139"/>
      <c r="B276" s="944"/>
      <c r="C276" s="944"/>
      <c r="D276" s="945"/>
      <c r="E276" s="920"/>
      <c r="F276" s="905"/>
      <c r="G276" s="905"/>
      <c r="H276" s="905"/>
      <c r="I276" s="905"/>
      <c r="J276" s="981"/>
      <c r="K276" s="905"/>
      <c r="L276" s="905"/>
      <c r="M276" s="39"/>
      <c r="N276" s="39"/>
      <c r="O276" s="39"/>
      <c r="P276" s="39"/>
      <c r="Q276" s="39"/>
      <c r="R276" s="39"/>
      <c r="S276" s="39"/>
      <c r="T276" s="39"/>
      <c r="U276" s="39"/>
      <c r="V276" s="39"/>
      <c r="W276" s="39"/>
      <c r="X276" s="39"/>
      <c r="Y276" s="12"/>
      <c r="Z276" s="12"/>
      <c r="AA276" s="12"/>
      <c r="AB276" s="920"/>
      <c r="AC276" s="999"/>
      <c r="AD276" s="1405"/>
      <c r="AE276" s="1405"/>
      <c r="AF276" s="1405"/>
      <c r="AG276" s="1405"/>
      <c r="AH276" s="1405"/>
      <c r="AI276" s="1405"/>
      <c r="AJ276" s="1405"/>
      <c r="AK276" s="1405"/>
      <c r="AL276" s="1405"/>
      <c r="AM276" s="1405"/>
      <c r="AN276" s="1405"/>
      <c r="AO276" s="1405"/>
      <c r="AP276" s="1405"/>
      <c r="AQ276" s="1405"/>
      <c r="AR276" s="1405"/>
      <c r="AS276" s="920"/>
      <c r="AT276" s="999"/>
      <c r="AU276" s="12"/>
      <c r="AV276" s="12"/>
      <c r="AW276" s="12"/>
      <c r="AX276" s="12"/>
      <c r="AY276" s="12"/>
      <c r="AZ276" s="12"/>
      <c r="BA276" s="12"/>
      <c r="BB276" s="12"/>
      <c r="BC276" s="12"/>
      <c r="BD276" s="12"/>
      <c r="BE276" s="12"/>
      <c r="BF276" s="12"/>
      <c r="BG276" s="12"/>
      <c r="BH276" s="12"/>
      <c r="BI276" s="12"/>
    </row>
    <row r="277" spans="1:61">
      <c r="E277" s="141" t="str">
        <f>"© W/E adviseurs, Utrecht/Eindhoven, versie rekenhulpmiddelen "&amp;TEXT(Wijzigingsblad!$B$3,"d mmmm jjjj")</f>
        <v>© W/E adviseurs, Utrecht/Eindhoven, versie rekenhulpmiddelen 17 april 2024</v>
      </c>
      <c r="K277" s="30"/>
      <c r="AB277" s="1395"/>
      <c r="AS277" s="1395"/>
    </row>
    <row r="301" spans="1:61" s="1299" customFormat="1" ht="25.5" hidden="1" customHeight="1">
      <c r="A301" s="1289" t="s">
        <v>493</v>
      </c>
      <c r="B301" s="1290"/>
      <c r="C301" s="1290"/>
      <c r="D301" s="1290"/>
      <c r="E301" s="1291"/>
      <c r="F301" s="1292" t="s">
        <v>1640</v>
      </c>
      <c r="G301" s="1293"/>
      <c r="H301" s="1294"/>
      <c r="I301" s="1295"/>
      <c r="J301" s="1293"/>
      <c r="K301" s="1296"/>
      <c r="L301" s="1297"/>
      <c r="M301" s="1291"/>
      <c r="N301" s="1291"/>
      <c r="O301" s="1297"/>
      <c r="P301" s="1297"/>
      <c r="Q301" s="1291"/>
      <c r="R301" s="1291"/>
      <c r="S301" s="1291"/>
      <c r="T301" s="1291"/>
      <c r="U301" s="1291"/>
      <c r="V301" s="1291"/>
      <c r="W301" s="1291"/>
      <c r="X301" s="1291"/>
      <c r="Y301" s="1291"/>
      <c r="Z301" s="1291"/>
      <c r="AA301" s="1291"/>
      <c r="AB301" s="1298"/>
      <c r="AC301" s="1298"/>
      <c r="AD301" s="1437"/>
      <c r="AE301" s="1298"/>
      <c r="AF301" s="1298"/>
      <c r="AG301" s="1298"/>
      <c r="AH301" s="1298"/>
      <c r="AI301" s="1298"/>
      <c r="AJ301" s="1298"/>
      <c r="AK301" s="1298"/>
      <c r="AL301" s="1298"/>
      <c r="AM301" s="1298"/>
      <c r="AN301" s="1298"/>
      <c r="AO301" s="1298"/>
      <c r="AP301" s="1298"/>
      <c r="AQ301" s="1298"/>
      <c r="AR301" s="1298"/>
      <c r="AS301" s="1298"/>
      <c r="AT301" s="1298"/>
      <c r="AU301" s="1298"/>
      <c r="AV301" s="1298"/>
      <c r="AW301" s="1298"/>
      <c r="AX301" s="1298"/>
      <c r="AY301" s="1298"/>
      <c r="AZ301" s="1298"/>
      <c r="BA301" s="1298"/>
      <c r="BB301" s="1298"/>
      <c r="BC301" s="1298"/>
      <c r="BD301" s="1298"/>
      <c r="BE301" s="1298"/>
      <c r="BF301" s="1298"/>
      <c r="BG301" s="1298"/>
      <c r="BH301" s="1298"/>
      <c r="BI301" s="1298"/>
    </row>
    <row r="302" spans="1:61" hidden="1">
      <c r="A302" s="212" t="s">
        <v>493</v>
      </c>
      <c r="B302" s="943"/>
      <c r="C302" s="943"/>
      <c r="D302" s="943"/>
      <c r="E302" s="1244"/>
      <c r="F302" s="1245"/>
      <c r="G302" s="1244"/>
      <c r="H302" s="1244"/>
      <c r="I302" s="1244"/>
      <c r="J302" s="1244"/>
      <c r="K302" s="1244"/>
      <c r="L302" s="1244"/>
      <c r="M302" s="1244"/>
      <c r="N302" s="1244"/>
      <c r="O302" s="1244"/>
      <c r="P302" s="1244"/>
      <c r="Q302" s="1244"/>
      <c r="R302" s="1244"/>
      <c r="S302" s="1244"/>
      <c r="T302" s="1244"/>
      <c r="U302" s="1244"/>
      <c r="V302" s="1244"/>
      <c r="W302" s="1244"/>
      <c r="X302" s="1244"/>
      <c r="Y302" s="1244"/>
      <c r="Z302" s="1244"/>
      <c r="AA302" s="1244"/>
      <c r="AB302" s="16"/>
      <c r="AC302" s="995"/>
      <c r="AD302" s="1428"/>
      <c r="AE302" s="1406"/>
      <c r="AF302" s="1406"/>
      <c r="AG302" s="1406"/>
      <c r="AH302" s="1406"/>
      <c r="AI302" s="1406"/>
      <c r="AJ302" s="1406"/>
      <c r="AK302" s="1406"/>
      <c r="AL302" s="1407"/>
      <c r="AM302" s="1407"/>
      <c r="AN302" s="995"/>
      <c r="AO302" s="995"/>
      <c r="AP302" s="995"/>
      <c r="AQ302" s="995"/>
      <c r="AR302" s="995"/>
      <c r="AS302" s="16"/>
      <c r="AT302" s="995"/>
      <c r="AU302" s="995"/>
      <c r="AV302" s="995"/>
      <c r="AW302" s="995"/>
      <c r="AX302" s="995"/>
      <c r="AY302" s="995"/>
      <c r="AZ302" s="995"/>
      <c r="BA302" s="995"/>
      <c r="BB302" s="995"/>
      <c r="BC302" s="995"/>
      <c r="BD302" s="995"/>
      <c r="BE302" s="995"/>
      <c r="BF302" s="995"/>
      <c r="BG302" s="995"/>
      <c r="BH302" s="995"/>
      <c r="BI302" s="995"/>
    </row>
    <row r="303" spans="1:61" ht="21" hidden="1">
      <c r="A303" s="212" t="s">
        <v>493</v>
      </c>
      <c r="C303" s="1163"/>
      <c r="E303" s="1246" t="s">
        <v>396</v>
      </c>
      <c r="F303" s="1171" t="str">
        <f>"Primaire energie bij bronmethode "&amp;EP_bronmethode</f>
        <v>Primaire energie bij bronmethode GPR 4.4 | NTA 8800</v>
      </c>
      <c r="G303" s="906"/>
      <c r="H303" s="1247"/>
      <c r="I303" s="1247"/>
      <c r="J303" s="1247"/>
      <c r="K303" s="1248"/>
      <c r="L303" s="1248"/>
      <c r="M303" s="1248"/>
      <c r="N303" s="1248"/>
      <c r="O303" s="1247"/>
      <c r="P303" s="1247"/>
      <c r="Q303" s="1247"/>
      <c r="R303" s="1247"/>
      <c r="S303" s="1171" t="str">
        <f>"Primaire energie bij doelmethode "&amp;EP_doelmethode</f>
        <v>Primaire energie bij doelmethode GPR 4.4 | NTA 8800</v>
      </c>
      <c r="T303" s="1247"/>
      <c r="U303" s="1247"/>
      <c r="V303" s="1248"/>
      <c r="W303" s="1248"/>
      <c r="X303" s="1248"/>
      <c r="Y303" s="1248"/>
      <c r="Z303" s="1175"/>
      <c r="AA303" s="1175"/>
      <c r="AB303" s="1396"/>
      <c r="AS303" s="1396"/>
    </row>
    <row r="304" spans="1:61" s="211" customFormat="1" ht="64" hidden="1">
      <c r="A304" s="212" t="s">
        <v>493</v>
      </c>
      <c r="B304" s="1163"/>
      <c r="C304" s="1164" t="s">
        <v>1638</v>
      </c>
      <c r="D304" s="1163"/>
      <c r="E304" s="1249"/>
      <c r="F304" s="1250" t="s">
        <v>523</v>
      </c>
      <c r="G304" s="1250" t="s">
        <v>524</v>
      </c>
      <c r="H304" s="1250" t="s">
        <v>525</v>
      </c>
      <c r="I304" s="1250"/>
      <c r="J304" s="1250" t="s">
        <v>526</v>
      </c>
      <c r="K304" s="1250" t="s">
        <v>527</v>
      </c>
      <c r="L304" s="1250"/>
      <c r="M304" s="1250" t="s">
        <v>528</v>
      </c>
      <c r="N304" s="1250" t="s">
        <v>529</v>
      </c>
      <c r="O304" s="1250"/>
      <c r="P304" s="1250" t="s">
        <v>530</v>
      </c>
      <c r="Q304" s="1249"/>
      <c r="R304" s="1249"/>
      <c r="S304" s="1250" t="s">
        <v>526</v>
      </c>
      <c r="T304" s="1250" t="s">
        <v>523</v>
      </c>
      <c r="U304" s="1250"/>
      <c r="V304" s="1250" t="s">
        <v>524</v>
      </c>
      <c r="W304" s="1250" t="s">
        <v>525</v>
      </c>
      <c r="X304" s="1250" t="s">
        <v>527</v>
      </c>
      <c r="Y304" s="1250"/>
      <c r="Z304" s="1250" t="s">
        <v>528</v>
      </c>
      <c r="AA304" s="1250" t="s">
        <v>530</v>
      </c>
      <c r="AB304" s="1397"/>
      <c r="AD304" s="1438"/>
      <c r="AE304" s="1423"/>
      <c r="AF304" s="1423"/>
      <c r="AG304" s="1423"/>
      <c r="AH304" s="1423"/>
      <c r="AI304" s="1423"/>
      <c r="AJ304" s="1423"/>
      <c r="AK304" s="1423"/>
      <c r="AL304" s="1424"/>
      <c r="AM304" s="1424"/>
      <c r="AS304" s="1397"/>
    </row>
    <row r="305" spans="1:45" hidden="1">
      <c r="A305" s="212" t="s">
        <v>493</v>
      </c>
      <c r="C305" s="1164" t="s">
        <v>204</v>
      </c>
      <c r="E305" s="1247"/>
      <c r="F305" s="1328" t="str">
        <f>INDEX(EP_Methode_BRON_per_GPR_Versie_Eenheid,MATCH(EP_bronmethode,GPR_Versie_En_EP_Methode,0))&amp;"/m2 Ag"</f>
        <v>kWh/m2 Ag</v>
      </c>
      <c r="G305" s="1328" t="str">
        <f>INDEX(EP_Methode_BRON_per_GPR_Versie_Eenheid,MATCH(EP_bronmethode,GPR_Versie_En_EP_Methode,0))&amp;"/m2 Ag"</f>
        <v>kWh/m2 Ag</v>
      </c>
      <c r="H305" s="1328" t="s">
        <v>132</v>
      </c>
      <c r="I305" s="1328"/>
      <c r="J305" s="1328" t="s">
        <v>132</v>
      </c>
      <c r="K305" s="1328" t="str">
        <f>INDEX(EP_Methode_BRON_per_GPR_Versie_Eenheid,MATCH(EP_bronmethode,GPR_Versie_En_EP_Methode,0))&amp;"/m2 Ag"</f>
        <v>kWh/m2 Ag</v>
      </c>
      <c r="L305" s="1328"/>
      <c r="M305" s="1328" t="str">
        <f>INDEX(EP_Methode_BRON_per_GPR_Versie_Eenheid,MATCH(EP_bronmethode,GPR_Versie_En_EP_Methode,0))</f>
        <v>kWh</v>
      </c>
      <c r="N305" s="1329" t="s">
        <v>132</v>
      </c>
      <c r="O305" s="1329"/>
      <c r="P305" s="1328" t="s">
        <v>132</v>
      </c>
      <c r="Q305" s="1330"/>
      <c r="R305" s="1330"/>
      <c r="S305" s="1328" t="s">
        <v>132</v>
      </c>
      <c r="T305" s="1328" t="str">
        <f>INDEX(EP_Methode_BRON_per_GPR_Versie_Eenheid,MATCH(EP_doelmethode,GPR_Versie_En_EP_Methode,0))&amp;"/m2 Ag"</f>
        <v>kWh/m2 Ag</v>
      </c>
      <c r="U305" s="1328"/>
      <c r="V305" s="1328" t="str">
        <f>INDEX(EP_Methode_BRON_per_GPR_Versie_Eenheid,MATCH(EP_doelmethode,GPR_Versie_En_EP_Methode,0))&amp;"/m2 Ag"</f>
        <v>kWh/m2 Ag</v>
      </c>
      <c r="W305" s="1328" t="s">
        <v>132</v>
      </c>
      <c r="X305" s="1328" t="str">
        <f>INDEX(EP_Methode_BRON_per_GPR_Versie_Eenheid,MATCH(EP_doelmethode,GPR_Versie_En_EP_Methode,0))&amp;"/m2 Ag"</f>
        <v>kWh/m2 Ag</v>
      </c>
      <c r="Y305" s="1328"/>
      <c r="Z305" s="1328" t="str">
        <f>INDEX(EP_Methode_BRON_per_GPR_Versie_Eenheid,MATCH(EP_doelmethode,GPR_Versie_En_EP_Methode,0))</f>
        <v>kWh</v>
      </c>
      <c r="AA305" s="1328" t="s">
        <v>132</v>
      </c>
      <c r="AB305" s="148"/>
      <c r="AS305" s="148"/>
    </row>
    <row r="306" spans="1:45" s="211" customFormat="1" hidden="1">
      <c r="A306" s="212" t="s">
        <v>493</v>
      </c>
      <c r="B306" s="1163"/>
      <c r="C306" s="1164" t="s">
        <v>1639</v>
      </c>
      <c r="D306" s="1163"/>
      <c r="E306" s="1252"/>
      <c r="F306" s="1165" t="s">
        <v>1410</v>
      </c>
      <c r="G306" s="1253"/>
      <c r="H306" s="1252"/>
      <c r="I306" s="1252"/>
      <c r="J306" s="1252"/>
      <c r="K306" s="1166" t="s">
        <v>1415</v>
      </c>
      <c r="L306" s="1689" t="s">
        <v>1413</v>
      </c>
      <c r="M306" s="1690"/>
      <c r="N306" s="1252"/>
      <c r="O306" s="1252"/>
      <c r="P306" s="1254" t="s">
        <v>1412</v>
      </c>
      <c r="Q306" s="1252"/>
      <c r="R306" s="1252"/>
      <c r="S306" s="1165" t="s">
        <v>1414</v>
      </c>
      <c r="T306" s="1252"/>
      <c r="U306" s="1252"/>
      <c r="V306" s="1252"/>
      <c r="W306" s="1252"/>
      <c r="X306" s="1166" t="s">
        <v>1416</v>
      </c>
      <c r="Y306" s="1689" t="s">
        <v>1417</v>
      </c>
      <c r="Z306" s="1690"/>
      <c r="AA306" s="1254" t="s">
        <v>1412</v>
      </c>
      <c r="AB306" s="1398"/>
      <c r="AD306" s="1438"/>
      <c r="AE306" s="1423"/>
      <c r="AF306" s="1423"/>
      <c r="AG306" s="1423"/>
      <c r="AH306" s="1423"/>
      <c r="AI306" s="1423"/>
      <c r="AJ306" s="1423"/>
      <c r="AK306" s="1423"/>
      <c r="AL306" s="1424"/>
      <c r="AM306" s="1424"/>
      <c r="AS306" s="1398"/>
    </row>
    <row r="307" spans="1:45" hidden="1">
      <c r="A307" s="212" t="s">
        <v>493</v>
      </c>
      <c r="C307" s="1164" t="str">
        <f t="shared" ref="C307:C318" si="123">F44</f>
        <v>woning</v>
      </c>
      <c r="E307" s="1248"/>
      <c r="F307" s="1255">
        <f t="shared" ref="F307:F318" si="124">INDEX(Prim_Energie_GPR_Score_6,MATCH($F44,Gebruiksfuncties,0),MATCH(EP_bronmethode,GPR_Versie_En_EP_Methode,0))</f>
        <v>117</v>
      </c>
      <c r="G307" s="1256">
        <f t="shared" ref="G307:G318" si="125">INDEX(Prim_Energie_GPR_Score_10,MATCH($F44,Gebruiksfuncties,0),MATCH(EP_bronmethode,GPR_Versie_En_EP_Methode,0))</f>
        <v>-33.35</v>
      </c>
      <c r="H307" s="1257">
        <f>(LN(6/10)/(F307-G307))</f>
        <v>-3.3975764799866362E-3</v>
      </c>
      <c r="I307" s="1257"/>
      <c r="J307" s="1258">
        <f t="shared" ref="J307:J318" si="126">J$320</f>
        <v>9.4731158336000014</v>
      </c>
      <c r="K307" s="1255">
        <f t="shared" ref="K307:K318" si="127">IFERROR(LN(J307/10)/H307+G307,"")</f>
        <v>-17.418874172185433</v>
      </c>
      <c r="L307" s="1255"/>
      <c r="M307" s="1259">
        <f t="shared" ref="M307:M318" si="128">K307*$M44</f>
        <v>0</v>
      </c>
      <c r="N307" s="1260">
        <f t="shared" ref="N307:N318" si="129">IF(M$320=0,0,M307/M$320)</f>
        <v>0</v>
      </c>
      <c r="O307" s="1260"/>
      <c r="P307" s="1261">
        <f t="shared" ref="P307:P318" si="130">10*EXP(H307*(K307-G307))</f>
        <v>9.4731158336000014</v>
      </c>
      <c r="Q307" s="1248"/>
      <c r="R307" s="1248"/>
      <c r="S307" s="1262">
        <f t="shared" ref="S307:S318" si="131">J$320</f>
        <v>9.4731158336000014</v>
      </c>
      <c r="T307" s="1251">
        <f t="shared" ref="T307:T318" si="132">INDEX(Prim_Energie_GPR_Score_6,MATCH($F44,Gebruiksfuncties,0),MATCH(EP_doelmethode,GPR_Versie_En_EP_Methode,0))</f>
        <v>117</v>
      </c>
      <c r="U307" s="1251"/>
      <c r="V307" s="1263">
        <f t="shared" ref="V307:V318" si="133">INDEX(Prim_Energie_GPR_Score_10,MATCH($F44,Gebruiksfuncties,0),MATCH(EP_doelmethode,GPR_Versie_En_EP_Methode,0))</f>
        <v>-33.35</v>
      </c>
      <c r="W307" s="1257">
        <f t="shared" ref="W307:W318" si="134">(LN(6/10)/(T307-V307))</f>
        <v>-3.3975764799866362E-3</v>
      </c>
      <c r="X307" s="1264">
        <f t="shared" ref="X307:X318" si="135">IFERROR(LN(S307/10)/W307+V307,"")</f>
        <v>-17.418874172185433</v>
      </c>
      <c r="Y307" s="1265"/>
      <c r="Z307" s="1266">
        <f t="shared" ref="Z307:Z318" si="136">X307*$M44</f>
        <v>0</v>
      </c>
      <c r="AA307" s="1258">
        <f t="shared" ref="AA307:AA318" si="137">10*EXP(W307*(X307-V307))</f>
        <v>9.4731158336000014</v>
      </c>
      <c r="AB307" s="1399"/>
      <c r="AS307" s="1399"/>
    </row>
    <row r="308" spans="1:45" hidden="1">
      <c r="A308" s="212" t="s">
        <v>493</v>
      </c>
      <c r="C308" s="1164" t="str">
        <f t="shared" si="123"/>
        <v>woongebouw</v>
      </c>
      <c r="E308" s="1248"/>
      <c r="F308" s="1267">
        <f t="shared" si="124"/>
        <v>117</v>
      </c>
      <c r="G308" s="1268">
        <f t="shared" si="125"/>
        <v>-33.35</v>
      </c>
      <c r="H308" s="1257">
        <f t="shared" ref="H308:H318" si="138">(LN(6/10)/(F308-G308))</f>
        <v>-3.3975764799866362E-3</v>
      </c>
      <c r="I308" s="1257"/>
      <c r="J308" s="1258">
        <f t="shared" si="126"/>
        <v>9.4731158336000014</v>
      </c>
      <c r="K308" s="1267">
        <f t="shared" si="127"/>
        <v>-17.418874172185433</v>
      </c>
      <c r="L308" s="1267"/>
      <c r="M308" s="1269">
        <f t="shared" si="128"/>
        <v>0</v>
      </c>
      <c r="N308" s="1260">
        <f t="shared" si="129"/>
        <v>0</v>
      </c>
      <c r="O308" s="1260"/>
      <c r="P308" s="1261">
        <f t="shared" si="130"/>
        <v>9.4731158336000014</v>
      </c>
      <c r="Q308" s="1248"/>
      <c r="R308" s="1248"/>
      <c r="S308" s="1270">
        <f t="shared" si="131"/>
        <v>9.4731158336000014</v>
      </c>
      <c r="T308" s="1251">
        <f t="shared" si="132"/>
        <v>117</v>
      </c>
      <c r="U308" s="1251"/>
      <c r="V308" s="1263">
        <f t="shared" si="133"/>
        <v>-33.35</v>
      </c>
      <c r="W308" s="1257">
        <f t="shared" si="134"/>
        <v>-3.3975764799866362E-3</v>
      </c>
      <c r="X308" s="1271">
        <f t="shared" si="135"/>
        <v>-17.418874172185433</v>
      </c>
      <c r="Y308" s="1272"/>
      <c r="Z308" s="1273">
        <f t="shared" si="136"/>
        <v>0</v>
      </c>
      <c r="AA308" s="1258">
        <f t="shared" si="137"/>
        <v>9.4731158336000014</v>
      </c>
      <c r="AB308" s="1399"/>
      <c r="AS308" s="1399"/>
    </row>
    <row r="309" spans="1:45" hidden="1">
      <c r="A309" s="212" t="s">
        <v>493</v>
      </c>
      <c r="C309" s="1164" t="str">
        <f t="shared" si="123"/>
        <v>kantoor</v>
      </c>
      <c r="E309" s="1248"/>
      <c r="F309" s="1267">
        <f t="shared" si="124"/>
        <v>180</v>
      </c>
      <c r="G309" s="1268">
        <f t="shared" si="125"/>
        <v>-50</v>
      </c>
      <c r="H309" s="1257">
        <f t="shared" si="138"/>
        <v>-2.2209809728956117E-3</v>
      </c>
      <c r="I309" s="1257"/>
      <c r="J309" s="1258">
        <f t="shared" si="126"/>
        <v>9.4731158336000014</v>
      </c>
      <c r="K309" s="1267">
        <f t="shared" si="127"/>
        <v>-25.629139072847678</v>
      </c>
      <c r="L309" s="1267"/>
      <c r="M309" s="1269">
        <f t="shared" si="128"/>
        <v>-2562.9139072847679</v>
      </c>
      <c r="N309" s="1260">
        <f t="shared" si="129"/>
        <v>-2817953642048423.5</v>
      </c>
      <c r="O309" s="1260"/>
      <c r="P309" s="1261">
        <f t="shared" si="130"/>
        <v>9.4731158336000014</v>
      </c>
      <c r="Q309" s="1248"/>
      <c r="R309" s="1248"/>
      <c r="S309" s="1270">
        <f t="shared" si="131"/>
        <v>9.4731158336000014</v>
      </c>
      <c r="T309" s="1251">
        <f t="shared" si="132"/>
        <v>180</v>
      </c>
      <c r="U309" s="1251"/>
      <c r="V309" s="1263">
        <f t="shared" si="133"/>
        <v>-50</v>
      </c>
      <c r="W309" s="1257">
        <f t="shared" si="134"/>
        <v>-2.2209809728956117E-3</v>
      </c>
      <c r="X309" s="1271">
        <f t="shared" si="135"/>
        <v>-25.629139072847678</v>
      </c>
      <c r="Y309" s="1272"/>
      <c r="Z309" s="1273">
        <f t="shared" si="136"/>
        <v>-2562.9139072847679</v>
      </c>
      <c r="AA309" s="1258">
        <f t="shared" si="137"/>
        <v>9.4731158336000014</v>
      </c>
      <c r="AB309" s="1399"/>
      <c r="AS309" s="1399"/>
    </row>
    <row r="310" spans="1:45" hidden="1">
      <c r="A310" s="212" t="s">
        <v>493</v>
      </c>
      <c r="C310" s="1164" t="str">
        <f t="shared" si="123"/>
        <v>bijeenkomst overig</v>
      </c>
      <c r="E310" s="1248"/>
      <c r="F310" s="1267">
        <f t="shared" si="124"/>
        <v>229.99999999999997</v>
      </c>
      <c r="G310" s="1268">
        <f t="shared" si="125"/>
        <v>-15</v>
      </c>
      <c r="H310" s="1257">
        <f t="shared" si="138"/>
        <v>-2.0850025459836358E-3</v>
      </c>
      <c r="I310" s="1257"/>
      <c r="J310" s="1258">
        <f t="shared" si="126"/>
        <v>9.4731158336000014</v>
      </c>
      <c r="K310" s="1267">
        <f t="shared" si="127"/>
        <v>10.960264900662253</v>
      </c>
      <c r="L310" s="1267"/>
      <c r="M310" s="1269">
        <f t="shared" si="128"/>
        <v>1096.0264900662253</v>
      </c>
      <c r="N310" s="1260">
        <f t="shared" si="129"/>
        <v>1205093870178331.3</v>
      </c>
      <c r="O310" s="1260"/>
      <c r="P310" s="1261">
        <f t="shared" si="130"/>
        <v>9.4731158336000014</v>
      </c>
      <c r="Q310" s="1248"/>
      <c r="R310" s="1248"/>
      <c r="S310" s="1270">
        <f t="shared" si="131"/>
        <v>9.4731158336000014</v>
      </c>
      <c r="T310" s="1251">
        <f t="shared" si="132"/>
        <v>229.99999999999997</v>
      </c>
      <c r="U310" s="1251"/>
      <c r="V310" s="1263">
        <f t="shared" si="133"/>
        <v>-15</v>
      </c>
      <c r="W310" s="1257">
        <f t="shared" si="134"/>
        <v>-2.0850025459836358E-3</v>
      </c>
      <c r="X310" s="1271">
        <f t="shared" si="135"/>
        <v>10.960264900662253</v>
      </c>
      <c r="Y310" s="1272"/>
      <c r="Z310" s="1273">
        <f t="shared" si="136"/>
        <v>1096.0264900662253</v>
      </c>
      <c r="AA310" s="1258">
        <f t="shared" si="137"/>
        <v>9.4731158336000014</v>
      </c>
      <c r="AB310" s="1399"/>
      <c r="AS310" s="1399"/>
    </row>
    <row r="311" spans="1:45" hidden="1">
      <c r="A311" s="212" t="s">
        <v>493</v>
      </c>
      <c r="C311" s="1164" t="str">
        <f t="shared" si="123"/>
        <v>bijeenkomst kinderdagverblijf</v>
      </c>
      <c r="E311" s="1248"/>
      <c r="F311" s="1267">
        <f t="shared" si="124"/>
        <v>265</v>
      </c>
      <c r="G311" s="1268">
        <f t="shared" si="125"/>
        <v>-15</v>
      </c>
      <c r="H311" s="1257">
        <f t="shared" si="138"/>
        <v>-1.8243772277356811E-3</v>
      </c>
      <c r="I311" s="1257"/>
      <c r="J311" s="1258">
        <f t="shared" si="126"/>
        <v>9.4731158336000014</v>
      </c>
      <c r="K311" s="1267">
        <f t="shared" si="127"/>
        <v>14.668874172185436</v>
      </c>
      <c r="L311" s="1267"/>
      <c r="M311" s="1269">
        <f t="shared" si="128"/>
        <v>1466.8874172185435</v>
      </c>
      <c r="N311" s="1260">
        <f t="shared" si="129"/>
        <v>1612859771870093.3</v>
      </c>
      <c r="O311" s="1260"/>
      <c r="P311" s="1261">
        <f t="shared" si="130"/>
        <v>9.4731158336000014</v>
      </c>
      <c r="Q311" s="1248"/>
      <c r="R311" s="1248"/>
      <c r="S311" s="1270">
        <f t="shared" si="131"/>
        <v>9.4731158336000014</v>
      </c>
      <c r="T311" s="1251">
        <f t="shared" si="132"/>
        <v>265</v>
      </c>
      <c r="U311" s="1251"/>
      <c r="V311" s="1263">
        <f t="shared" si="133"/>
        <v>-15</v>
      </c>
      <c r="W311" s="1257">
        <f t="shared" si="134"/>
        <v>-1.8243772277356811E-3</v>
      </c>
      <c r="X311" s="1271">
        <f t="shared" si="135"/>
        <v>14.668874172185436</v>
      </c>
      <c r="Y311" s="1272"/>
      <c r="Z311" s="1273">
        <f t="shared" si="136"/>
        <v>1466.8874172185435</v>
      </c>
      <c r="AA311" s="1258">
        <f t="shared" si="137"/>
        <v>9.4731158336000014</v>
      </c>
      <c r="AB311" s="1399"/>
      <c r="AS311" s="1399"/>
    </row>
    <row r="312" spans="1:45" hidden="1">
      <c r="A312" s="212" t="s">
        <v>493</v>
      </c>
      <c r="C312" s="1164" t="str">
        <f t="shared" si="123"/>
        <v>onderwijs</v>
      </c>
      <c r="E312" s="1248"/>
      <c r="F312" s="1267">
        <f t="shared" si="124"/>
        <v>235</v>
      </c>
      <c r="G312" s="1268">
        <f t="shared" si="125"/>
        <v>-25</v>
      </c>
      <c r="H312" s="1257">
        <f t="shared" si="138"/>
        <v>-1.9647139375615027E-3</v>
      </c>
      <c r="I312" s="1257"/>
      <c r="J312" s="1258">
        <f t="shared" si="126"/>
        <v>9.4731158336000014</v>
      </c>
      <c r="K312" s="1267">
        <f t="shared" si="127"/>
        <v>2.5496688741721911</v>
      </c>
      <c r="L312" s="1267"/>
      <c r="M312" s="1269">
        <f t="shared" si="128"/>
        <v>0</v>
      </c>
      <c r="N312" s="1260">
        <f t="shared" si="129"/>
        <v>0</v>
      </c>
      <c r="O312" s="1260"/>
      <c r="P312" s="1261">
        <f t="shared" si="130"/>
        <v>9.4731158336000014</v>
      </c>
      <c r="Q312" s="1248"/>
      <c r="R312" s="1248"/>
      <c r="S312" s="1270">
        <f t="shared" si="131"/>
        <v>9.4731158336000014</v>
      </c>
      <c r="T312" s="1251">
        <f t="shared" si="132"/>
        <v>235</v>
      </c>
      <c r="U312" s="1251"/>
      <c r="V312" s="1263">
        <f t="shared" si="133"/>
        <v>-25</v>
      </c>
      <c r="W312" s="1257">
        <f t="shared" si="134"/>
        <v>-1.9647139375615027E-3</v>
      </c>
      <c r="X312" s="1271">
        <f t="shared" si="135"/>
        <v>2.5496688741721911</v>
      </c>
      <c r="Y312" s="1272"/>
      <c r="Z312" s="1273">
        <f t="shared" si="136"/>
        <v>0</v>
      </c>
      <c r="AA312" s="1258">
        <f t="shared" si="137"/>
        <v>9.4731158336000014</v>
      </c>
      <c r="AB312" s="1399"/>
      <c r="AS312" s="1399"/>
    </row>
    <row r="313" spans="1:45" hidden="1">
      <c r="A313" s="212" t="s">
        <v>493</v>
      </c>
      <c r="C313" s="1164" t="str">
        <f t="shared" si="123"/>
        <v>gezondheid overig</v>
      </c>
      <c r="E313" s="1248"/>
      <c r="F313" s="1267">
        <f t="shared" si="124"/>
        <v>210</v>
      </c>
      <c r="G313" s="1268">
        <f t="shared" si="125"/>
        <v>-40</v>
      </c>
      <c r="H313" s="1257">
        <f t="shared" si="138"/>
        <v>-2.0433024950639628E-3</v>
      </c>
      <c r="I313" s="1257"/>
      <c r="J313" s="1258">
        <f t="shared" si="126"/>
        <v>9.4731158336000014</v>
      </c>
      <c r="K313" s="1267">
        <f t="shared" si="127"/>
        <v>-13.509933774834433</v>
      </c>
      <c r="L313" s="1267"/>
      <c r="M313" s="1269">
        <f t="shared" si="128"/>
        <v>0</v>
      </c>
      <c r="N313" s="1260">
        <f t="shared" si="129"/>
        <v>0</v>
      </c>
      <c r="O313" s="1260"/>
      <c r="P313" s="1261">
        <f t="shared" si="130"/>
        <v>9.4731158336000014</v>
      </c>
      <c r="Q313" s="1248"/>
      <c r="R313" s="1248"/>
      <c r="S313" s="1270">
        <f t="shared" si="131"/>
        <v>9.4731158336000014</v>
      </c>
      <c r="T313" s="1251">
        <f t="shared" si="132"/>
        <v>210</v>
      </c>
      <c r="U313" s="1251"/>
      <c r="V313" s="1263">
        <f t="shared" si="133"/>
        <v>-40</v>
      </c>
      <c r="W313" s="1257">
        <f t="shared" si="134"/>
        <v>-2.0433024950639628E-3</v>
      </c>
      <c r="X313" s="1271">
        <f t="shared" si="135"/>
        <v>-13.509933774834433</v>
      </c>
      <c r="Y313" s="1272"/>
      <c r="Z313" s="1273">
        <f t="shared" si="136"/>
        <v>0</v>
      </c>
      <c r="AA313" s="1258">
        <f t="shared" si="137"/>
        <v>9.4731158336000014</v>
      </c>
      <c r="AB313" s="1399"/>
      <c r="AS313" s="1399"/>
    </row>
    <row r="314" spans="1:45" hidden="1">
      <c r="A314" s="212" t="s">
        <v>493</v>
      </c>
      <c r="C314" s="1164" t="str">
        <f t="shared" si="123"/>
        <v>gezondheid bedgebied</v>
      </c>
      <c r="E314" s="1248"/>
      <c r="F314" s="1267">
        <f t="shared" si="124"/>
        <v>429.99999999999994</v>
      </c>
      <c r="G314" s="1268">
        <f t="shared" si="125"/>
        <v>-50</v>
      </c>
      <c r="H314" s="1257">
        <f t="shared" si="138"/>
        <v>-1.0642200495124808E-3</v>
      </c>
      <c r="I314" s="1257"/>
      <c r="J314" s="1258">
        <f t="shared" si="126"/>
        <v>9.4731158336000014</v>
      </c>
      <c r="K314" s="1267">
        <f t="shared" si="127"/>
        <v>0.86092715231788475</v>
      </c>
      <c r="L314" s="1267"/>
      <c r="M314" s="1269">
        <f t="shared" si="128"/>
        <v>0</v>
      </c>
      <c r="N314" s="1260">
        <f t="shared" si="129"/>
        <v>0</v>
      </c>
      <c r="O314" s="1260"/>
      <c r="P314" s="1261">
        <f t="shared" si="130"/>
        <v>9.4731158336000014</v>
      </c>
      <c r="Q314" s="1248"/>
      <c r="R314" s="1248"/>
      <c r="S314" s="1270">
        <f t="shared" si="131"/>
        <v>9.4731158336000014</v>
      </c>
      <c r="T314" s="1251">
        <f t="shared" si="132"/>
        <v>429.99999999999994</v>
      </c>
      <c r="U314" s="1251"/>
      <c r="V314" s="1263">
        <f t="shared" si="133"/>
        <v>-50</v>
      </c>
      <c r="W314" s="1257">
        <f t="shared" si="134"/>
        <v>-1.0642200495124808E-3</v>
      </c>
      <c r="X314" s="1271">
        <f t="shared" si="135"/>
        <v>0.86092715231788475</v>
      </c>
      <c r="Y314" s="1272"/>
      <c r="Z314" s="1273">
        <f t="shared" si="136"/>
        <v>0</v>
      </c>
      <c r="AA314" s="1258">
        <f t="shared" si="137"/>
        <v>9.4731158336000014</v>
      </c>
      <c r="AB314" s="1399"/>
      <c r="AS314" s="1399"/>
    </row>
    <row r="315" spans="1:45" hidden="1">
      <c r="A315" s="212" t="s">
        <v>493</v>
      </c>
      <c r="C315" s="1164" t="str">
        <f t="shared" si="123"/>
        <v>winkel</v>
      </c>
      <c r="E315" s="1248"/>
      <c r="F315" s="1267">
        <f t="shared" si="124"/>
        <v>285</v>
      </c>
      <c r="G315" s="1268">
        <f t="shared" si="125"/>
        <v>-40</v>
      </c>
      <c r="H315" s="1257">
        <f t="shared" si="138"/>
        <v>-1.5717711500492022E-3</v>
      </c>
      <c r="I315" s="1257"/>
      <c r="J315" s="1258">
        <f t="shared" si="126"/>
        <v>9.4731158336000014</v>
      </c>
      <c r="K315" s="1267">
        <f t="shared" si="127"/>
        <v>-5.5629139072847664</v>
      </c>
      <c r="L315" s="1267"/>
      <c r="M315" s="1269">
        <f t="shared" si="128"/>
        <v>0</v>
      </c>
      <c r="N315" s="1260">
        <f t="shared" si="129"/>
        <v>0</v>
      </c>
      <c r="O315" s="1260"/>
      <c r="P315" s="1261">
        <f t="shared" si="130"/>
        <v>9.4731158336000014</v>
      </c>
      <c r="Q315" s="1248"/>
      <c r="R315" s="1248"/>
      <c r="S315" s="1270">
        <f t="shared" si="131"/>
        <v>9.4731158336000014</v>
      </c>
      <c r="T315" s="1251">
        <f t="shared" si="132"/>
        <v>285</v>
      </c>
      <c r="U315" s="1251"/>
      <c r="V315" s="1263">
        <f t="shared" si="133"/>
        <v>-40</v>
      </c>
      <c r="W315" s="1257">
        <f t="shared" si="134"/>
        <v>-1.5717711500492022E-3</v>
      </c>
      <c r="X315" s="1271">
        <f t="shared" si="135"/>
        <v>-5.5629139072847664</v>
      </c>
      <c r="Y315" s="1272"/>
      <c r="Z315" s="1273">
        <f t="shared" si="136"/>
        <v>0</v>
      </c>
      <c r="AA315" s="1258">
        <f t="shared" si="137"/>
        <v>9.4731158336000014</v>
      </c>
      <c r="AB315" s="1399"/>
      <c r="AS315" s="1399"/>
    </row>
    <row r="316" spans="1:45" hidden="1">
      <c r="A316" s="212" t="s">
        <v>493</v>
      </c>
      <c r="C316" s="1164" t="str">
        <f t="shared" si="123"/>
        <v>sport</v>
      </c>
      <c r="E316" s="1248"/>
      <c r="F316" s="1267">
        <f t="shared" si="124"/>
        <v>155</v>
      </c>
      <c r="G316" s="1268">
        <f t="shared" si="125"/>
        <v>-15</v>
      </c>
      <c r="H316" s="1257">
        <f t="shared" si="138"/>
        <v>-3.0048566103881807E-3</v>
      </c>
      <c r="I316" s="1257"/>
      <c r="J316" s="1258">
        <f t="shared" si="126"/>
        <v>9.4731158336000014</v>
      </c>
      <c r="K316" s="1267">
        <f t="shared" si="127"/>
        <v>3.013245033112586</v>
      </c>
      <c r="L316" s="1267"/>
      <c r="M316" s="1269">
        <f t="shared" si="128"/>
        <v>0</v>
      </c>
      <c r="N316" s="1260">
        <f t="shared" si="129"/>
        <v>0</v>
      </c>
      <c r="O316" s="1260"/>
      <c r="P316" s="1261">
        <f t="shared" si="130"/>
        <v>9.4731158336000014</v>
      </c>
      <c r="Q316" s="1248"/>
      <c r="R316" s="1248"/>
      <c r="S316" s="1270">
        <f t="shared" si="131"/>
        <v>9.4731158336000014</v>
      </c>
      <c r="T316" s="1251">
        <f t="shared" si="132"/>
        <v>155</v>
      </c>
      <c r="U316" s="1251"/>
      <c r="V316" s="1263">
        <f t="shared" si="133"/>
        <v>-15</v>
      </c>
      <c r="W316" s="1257">
        <f t="shared" si="134"/>
        <v>-3.0048566103881807E-3</v>
      </c>
      <c r="X316" s="1271">
        <f t="shared" si="135"/>
        <v>3.013245033112586</v>
      </c>
      <c r="Y316" s="1272"/>
      <c r="Z316" s="1273">
        <f t="shared" si="136"/>
        <v>0</v>
      </c>
      <c r="AA316" s="1258">
        <f t="shared" si="137"/>
        <v>9.4731158336000014</v>
      </c>
      <c r="AB316" s="1399"/>
      <c r="AS316" s="1399"/>
    </row>
    <row r="317" spans="1:45" hidden="1">
      <c r="A317" s="212" t="s">
        <v>493</v>
      </c>
      <c r="C317" s="1164" t="str">
        <f t="shared" si="123"/>
        <v>logies in logiesgebouw</v>
      </c>
      <c r="E317" s="1248"/>
      <c r="F317" s="1267">
        <f t="shared" si="124"/>
        <v>230</v>
      </c>
      <c r="G317" s="1268">
        <f t="shared" si="125"/>
        <v>-25</v>
      </c>
      <c r="H317" s="1257">
        <f t="shared" si="138"/>
        <v>-2.0032377402587872E-3</v>
      </c>
      <c r="I317" s="1257"/>
      <c r="J317" s="1258">
        <f t="shared" si="126"/>
        <v>9.4731158336000014</v>
      </c>
      <c r="K317" s="1267">
        <f t="shared" si="127"/>
        <v>2.0198675496688772</v>
      </c>
      <c r="L317" s="1267"/>
      <c r="M317" s="1269">
        <f t="shared" si="128"/>
        <v>0</v>
      </c>
      <c r="N317" s="1260">
        <f t="shared" si="129"/>
        <v>0</v>
      </c>
      <c r="O317" s="1260"/>
      <c r="P317" s="1261">
        <f t="shared" si="130"/>
        <v>9.4731158336000014</v>
      </c>
      <c r="Q317" s="1248"/>
      <c r="R317" s="1248"/>
      <c r="S317" s="1270">
        <f t="shared" si="131"/>
        <v>9.4731158336000014</v>
      </c>
      <c r="T317" s="1251">
        <f t="shared" si="132"/>
        <v>230</v>
      </c>
      <c r="U317" s="1251"/>
      <c r="V317" s="1263">
        <f t="shared" si="133"/>
        <v>-25</v>
      </c>
      <c r="W317" s="1257">
        <f t="shared" si="134"/>
        <v>-2.0032377402587872E-3</v>
      </c>
      <c r="X317" s="1271">
        <f t="shared" si="135"/>
        <v>2.0198675496688772</v>
      </c>
      <c r="Y317" s="1272"/>
      <c r="Z317" s="1273">
        <f t="shared" si="136"/>
        <v>0</v>
      </c>
      <c r="AA317" s="1258">
        <f t="shared" si="137"/>
        <v>9.4731158336000014</v>
      </c>
      <c r="AB317" s="1399"/>
      <c r="AS317" s="1399"/>
    </row>
    <row r="318" spans="1:45" hidden="1">
      <c r="A318" s="212" t="s">
        <v>493</v>
      </c>
      <c r="C318" s="1164" t="str">
        <f t="shared" si="123"/>
        <v>cel</v>
      </c>
      <c r="E318" s="1248"/>
      <c r="F318" s="1274">
        <f t="shared" si="124"/>
        <v>300</v>
      </c>
      <c r="G318" s="1275">
        <f t="shared" si="125"/>
        <v>-25</v>
      </c>
      <c r="H318" s="1257">
        <f t="shared" si="138"/>
        <v>-1.5717711500492022E-3</v>
      </c>
      <c r="I318" s="1257"/>
      <c r="J318" s="1258">
        <f t="shared" si="126"/>
        <v>9.4731158336000014</v>
      </c>
      <c r="K318" s="1274">
        <f t="shared" si="127"/>
        <v>9.4370860927152336</v>
      </c>
      <c r="L318" s="1274"/>
      <c r="M318" s="1276">
        <f t="shared" si="128"/>
        <v>0</v>
      </c>
      <c r="N318" s="1260">
        <f t="shared" si="129"/>
        <v>0</v>
      </c>
      <c r="O318" s="1260"/>
      <c r="P318" s="1261">
        <f t="shared" si="130"/>
        <v>9.4731158336000014</v>
      </c>
      <c r="Q318" s="1248"/>
      <c r="R318" s="1248"/>
      <c r="S318" s="1277">
        <f t="shared" si="131"/>
        <v>9.4731158336000014</v>
      </c>
      <c r="T318" s="1251">
        <f t="shared" si="132"/>
        <v>300</v>
      </c>
      <c r="U318" s="1251"/>
      <c r="V318" s="1263">
        <f t="shared" si="133"/>
        <v>-25</v>
      </c>
      <c r="W318" s="1257">
        <f t="shared" si="134"/>
        <v>-1.5717711500492022E-3</v>
      </c>
      <c r="X318" s="1278">
        <f t="shared" si="135"/>
        <v>9.4370860927152336</v>
      </c>
      <c r="Y318" s="1279"/>
      <c r="Z318" s="1280">
        <f t="shared" si="136"/>
        <v>0</v>
      </c>
      <c r="AA318" s="1258">
        <f t="shared" si="137"/>
        <v>9.4731158336000014</v>
      </c>
      <c r="AB318" s="1399"/>
      <c r="AS318" s="1399"/>
    </row>
    <row r="319" spans="1:45" hidden="1">
      <c r="A319" s="212" t="s">
        <v>493</v>
      </c>
      <c r="C319" s="1164"/>
      <c r="E319" s="1248"/>
      <c r="F319" s="906" t="s">
        <v>1411</v>
      </c>
      <c r="G319" s="1247"/>
      <c r="H319" s="1247"/>
      <c r="I319" s="1247"/>
      <c r="J319" s="1248"/>
      <c r="K319" s="1248" t="s">
        <v>1412</v>
      </c>
      <c r="L319" s="1248"/>
      <c r="M319" s="1248"/>
      <c r="N319" s="1248"/>
      <c r="O319" s="1248"/>
      <c r="P319" s="1281"/>
      <c r="Q319" s="1248"/>
      <c r="R319" s="1248"/>
      <c r="S319" s="1248"/>
      <c r="T319" s="1247"/>
      <c r="U319" s="1247"/>
      <c r="V319" s="1247"/>
      <c r="W319" s="1247"/>
      <c r="X319" s="1247"/>
      <c r="Y319" s="1247"/>
      <c r="Z319" s="1248"/>
      <c r="AA319" s="1248"/>
      <c r="AB319" s="16"/>
      <c r="AS319" s="16"/>
    </row>
    <row r="320" spans="1:45" hidden="1">
      <c r="A320" s="212" t="s">
        <v>493</v>
      </c>
      <c r="C320" s="1164" t="s">
        <v>1597</v>
      </c>
      <c r="E320" s="1248"/>
      <c r="F320" s="1282">
        <f>IF(SUM($M$44:$M$55)=0,0,SUMPRODUCT($M$44:$M$55,F$307:F$318)/SUM($M$44:$M$55))</f>
        <v>225</v>
      </c>
      <c r="G320" s="1283">
        <f>IF(SUM($M$44:$M$55)=0,0,SUMPRODUCT($M$44:$M$55,G$307:G$318)/SUM($M$44:$M$55))</f>
        <v>-26.666666666666668</v>
      </c>
      <c r="H320" s="1284">
        <f>(LN(6/10)/(F320-G320))</f>
        <v>-2.0297706904608905E-3</v>
      </c>
      <c r="I320" s="1284"/>
      <c r="J320" s="1285">
        <f>IF(F$320-G$320=0,0,10*EXP( (H320) *(J$35-G$320)))</f>
        <v>9.4731158336000014</v>
      </c>
      <c r="K320" s="1258">
        <f>IFERROR(LN(J320/10)/H320+G320,0)</f>
        <v>0</v>
      </c>
      <c r="L320" s="1258"/>
      <c r="M320" s="1286">
        <f>SUM(M307:M318)</f>
        <v>9.0949470177292824E-13</v>
      </c>
      <c r="N320" s="1260">
        <f>SUM(N307:N318)</f>
        <v>1</v>
      </c>
      <c r="O320" s="1260"/>
      <c r="P320" s="1261">
        <f>10*EXP(H320*(K320-G320))</f>
        <v>9.4731158336000014</v>
      </c>
      <c r="Q320" s="1248"/>
      <c r="R320" s="1248"/>
      <c r="S320" s="1258">
        <f>J$320</f>
        <v>9.4731158336000014</v>
      </c>
      <c r="T320" s="1287">
        <f>IF(SUM($M$44:$M$55)=0,0,SUMPRODUCT($M$44:$M$55,T$307:T$318)/SUM($M$44:$M$55))</f>
        <v>225</v>
      </c>
      <c r="U320" s="1287"/>
      <c r="V320" s="1251">
        <f>IF(SUM($M$44:$M$55)=0,0,SUMPRODUCT($M$44:$M$55,V$307:V$318)/SUM($M$44:$M$55))</f>
        <v>-26.666666666666668</v>
      </c>
      <c r="W320" s="1257">
        <f>(LN(6/10)/(T320-V320))</f>
        <v>-2.0297706904608905E-3</v>
      </c>
      <c r="X320" s="1288">
        <f>IFERROR(LN(S320/10)/W320+V320,"")</f>
        <v>0</v>
      </c>
      <c r="Y320" s="1288"/>
      <c r="Z320" s="1286">
        <f>SUM(Z307:Z318)</f>
        <v>9.0949470177292824E-13</v>
      </c>
      <c r="AA320" s="1261">
        <f>10*EXP(W320*(X320-V320))</f>
        <v>9.4731158336000014</v>
      </c>
      <c r="AB320" s="16"/>
      <c r="AS320" s="16"/>
    </row>
    <row r="321" spans="1:61" hidden="1">
      <c r="A321" s="212" t="s">
        <v>493</v>
      </c>
      <c r="B321" s="943"/>
      <c r="C321" s="1092"/>
      <c r="D321" s="943"/>
      <c r="E321" s="1244"/>
      <c r="F321" s="1245"/>
      <c r="G321" s="1244"/>
      <c r="H321" s="1244"/>
      <c r="I321" s="1244"/>
      <c r="J321" s="1244"/>
      <c r="K321" s="1244"/>
      <c r="L321" s="1244"/>
      <c r="M321" s="1244"/>
      <c r="N321" s="1244"/>
      <c r="O321" s="1244"/>
      <c r="P321" s="1244"/>
      <c r="Q321" s="1244"/>
      <c r="R321" s="1244"/>
      <c r="S321" s="1244"/>
      <c r="T321" s="1244"/>
      <c r="U321" s="1244"/>
      <c r="V321" s="1244"/>
      <c r="W321" s="1244"/>
      <c r="X321" s="1244"/>
      <c r="Y321" s="1244"/>
      <c r="Z321" s="1244"/>
      <c r="AA321" s="1244"/>
      <c r="AB321" s="16"/>
      <c r="AC321" s="995"/>
      <c r="AD321" s="1428"/>
      <c r="AE321" s="1406"/>
      <c r="AF321" s="1406"/>
      <c r="AG321" s="1406"/>
      <c r="AH321" s="1406"/>
      <c r="AI321" s="1406"/>
      <c r="AJ321" s="1406"/>
      <c r="AK321" s="1406"/>
      <c r="AL321" s="1407"/>
      <c r="AM321" s="1407"/>
      <c r="AN321" s="995"/>
      <c r="AO321" s="995"/>
      <c r="AP321" s="995"/>
      <c r="AQ321" s="995"/>
      <c r="AR321" s="995"/>
      <c r="AS321" s="16"/>
      <c r="AT321" s="995"/>
      <c r="AU321" s="995"/>
      <c r="AV321" s="995"/>
      <c r="AW321" s="995"/>
      <c r="AX321" s="995"/>
      <c r="AY321" s="995"/>
      <c r="AZ321" s="995"/>
      <c r="BA321" s="995"/>
      <c r="BB321" s="995"/>
      <c r="BC321" s="995"/>
      <c r="BD321" s="995"/>
      <c r="BE321" s="995"/>
      <c r="BF321" s="995"/>
      <c r="BG321" s="995"/>
      <c r="BH321" s="995"/>
      <c r="BI321" s="995"/>
    </row>
    <row r="322" spans="1:61" hidden="1">
      <c r="A322" s="212" t="s">
        <v>493</v>
      </c>
      <c r="B322" s="943"/>
      <c r="C322" s="1092"/>
      <c r="D322" s="943"/>
      <c r="E322" s="1244"/>
      <c r="F322" s="1245"/>
      <c r="G322" s="1244"/>
      <c r="H322" s="1244"/>
      <c r="I322" s="1244"/>
      <c r="J322" s="1244"/>
      <c r="K322" s="1244"/>
      <c r="L322" s="1244"/>
      <c r="M322" s="1244"/>
      <c r="N322" s="1244"/>
      <c r="O322" s="1244"/>
      <c r="P322" s="1244"/>
      <c r="Q322" s="1244"/>
      <c r="R322" s="1244"/>
      <c r="S322" s="1244"/>
      <c r="T322" s="1244"/>
      <c r="U322" s="1244"/>
      <c r="V322" s="1244"/>
      <c r="W322" s="1244"/>
      <c r="X322" s="1244"/>
      <c r="Y322" s="1244"/>
      <c r="Z322" s="1244"/>
      <c r="AA322" s="1244"/>
      <c r="AB322" s="16"/>
      <c r="AC322" s="995"/>
      <c r="AD322" s="1428"/>
      <c r="AE322" s="1406"/>
      <c r="AF322" s="1406"/>
      <c r="AG322" s="1406"/>
      <c r="AH322" s="1406"/>
      <c r="AI322" s="1406"/>
      <c r="AJ322" s="1406"/>
      <c r="AK322" s="1406"/>
      <c r="AL322" s="1407"/>
      <c r="AM322" s="1407"/>
      <c r="AN322" s="995"/>
      <c r="AO322" s="995"/>
      <c r="AP322" s="995"/>
      <c r="AQ322" s="995"/>
      <c r="AR322" s="995"/>
      <c r="AS322" s="16"/>
      <c r="AT322" s="995"/>
      <c r="AU322" s="995"/>
      <c r="AV322" s="995"/>
      <c r="AW322" s="995"/>
      <c r="AX322" s="995"/>
      <c r="AY322" s="995"/>
      <c r="AZ322" s="995"/>
      <c r="BA322" s="995"/>
      <c r="BB322" s="995"/>
      <c r="BC322" s="995"/>
      <c r="BD322" s="995"/>
      <c r="BE322" s="995"/>
      <c r="BF322" s="995"/>
      <c r="BG322" s="995"/>
      <c r="BH322" s="995"/>
      <c r="BI322" s="995"/>
    </row>
    <row r="323" spans="1:61" s="1309" customFormat="1" ht="25.5" hidden="1" customHeight="1">
      <c r="A323" s="212" t="s">
        <v>493</v>
      </c>
      <c r="B323" s="1300"/>
      <c r="C323" s="1301"/>
      <c r="D323" s="1300"/>
      <c r="E323" s="1302"/>
      <c r="F323" s="1303" t="s">
        <v>1643</v>
      </c>
      <c r="G323" s="1304"/>
      <c r="H323" s="1305"/>
      <c r="I323" s="1306"/>
      <c r="J323" s="1304"/>
      <c r="K323" s="1307"/>
      <c r="L323" s="1308"/>
      <c r="M323" s="1303"/>
      <c r="N323" s="1303"/>
      <c r="O323" s="1308"/>
      <c r="P323" s="1308"/>
      <c r="Q323" s="1303"/>
      <c r="R323" s="1303"/>
      <c r="S323" s="1303"/>
      <c r="T323" s="1302"/>
      <c r="U323" s="1302"/>
      <c r="V323" s="1302"/>
      <c r="W323" s="1302"/>
      <c r="X323" s="1302"/>
      <c r="Y323" s="1302"/>
      <c r="Z323" s="1302"/>
      <c r="AA323" s="1302"/>
      <c r="AB323" s="1302"/>
      <c r="AC323" s="1302"/>
      <c r="AD323" s="1323"/>
      <c r="AE323" s="1317"/>
      <c r="AF323" s="1317"/>
      <c r="AG323" s="1317"/>
      <c r="AH323" s="1317"/>
      <c r="AI323" s="1317"/>
      <c r="AJ323" s="1317"/>
      <c r="AK323" s="1317"/>
      <c r="AL323" s="1317"/>
      <c r="AM323" s="1317"/>
      <c r="AN323" s="1302"/>
      <c r="AO323" s="1302"/>
      <c r="AP323" s="1302"/>
      <c r="AQ323" s="1302"/>
      <c r="AR323" s="1302"/>
      <c r="AS323" s="1302"/>
      <c r="AT323" s="1302"/>
      <c r="AU323" s="1302"/>
      <c r="AV323" s="1302"/>
      <c r="AW323" s="1302"/>
      <c r="AX323" s="1302"/>
      <c r="AY323" s="1302"/>
      <c r="AZ323" s="1302"/>
      <c r="BA323" s="1302"/>
      <c r="BB323" s="1302"/>
      <c r="BC323" s="1302"/>
      <c r="BD323" s="1302"/>
      <c r="BE323" s="1302"/>
      <c r="BF323" s="1302"/>
      <c r="BG323" s="1302"/>
      <c r="BH323" s="1302"/>
      <c r="BI323" s="1302"/>
    </row>
    <row r="324" spans="1:61" hidden="1">
      <c r="A324" s="212" t="s">
        <v>493</v>
      </c>
      <c r="B324" s="943"/>
      <c r="C324" s="1092"/>
      <c r="D324" s="943"/>
      <c r="E324" s="14"/>
      <c r="F324" s="1226"/>
      <c r="G324" s="1227"/>
      <c r="H324" s="1227"/>
      <c r="I324" s="1227"/>
      <c r="J324" s="1227"/>
      <c r="K324" s="1227"/>
      <c r="L324" s="1227"/>
      <c r="M324" s="1227"/>
      <c r="N324" s="1227"/>
      <c r="O324" s="1227"/>
      <c r="P324" s="1227"/>
      <c r="Q324" s="1227"/>
      <c r="R324" s="1227"/>
      <c r="S324" s="1227"/>
      <c r="T324" s="1175"/>
      <c r="U324" s="1175"/>
      <c r="V324" s="1175"/>
      <c r="W324" s="1175"/>
      <c r="X324" s="1175"/>
      <c r="Y324" s="1175"/>
      <c r="Z324" s="1175"/>
      <c r="AA324" s="1175"/>
      <c r="AB324" s="1396"/>
      <c r="AC324" s="995"/>
      <c r="AD324" s="1428"/>
      <c r="AE324" s="1406"/>
      <c r="AF324" s="1406"/>
      <c r="AG324" s="1406"/>
      <c r="AH324" s="1406"/>
      <c r="AI324" s="1406"/>
      <c r="AJ324" s="1406"/>
      <c r="AK324" s="1406"/>
      <c r="AL324" s="1407"/>
      <c r="AM324" s="1407"/>
      <c r="AN324" s="995"/>
      <c r="AO324" s="995"/>
      <c r="AP324" s="995"/>
      <c r="AQ324" s="995"/>
      <c r="AR324" s="995"/>
      <c r="AS324" s="1396"/>
      <c r="AT324" s="995"/>
      <c r="AU324" s="995"/>
      <c r="AV324" s="995"/>
      <c r="AW324" s="995"/>
      <c r="AX324" s="995"/>
      <c r="AY324" s="995"/>
      <c r="AZ324" s="995"/>
      <c r="BA324" s="995"/>
      <c r="BB324" s="995"/>
      <c r="BC324" s="995"/>
      <c r="BD324" s="995"/>
      <c r="BE324" s="995"/>
      <c r="BF324" s="995"/>
      <c r="BG324" s="995"/>
      <c r="BH324" s="995"/>
      <c r="BI324" s="995"/>
    </row>
    <row r="325" spans="1:61" hidden="1">
      <c r="A325" s="212" t="s">
        <v>493</v>
      </c>
      <c r="E325" s="14"/>
      <c r="F325" s="1228" t="str">
        <f>"CO2 bij bronmethode "&amp;EP_bronmethode</f>
        <v>CO2 bij bronmethode GPR 4.4 | NTA 8800</v>
      </c>
      <c r="G325" s="1229"/>
      <c r="H325" s="1229"/>
      <c r="I325" s="1229"/>
      <c r="J325" s="1228"/>
      <c r="K325" s="1230" t="s">
        <v>518</v>
      </c>
      <c r="L325" s="1230"/>
      <c r="M325" s="1228" t="str">
        <f>"CO2 bij doelmethode "&amp;EP_doelmethode</f>
        <v>CO2 bij doelmethode GPR 4.4 | NTA 8800</v>
      </c>
      <c r="N325" s="1229"/>
      <c r="O325" s="1229"/>
      <c r="P325" s="1229"/>
      <c r="Q325" s="1228"/>
      <c r="R325" s="1228"/>
      <c r="S325" s="1230" t="s">
        <v>518</v>
      </c>
      <c r="T325" s="1175"/>
      <c r="U325" s="1175"/>
      <c r="V325" s="1175"/>
      <c r="W325" s="1175"/>
      <c r="X325" s="1175"/>
      <c r="Y325" s="1175"/>
      <c r="Z325" s="1175"/>
      <c r="AA325" s="1175"/>
      <c r="AB325" s="1396"/>
      <c r="AS325" s="1396"/>
    </row>
    <row r="326" spans="1:61" ht="32" hidden="1">
      <c r="A326" s="212" t="s">
        <v>493</v>
      </c>
      <c r="E326" s="14"/>
      <c r="F326" s="1231" t="s">
        <v>523</v>
      </c>
      <c r="G326" s="1231" t="s">
        <v>540</v>
      </c>
      <c r="H326" s="1231" t="s">
        <v>541</v>
      </c>
      <c r="I326" s="1231"/>
      <c r="J326" s="1231" t="s">
        <v>542</v>
      </c>
      <c r="K326" s="1231" t="s">
        <v>543</v>
      </c>
      <c r="L326" s="1230"/>
      <c r="M326" s="1231" t="s">
        <v>523</v>
      </c>
      <c r="N326" s="1231" t="s">
        <v>540</v>
      </c>
      <c r="O326" s="1231"/>
      <c r="P326" s="1231" t="s">
        <v>541</v>
      </c>
      <c r="Q326" s="1231" t="s">
        <v>542</v>
      </c>
      <c r="R326" s="1231"/>
      <c r="S326" s="1231" t="s">
        <v>543</v>
      </c>
      <c r="T326" s="1175"/>
      <c r="U326" s="1175"/>
      <c r="V326" s="1175"/>
      <c r="W326" s="1175"/>
      <c r="X326" s="1175"/>
      <c r="Y326" s="1175"/>
      <c r="Z326" s="1175"/>
      <c r="AA326" s="1175"/>
      <c r="AB326" s="1396"/>
      <c r="AS326" s="1396"/>
    </row>
    <row r="327" spans="1:61" hidden="1">
      <c r="A327" s="212" t="s">
        <v>493</v>
      </c>
      <c r="E327" s="14"/>
      <c r="F327" s="1327" t="s">
        <v>552</v>
      </c>
      <c r="G327" s="1327" t="s">
        <v>468</v>
      </c>
      <c r="H327" s="1327" t="s">
        <v>132</v>
      </c>
      <c r="I327" s="1327"/>
      <c r="J327" s="1327" t="s">
        <v>468</v>
      </c>
      <c r="K327" s="1327"/>
      <c r="L327" s="1327"/>
      <c r="M327" s="1327" t="s">
        <v>552</v>
      </c>
      <c r="N327" s="1327" t="s">
        <v>468</v>
      </c>
      <c r="O327" s="1327"/>
      <c r="P327" s="1327" t="s">
        <v>132</v>
      </c>
      <c r="Q327" s="1327" t="s">
        <v>468</v>
      </c>
      <c r="R327" s="1327"/>
      <c r="S327" s="1327"/>
      <c r="T327" s="1175"/>
      <c r="U327" s="1175"/>
      <c r="V327" s="1175"/>
      <c r="W327" s="1175"/>
      <c r="X327" s="1175"/>
      <c r="Y327" s="1175"/>
      <c r="Z327" s="1175"/>
      <c r="AA327" s="1175"/>
      <c r="AB327" s="1396"/>
      <c r="AS327" s="1396"/>
    </row>
    <row r="328" spans="1:61" hidden="1">
      <c r="A328" s="212" t="s">
        <v>493</v>
      </c>
      <c r="E328" s="14"/>
      <c r="F328" s="1232" t="s">
        <v>1421</v>
      </c>
      <c r="G328" s="1233"/>
      <c r="H328" s="1233"/>
      <c r="I328" s="1233"/>
      <c r="J328" s="1233"/>
      <c r="K328" s="1233"/>
      <c r="L328" s="1233"/>
      <c r="M328" s="1232" t="s">
        <v>1424</v>
      </c>
      <c r="N328" s="1233"/>
      <c r="O328" s="1233"/>
      <c r="P328" s="1233"/>
      <c r="Q328" s="1233"/>
      <c r="R328" s="1233"/>
      <c r="S328" s="1233"/>
      <c r="T328" s="1175"/>
      <c r="U328" s="1175"/>
      <c r="V328" s="1175"/>
      <c r="W328" s="1175"/>
      <c r="X328" s="1175"/>
      <c r="Y328" s="1175"/>
      <c r="Z328" s="1175"/>
      <c r="AA328" s="1175"/>
      <c r="AB328" s="1396"/>
      <c r="AS328" s="1396"/>
    </row>
    <row r="329" spans="1:61" hidden="1">
      <c r="A329" s="212" t="s">
        <v>493</v>
      </c>
      <c r="E329" s="14"/>
      <c r="F329" s="1234">
        <f t="shared" ref="F329:F340" si="139">INDEX(CO2_GPR_score_6,MATCH($F44,Gebruiksfuncties,0),MATCH(EP_bronmethode,GPR_Versie_En_EP_Methode,0))</f>
        <v>22.434521484374997</v>
      </c>
      <c r="G329" s="1235">
        <f t="shared" ref="G329:G340" si="140">F329*$M44</f>
        <v>0</v>
      </c>
      <c r="H329" s="1236">
        <f t="shared" ref="H329:H340" si="141">G329/G$342</f>
        <v>0</v>
      </c>
      <c r="I329" s="1236"/>
      <c r="J329" s="1235" t="str">
        <f t="shared" ref="J329:J340" si="142">IF(OR($H329=0,ISNUMBER(J$342)=FALSE),"",$H329*J$342)</f>
        <v/>
      </c>
      <c r="K329" s="1237" t="str">
        <f t="shared" ref="K329:K340" si="143">IFERROR(1-(J329/J44)/F329,"")</f>
        <v/>
      </c>
      <c r="L329" s="1230"/>
      <c r="M329" s="1238">
        <f t="shared" ref="M329:M340" si="144">INDEX(CO2_GPR_score_6,MATCH($F44,Gebruiksfuncties,0),MATCH(EP_doelmethode,GPR_Versie_En_EP_Methode,0))</f>
        <v>22.434521484374997</v>
      </c>
      <c r="N329" s="1235">
        <f t="shared" ref="N329:N340" si="145">M329*$M44</f>
        <v>0</v>
      </c>
      <c r="O329" s="1235"/>
      <c r="P329" s="1236">
        <f t="shared" ref="P329:P340" si="146">N329/N$342</f>
        <v>0</v>
      </c>
      <c r="Q329" s="1235" t="str">
        <f t="shared" ref="Q329:Q340" si="147">IF(OR($P329=0,ISNUMBER(Q$342)=FALSE),"",$P329*Q$342)</f>
        <v/>
      </c>
      <c r="R329" s="1235"/>
      <c r="S329" s="1237" t="str">
        <f t="shared" ref="S329:S340" si="148">IFERROR(1-(Q329/M44)/M329,"")</f>
        <v/>
      </c>
      <c r="T329" s="1175"/>
      <c r="U329" s="1175"/>
      <c r="V329" s="1175"/>
      <c r="W329" s="1175"/>
      <c r="X329" s="1175"/>
      <c r="Y329" s="1175"/>
      <c r="Z329" s="1175"/>
      <c r="AA329" s="1175"/>
      <c r="AB329" s="1396"/>
      <c r="AS329" s="1396"/>
    </row>
    <row r="330" spans="1:61" hidden="1">
      <c r="A330" s="212" t="s">
        <v>493</v>
      </c>
      <c r="E330" s="14"/>
      <c r="F330" s="1239">
        <f t="shared" si="139"/>
        <v>22.434521484374997</v>
      </c>
      <c r="G330" s="1235">
        <f t="shared" si="140"/>
        <v>0</v>
      </c>
      <c r="H330" s="1236">
        <f t="shared" si="141"/>
        <v>0</v>
      </c>
      <c r="I330" s="1236"/>
      <c r="J330" s="1235" t="str">
        <f t="shared" si="142"/>
        <v/>
      </c>
      <c r="K330" s="1237" t="str">
        <f t="shared" si="143"/>
        <v/>
      </c>
      <c r="L330" s="1230"/>
      <c r="M330" s="1238">
        <f t="shared" si="144"/>
        <v>22.434521484374997</v>
      </c>
      <c r="N330" s="1235">
        <f t="shared" si="145"/>
        <v>0</v>
      </c>
      <c r="O330" s="1235"/>
      <c r="P330" s="1236">
        <f t="shared" si="146"/>
        <v>0</v>
      </c>
      <c r="Q330" s="1235" t="str">
        <f t="shared" si="147"/>
        <v/>
      </c>
      <c r="R330" s="1235"/>
      <c r="S330" s="1237" t="str">
        <f t="shared" si="148"/>
        <v/>
      </c>
      <c r="T330" s="1175"/>
      <c r="U330" s="1175"/>
      <c r="V330" s="1175"/>
      <c r="W330" s="1175"/>
      <c r="X330" s="1175"/>
      <c r="Y330" s="1175"/>
      <c r="Z330" s="1175"/>
      <c r="AA330" s="1175"/>
      <c r="AB330" s="1396"/>
      <c r="AS330" s="1396"/>
    </row>
    <row r="331" spans="1:61" hidden="1">
      <c r="A331" s="212" t="s">
        <v>493</v>
      </c>
      <c r="E331" s="14"/>
      <c r="F331" s="1239">
        <f t="shared" si="139"/>
        <v>35.564414062499999</v>
      </c>
      <c r="G331" s="1235">
        <f t="shared" si="140"/>
        <v>3556.44140625</v>
      </c>
      <c r="H331" s="1236">
        <f t="shared" si="141"/>
        <v>0.26381143249808647</v>
      </c>
      <c r="I331" s="1236"/>
      <c r="J331" s="1235">
        <f t="shared" si="142"/>
        <v>0</v>
      </c>
      <c r="K331" s="1237">
        <f t="shared" si="143"/>
        <v>1</v>
      </c>
      <c r="L331" s="1230"/>
      <c r="M331" s="1238">
        <f t="shared" si="144"/>
        <v>35.564414062499999</v>
      </c>
      <c r="N331" s="1235">
        <f t="shared" si="145"/>
        <v>3556.44140625</v>
      </c>
      <c r="O331" s="1235"/>
      <c r="P331" s="1236">
        <f t="shared" si="146"/>
        <v>0.26381143249808647</v>
      </c>
      <c r="Q331" s="1235">
        <f t="shared" si="147"/>
        <v>0</v>
      </c>
      <c r="R331" s="1235"/>
      <c r="S331" s="1237">
        <f t="shared" si="148"/>
        <v>1</v>
      </c>
      <c r="T331" s="1175"/>
      <c r="U331" s="1175"/>
      <c r="V331" s="1175"/>
      <c r="W331" s="1175"/>
      <c r="X331" s="1175"/>
      <c r="Y331" s="1175"/>
      <c r="Z331" s="1175"/>
      <c r="AA331" s="1175"/>
      <c r="AB331" s="1396"/>
      <c r="AS331" s="1396"/>
    </row>
    <row r="332" spans="1:61" hidden="1">
      <c r="A332" s="212" t="s">
        <v>493</v>
      </c>
      <c r="E332" s="14"/>
      <c r="F332" s="1239">
        <f t="shared" si="139"/>
        <v>46.114101562499997</v>
      </c>
      <c r="G332" s="1235">
        <f t="shared" si="140"/>
        <v>4611.41015625</v>
      </c>
      <c r="H332" s="1236">
        <f t="shared" si="141"/>
        <v>0.34206741520290929</v>
      </c>
      <c r="I332" s="1236"/>
      <c r="J332" s="1235">
        <f t="shared" si="142"/>
        <v>0</v>
      </c>
      <c r="K332" s="1237">
        <f t="shared" si="143"/>
        <v>1</v>
      </c>
      <c r="L332" s="1230"/>
      <c r="M332" s="1238">
        <f t="shared" si="144"/>
        <v>46.114101562499997</v>
      </c>
      <c r="N332" s="1235">
        <f t="shared" si="145"/>
        <v>4611.41015625</v>
      </c>
      <c r="O332" s="1235"/>
      <c r="P332" s="1236">
        <f t="shared" si="146"/>
        <v>0.34206741520290929</v>
      </c>
      <c r="Q332" s="1235">
        <f t="shared" si="147"/>
        <v>0</v>
      </c>
      <c r="R332" s="1235"/>
      <c r="S332" s="1237">
        <f t="shared" si="148"/>
        <v>1</v>
      </c>
      <c r="T332" s="1175"/>
      <c r="U332" s="1175"/>
      <c r="V332" s="1175"/>
      <c r="W332" s="1175"/>
      <c r="X332" s="1175"/>
      <c r="Y332" s="1175"/>
      <c r="Z332" s="1175"/>
      <c r="AA332" s="1175"/>
      <c r="AB332" s="1396"/>
      <c r="AS332" s="1396"/>
    </row>
    <row r="333" spans="1:61" hidden="1">
      <c r="A333" s="212" t="s">
        <v>493</v>
      </c>
      <c r="E333" s="14"/>
      <c r="F333" s="1239">
        <f t="shared" si="139"/>
        <v>53.131464843750003</v>
      </c>
      <c r="G333" s="1235">
        <f t="shared" si="140"/>
        <v>5313.146484375</v>
      </c>
      <c r="H333" s="1236">
        <f t="shared" si="141"/>
        <v>0.39412115229900418</v>
      </c>
      <c r="I333" s="1236"/>
      <c r="J333" s="1235">
        <f t="shared" si="142"/>
        <v>0</v>
      </c>
      <c r="K333" s="1237">
        <f t="shared" si="143"/>
        <v>1</v>
      </c>
      <c r="L333" s="1230"/>
      <c r="M333" s="1238">
        <f t="shared" si="144"/>
        <v>53.131464843750003</v>
      </c>
      <c r="N333" s="1235">
        <f t="shared" si="145"/>
        <v>5313.146484375</v>
      </c>
      <c r="O333" s="1235"/>
      <c r="P333" s="1236">
        <f t="shared" si="146"/>
        <v>0.39412115229900418</v>
      </c>
      <c r="Q333" s="1235">
        <f t="shared" si="147"/>
        <v>0</v>
      </c>
      <c r="R333" s="1235"/>
      <c r="S333" s="1237">
        <f t="shared" si="148"/>
        <v>1</v>
      </c>
      <c r="T333" s="1175"/>
      <c r="U333" s="1175"/>
      <c r="V333" s="1175"/>
      <c r="W333" s="1175"/>
      <c r="X333" s="1175"/>
      <c r="Y333" s="1175"/>
      <c r="Z333" s="1175"/>
      <c r="AA333" s="1175"/>
      <c r="AB333" s="1396"/>
      <c r="AS333" s="1396"/>
    </row>
    <row r="334" spans="1:61" hidden="1">
      <c r="A334" s="212" t="s">
        <v>493</v>
      </c>
      <c r="E334" s="14"/>
      <c r="F334" s="1239">
        <f t="shared" si="139"/>
        <v>47.116582031250005</v>
      </c>
      <c r="G334" s="1235">
        <f t="shared" si="140"/>
        <v>0</v>
      </c>
      <c r="H334" s="1236">
        <f t="shared" si="141"/>
        <v>0</v>
      </c>
      <c r="I334" s="1236"/>
      <c r="J334" s="1235" t="str">
        <f t="shared" si="142"/>
        <v/>
      </c>
      <c r="K334" s="1237" t="str">
        <f t="shared" si="143"/>
        <v/>
      </c>
      <c r="L334" s="1230"/>
      <c r="M334" s="1238">
        <f t="shared" si="144"/>
        <v>47.116582031250005</v>
      </c>
      <c r="N334" s="1235">
        <f t="shared" si="145"/>
        <v>0</v>
      </c>
      <c r="O334" s="1235"/>
      <c r="P334" s="1236">
        <f t="shared" si="146"/>
        <v>0</v>
      </c>
      <c r="Q334" s="1235" t="str">
        <f t="shared" si="147"/>
        <v/>
      </c>
      <c r="R334" s="1235"/>
      <c r="S334" s="1237" t="str">
        <f t="shared" si="148"/>
        <v/>
      </c>
      <c r="T334" s="1175"/>
      <c r="U334" s="1175"/>
      <c r="V334" s="1175"/>
      <c r="W334" s="1175"/>
      <c r="X334" s="1175"/>
      <c r="Y334" s="1175"/>
      <c r="Z334" s="1175"/>
      <c r="AA334" s="1175"/>
      <c r="AB334" s="1396"/>
      <c r="AS334" s="1396"/>
    </row>
    <row r="335" spans="1:61" hidden="1">
      <c r="A335" s="212" t="s">
        <v>493</v>
      </c>
      <c r="E335" s="14"/>
      <c r="F335" s="1239">
        <f t="shared" si="139"/>
        <v>41.491816406250003</v>
      </c>
      <c r="G335" s="1235">
        <f t="shared" si="140"/>
        <v>0</v>
      </c>
      <c r="H335" s="1236">
        <f t="shared" si="141"/>
        <v>0</v>
      </c>
      <c r="I335" s="1236"/>
      <c r="J335" s="1235" t="str">
        <f t="shared" si="142"/>
        <v/>
      </c>
      <c r="K335" s="1237" t="str">
        <f t="shared" si="143"/>
        <v/>
      </c>
      <c r="L335" s="1230"/>
      <c r="M335" s="1238">
        <f t="shared" si="144"/>
        <v>41.491816406250003</v>
      </c>
      <c r="N335" s="1235">
        <f t="shared" si="145"/>
        <v>0</v>
      </c>
      <c r="O335" s="1235"/>
      <c r="P335" s="1236">
        <f t="shared" si="146"/>
        <v>0</v>
      </c>
      <c r="Q335" s="1235" t="str">
        <f t="shared" si="147"/>
        <v/>
      </c>
      <c r="R335" s="1235"/>
      <c r="S335" s="1237" t="str">
        <f t="shared" si="148"/>
        <v/>
      </c>
      <c r="T335" s="1175"/>
      <c r="U335" s="1175"/>
      <c r="V335" s="1175"/>
      <c r="W335" s="1175"/>
      <c r="X335" s="1175"/>
      <c r="Y335" s="1175"/>
      <c r="Z335" s="1175"/>
      <c r="AA335" s="1175"/>
      <c r="AB335" s="1396"/>
      <c r="AS335" s="1396"/>
    </row>
    <row r="336" spans="1:61" hidden="1">
      <c r="A336" s="212" t="s">
        <v>493</v>
      </c>
      <c r="E336" s="14"/>
      <c r="F336" s="1239">
        <f t="shared" si="139"/>
        <v>87.467207031249998</v>
      </c>
      <c r="G336" s="1235">
        <f t="shared" si="140"/>
        <v>0</v>
      </c>
      <c r="H336" s="1236">
        <f t="shared" si="141"/>
        <v>0</v>
      </c>
      <c r="I336" s="1236"/>
      <c r="J336" s="1235" t="str">
        <f t="shared" si="142"/>
        <v/>
      </c>
      <c r="K336" s="1237" t="str">
        <f t="shared" si="143"/>
        <v/>
      </c>
      <c r="L336" s="1230"/>
      <c r="M336" s="1238">
        <f t="shared" si="144"/>
        <v>87.467207031249998</v>
      </c>
      <c r="N336" s="1235">
        <f t="shared" si="145"/>
        <v>0</v>
      </c>
      <c r="O336" s="1235"/>
      <c r="P336" s="1236">
        <f t="shared" si="146"/>
        <v>0</v>
      </c>
      <c r="Q336" s="1235" t="str">
        <f t="shared" si="147"/>
        <v/>
      </c>
      <c r="R336" s="1235"/>
      <c r="S336" s="1237" t="str">
        <f t="shared" si="148"/>
        <v/>
      </c>
      <c r="T336" s="1175"/>
      <c r="U336" s="1175"/>
      <c r="V336" s="1175"/>
      <c r="W336" s="1175"/>
      <c r="X336" s="1175"/>
      <c r="Y336" s="1175"/>
      <c r="Z336" s="1175"/>
      <c r="AA336" s="1175"/>
      <c r="AB336" s="1396"/>
      <c r="AS336" s="1396"/>
    </row>
    <row r="337" spans="1:61" hidden="1">
      <c r="A337" s="212" t="s">
        <v>493</v>
      </c>
      <c r="E337" s="14"/>
      <c r="F337" s="1239">
        <f t="shared" si="139"/>
        <v>59.2190478515625</v>
      </c>
      <c r="G337" s="1235">
        <f t="shared" si="140"/>
        <v>0</v>
      </c>
      <c r="H337" s="1236">
        <f t="shared" si="141"/>
        <v>0</v>
      </c>
      <c r="I337" s="1236"/>
      <c r="J337" s="1235" t="str">
        <f t="shared" si="142"/>
        <v/>
      </c>
      <c r="K337" s="1237" t="str">
        <f t="shared" si="143"/>
        <v/>
      </c>
      <c r="L337" s="1230"/>
      <c r="M337" s="1238">
        <f t="shared" si="144"/>
        <v>59.2190478515625</v>
      </c>
      <c r="N337" s="1235">
        <f t="shared" si="145"/>
        <v>0</v>
      </c>
      <c r="O337" s="1235"/>
      <c r="P337" s="1236">
        <f t="shared" si="146"/>
        <v>0</v>
      </c>
      <c r="Q337" s="1235" t="str">
        <f t="shared" si="147"/>
        <v/>
      </c>
      <c r="R337" s="1235"/>
      <c r="S337" s="1237" t="str">
        <f t="shared" si="148"/>
        <v/>
      </c>
      <c r="T337" s="1175"/>
      <c r="U337" s="1175"/>
      <c r="V337" s="1175"/>
      <c r="W337" s="1175"/>
      <c r="X337" s="1175"/>
      <c r="Y337" s="1175"/>
      <c r="Z337" s="1175"/>
      <c r="AA337" s="1175"/>
      <c r="AB337" s="1396"/>
      <c r="AS337" s="1396"/>
    </row>
    <row r="338" spans="1:61" hidden="1">
      <c r="A338" s="212" t="s">
        <v>493</v>
      </c>
      <c r="E338" s="14"/>
      <c r="F338" s="1239">
        <f t="shared" si="139"/>
        <v>30.624912109375</v>
      </c>
      <c r="G338" s="1235">
        <f t="shared" si="140"/>
        <v>0</v>
      </c>
      <c r="H338" s="1236">
        <f t="shared" si="141"/>
        <v>0</v>
      </c>
      <c r="I338" s="1236"/>
      <c r="J338" s="1235" t="str">
        <f t="shared" si="142"/>
        <v/>
      </c>
      <c r="K338" s="1237" t="str">
        <f t="shared" si="143"/>
        <v/>
      </c>
      <c r="L338" s="1230"/>
      <c r="M338" s="1238">
        <f t="shared" si="144"/>
        <v>30.624912109375</v>
      </c>
      <c r="N338" s="1235">
        <f t="shared" si="145"/>
        <v>0</v>
      </c>
      <c r="O338" s="1235"/>
      <c r="P338" s="1236">
        <f t="shared" si="146"/>
        <v>0</v>
      </c>
      <c r="Q338" s="1235" t="str">
        <f t="shared" si="147"/>
        <v/>
      </c>
      <c r="R338" s="1235"/>
      <c r="S338" s="1237" t="str">
        <f t="shared" si="148"/>
        <v/>
      </c>
      <c r="T338" s="1175"/>
      <c r="U338" s="1175"/>
      <c r="V338" s="1175"/>
      <c r="W338" s="1175"/>
      <c r="X338" s="1175"/>
      <c r="Y338" s="1175"/>
      <c r="Z338" s="1175"/>
      <c r="AA338" s="1175"/>
      <c r="AB338" s="1396"/>
      <c r="AS338" s="1396"/>
    </row>
    <row r="339" spans="1:61" hidden="1">
      <c r="A339" s="212" t="s">
        <v>493</v>
      </c>
      <c r="E339" s="14"/>
      <c r="F339" s="1239">
        <f t="shared" si="139"/>
        <v>45.443417968749998</v>
      </c>
      <c r="G339" s="1235">
        <f t="shared" si="140"/>
        <v>0</v>
      </c>
      <c r="H339" s="1236">
        <f t="shared" si="141"/>
        <v>0</v>
      </c>
      <c r="I339" s="1236"/>
      <c r="J339" s="1235" t="str">
        <f t="shared" si="142"/>
        <v/>
      </c>
      <c r="K339" s="1237" t="str">
        <f t="shared" si="143"/>
        <v/>
      </c>
      <c r="L339" s="1230"/>
      <c r="M339" s="1238">
        <f t="shared" si="144"/>
        <v>45.443417968749998</v>
      </c>
      <c r="N339" s="1235">
        <f t="shared" si="145"/>
        <v>0</v>
      </c>
      <c r="O339" s="1235"/>
      <c r="P339" s="1236">
        <f t="shared" si="146"/>
        <v>0</v>
      </c>
      <c r="Q339" s="1235" t="str">
        <f t="shared" si="147"/>
        <v/>
      </c>
      <c r="R339" s="1235"/>
      <c r="S339" s="1237" t="str">
        <f t="shared" si="148"/>
        <v/>
      </c>
      <c r="T339" s="1175"/>
      <c r="U339" s="1175"/>
      <c r="V339" s="1175"/>
      <c r="W339" s="1175"/>
      <c r="X339" s="1175"/>
      <c r="Y339" s="1175"/>
      <c r="Z339" s="1175"/>
      <c r="AA339" s="1175"/>
      <c r="AB339" s="1396"/>
      <c r="AS339" s="1396"/>
    </row>
    <row r="340" spans="1:61" hidden="1">
      <c r="A340" s="212" t="s">
        <v>493</v>
      </c>
      <c r="E340" s="14"/>
      <c r="F340" s="1240">
        <f t="shared" si="139"/>
        <v>66.483620689655183</v>
      </c>
      <c r="G340" s="1235">
        <f t="shared" si="140"/>
        <v>0</v>
      </c>
      <c r="H340" s="1236">
        <f t="shared" si="141"/>
        <v>0</v>
      </c>
      <c r="I340" s="1236"/>
      <c r="J340" s="1235" t="str">
        <f t="shared" si="142"/>
        <v/>
      </c>
      <c r="K340" s="1237" t="str">
        <f t="shared" si="143"/>
        <v/>
      </c>
      <c r="L340" s="1230"/>
      <c r="M340" s="1238">
        <f t="shared" si="144"/>
        <v>66.483620689655183</v>
      </c>
      <c r="N340" s="1235">
        <f t="shared" si="145"/>
        <v>0</v>
      </c>
      <c r="O340" s="1235"/>
      <c r="P340" s="1236">
        <f t="shared" si="146"/>
        <v>0</v>
      </c>
      <c r="Q340" s="1235" t="str">
        <f t="shared" si="147"/>
        <v/>
      </c>
      <c r="R340" s="1235"/>
      <c r="S340" s="1237" t="str">
        <f t="shared" si="148"/>
        <v/>
      </c>
      <c r="T340" s="1175"/>
      <c r="U340" s="1175"/>
      <c r="V340" s="1175"/>
      <c r="W340" s="1175"/>
      <c r="X340" s="1175"/>
      <c r="Y340" s="1175"/>
      <c r="Z340" s="1175"/>
      <c r="AA340" s="1175"/>
      <c r="AB340" s="1396"/>
      <c r="AS340" s="1396"/>
    </row>
    <row r="341" spans="1:61" hidden="1">
      <c r="A341" s="212" t="s">
        <v>493</v>
      </c>
      <c r="E341" s="14"/>
      <c r="F341" s="1230"/>
      <c r="G341" s="1241" t="s">
        <v>1422</v>
      </c>
      <c r="H341" s="1230"/>
      <c r="I341" s="1230"/>
      <c r="J341" s="1227"/>
      <c r="K341" s="1228" t="s">
        <v>1423</v>
      </c>
      <c r="L341" s="1230"/>
      <c r="M341" s="1230"/>
      <c r="N341" s="1230"/>
      <c r="O341" s="1230"/>
      <c r="P341" s="1230"/>
      <c r="Q341" s="1227"/>
      <c r="R341" s="1227"/>
      <c r="S341" s="1230"/>
      <c r="T341" s="1175"/>
      <c r="U341" s="1175"/>
      <c r="V341" s="1175"/>
      <c r="W341" s="1175"/>
      <c r="X341" s="1175"/>
      <c r="Y341" s="1175"/>
      <c r="Z341" s="1175"/>
      <c r="AA341" s="1175"/>
      <c r="AB341" s="1396"/>
      <c r="AS341" s="1396"/>
    </row>
    <row r="342" spans="1:61" hidden="1">
      <c r="A342" s="212" t="s">
        <v>493</v>
      </c>
      <c r="E342" s="14"/>
      <c r="F342" s="1333">
        <f>SUMPRODUCT(F329:F340,M44:M55)/M58</f>
        <v>44.936660156249999</v>
      </c>
      <c r="G342" s="1242">
        <f>SUM(G329:G340)</f>
        <v>13480.998046875</v>
      </c>
      <c r="H342" s="1230"/>
      <c r="I342" s="1230"/>
      <c r="J342" s="1235">
        <f>$J$39</f>
        <v>0</v>
      </c>
      <c r="K342" s="1243">
        <f>1-J39/G342</f>
        <v>1</v>
      </c>
      <c r="L342" s="1230"/>
      <c r="M342" s="1333">
        <f>SUMPRODUCT(M329:M340,M44:M55)/M58</f>
        <v>44.936660156249999</v>
      </c>
      <c r="N342" s="1235">
        <f>SUM(N329:N340)</f>
        <v>13480.998046875</v>
      </c>
      <c r="O342" s="1235"/>
      <c r="P342" s="1230"/>
      <c r="Q342" s="1235">
        <f>N342*(1-J40)</f>
        <v>0</v>
      </c>
      <c r="R342" s="1235"/>
      <c r="S342" s="1237">
        <f>IFERROR(1-(Q342/M58)/M342,"")</f>
        <v>1</v>
      </c>
      <c r="T342" s="1175"/>
      <c r="U342" s="1175"/>
      <c r="V342" s="1175"/>
      <c r="W342" s="1175"/>
      <c r="X342" s="1175"/>
      <c r="Y342" s="1175"/>
      <c r="Z342" s="1175"/>
      <c r="AA342" s="1175"/>
      <c r="AB342" s="1396"/>
      <c r="AS342" s="1396"/>
    </row>
    <row r="343" spans="1:61" hidden="1">
      <c r="A343" s="212" t="s">
        <v>493</v>
      </c>
      <c r="E343" s="1175"/>
      <c r="F343" s="1175"/>
      <c r="G343" s="1175"/>
      <c r="H343" s="1175"/>
      <c r="I343" s="1175"/>
      <c r="J343" s="1175"/>
      <c r="K343" s="1175"/>
      <c r="L343" s="1175"/>
      <c r="M343" s="1175"/>
      <c r="N343" s="1175"/>
      <c r="O343" s="1175"/>
      <c r="P343" s="1175"/>
      <c r="Q343" s="1175"/>
      <c r="R343" s="1175"/>
      <c r="S343" s="1175"/>
      <c r="T343" s="1175"/>
      <c r="U343" s="1175"/>
      <c r="V343" s="1175"/>
      <c r="W343" s="1175"/>
      <c r="X343" s="1175"/>
      <c r="Y343" s="1175"/>
      <c r="Z343" s="1175"/>
      <c r="AA343" s="1175"/>
      <c r="AB343" s="1396"/>
      <c r="AS343" s="1396"/>
    </row>
    <row r="344" spans="1:61" s="1309" customFormat="1" ht="25.5" hidden="1" customHeight="1">
      <c r="A344" s="212" t="s">
        <v>493</v>
      </c>
      <c r="B344" s="1300"/>
      <c r="C344" s="1301"/>
      <c r="D344" s="1300"/>
      <c r="E344" s="1302"/>
      <c r="F344" s="1302" t="s">
        <v>1644</v>
      </c>
      <c r="G344" s="1310"/>
      <c r="H344" s="1311"/>
      <c r="I344" s="1312"/>
      <c r="J344" s="1310"/>
      <c r="K344" s="1313"/>
      <c r="L344" s="1314"/>
      <c r="M344" s="1302"/>
      <c r="N344" s="1302"/>
      <c r="O344" s="1314"/>
      <c r="P344" s="1314"/>
      <c r="Q344" s="1302"/>
      <c r="R344" s="1302"/>
      <c r="S344" s="1302"/>
      <c r="T344" s="1302"/>
      <c r="U344" s="1302"/>
      <c r="V344" s="1302"/>
      <c r="W344" s="1302"/>
      <c r="X344" s="1302"/>
      <c r="Y344" s="1302"/>
      <c r="Z344" s="1302"/>
      <c r="AA344" s="1302"/>
      <c r="AB344" s="1302"/>
      <c r="AC344" s="1302"/>
      <c r="AD344" s="1323"/>
      <c r="AE344" s="1317"/>
      <c r="AF344" s="1317"/>
      <c r="AG344" s="1317"/>
      <c r="AH344" s="1317"/>
      <c r="AI344" s="1317"/>
      <c r="AJ344" s="1317"/>
      <c r="AK344" s="1317"/>
      <c r="AL344" s="1317"/>
      <c r="AM344" s="1317"/>
      <c r="AN344" s="1302"/>
      <c r="AO344" s="1302"/>
      <c r="AP344" s="1302"/>
      <c r="AQ344" s="1302"/>
      <c r="AR344" s="1302"/>
      <c r="AS344" s="1302"/>
      <c r="AT344" s="1302"/>
      <c r="AU344" s="1302"/>
      <c r="AV344" s="1302"/>
      <c r="AW344" s="1302"/>
      <c r="AX344" s="1302"/>
      <c r="AY344" s="1302"/>
      <c r="AZ344" s="1302"/>
      <c r="BA344" s="1302"/>
      <c r="BB344" s="1302"/>
      <c r="BC344" s="1302"/>
      <c r="BD344" s="1302"/>
      <c r="BE344" s="1302"/>
      <c r="BF344" s="1302"/>
      <c r="BG344" s="1302"/>
      <c r="BH344" s="1302"/>
      <c r="BI344" s="1302"/>
    </row>
    <row r="345" spans="1:61" hidden="1">
      <c r="A345" s="212" t="s">
        <v>493</v>
      </c>
      <c r="B345" s="943"/>
      <c r="C345" s="1092"/>
      <c r="D345" s="943"/>
      <c r="E345" s="14"/>
      <c r="F345" s="147"/>
      <c r="G345" s="14"/>
      <c r="H345" s="14"/>
      <c r="I345" s="14"/>
      <c r="J345" s="14"/>
      <c r="K345" s="14"/>
      <c r="L345" s="14"/>
      <c r="M345" s="14"/>
      <c r="N345" s="14"/>
      <c r="O345" s="14"/>
      <c r="P345" s="1175"/>
      <c r="Q345" s="1175"/>
      <c r="R345" s="1175"/>
      <c r="S345" s="1175"/>
      <c r="T345" s="1175"/>
      <c r="U345" s="1175"/>
      <c r="V345" s="1175"/>
      <c r="W345" s="1175"/>
      <c r="X345" s="1175"/>
      <c r="Y345" s="1175"/>
      <c r="Z345" s="1175"/>
      <c r="AA345" s="1175"/>
      <c r="AB345" s="1396"/>
      <c r="AC345" s="995"/>
      <c r="AD345" s="1428"/>
      <c r="AE345" s="1406"/>
      <c r="AF345" s="1406"/>
      <c r="AG345" s="1406"/>
      <c r="AH345" s="1406"/>
      <c r="AI345" s="1406"/>
      <c r="AJ345" s="1406"/>
      <c r="AK345" s="1406"/>
      <c r="AL345" s="1407"/>
      <c r="AM345" s="1407"/>
      <c r="AN345" s="995"/>
      <c r="AO345" s="995"/>
      <c r="AP345" s="995"/>
      <c r="AQ345" s="995"/>
      <c r="AR345" s="995"/>
      <c r="AS345" s="1396"/>
      <c r="AT345" s="995"/>
      <c r="AU345" s="995"/>
      <c r="AV345" s="995"/>
      <c r="AW345" s="995"/>
      <c r="AX345" s="995"/>
      <c r="AY345" s="995"/>
      <c r="AZ345" s="995"/>
      <c r="BA345" s="995"/>
      <c r="BB345" s="995"/>
      <c r="BC345" s="995"/>
      <c r="BD345" s="995"/>
      <c r="BE345" s="995"/>
      <c r="BF345" s="995"/>
      <c r="BG345" s="995"/>
      <c r="BH345" s="995"/>
      <c r="BI345" s="995"/>
    </row>
    <row r="346" spans="1:61" ht="21" hidden="1">
      <c r="A346" s="212" t="s">
        <v>493</v>
      </c>
      <c r="C346" s="1163"/>
      <c r="E346" s="14"/>
      <c r="F346" s="1172" t="s">
        <v>1642</v>
      </c>
      <c r="G346" s="13"/>
      <c r="H346" s="13"/>
      <c r="I346" s="13"/>
      <c r="J346" s="13"/>
      <c r="K346" s="13"/>
      <c r="L346" s="13"/>
      <c r="M346" s="13"/>
      <c r="N346" s="13"/>
      <c r="O346" s="13"/>
      <c r="P346" s="1175"/>
      <c r="Q346" s="1175"/>
      <c r="R346" s="1175"/>
      <c r="S346" s="1175"/>
      <c r="T346" s="1175"/>
      <c r="U346" s="1175"/>
      <c r="V346" s="1175"/>
      <c r="W346" s="1175"/>
      <c r="X346" s="1175"/>
      <c r="Y346" s="1175"/>
      <c r="Z346" s="1175"/>
      <c r="AA346" s="1175"/>
      <c r="AB346" s="1396"/>
      <c r="AS346" s="1396"/>
    </row>
    <row r="347" spans="1:61" s="422" customFormat="1" ht="32" hidden="1">
      <c r="A347" s="212" t="s">
        <v>493</v>
      </c>
      <c r="B347" s="781"/>
      <c r="C347" s="1164" t="s">
        <v>1638</v>
      </c>
      <c r="D347" s="781"/>
      <c r="E347" s="14"/>
      <c r="F347" s="1174" t="s">
        <v>1444</v>
      </c>
      <c r="G347" s="1174" t="s">
        <v>1445</v>
      </c>
      <c r="H347" s="1174"/>
      <c r="I347" s="1174"/>
      <c r="J347" s="1174" t="s">
        <v>531</v>
      </c>
      <c r="K347" s="1174" t="s">
        <v>532</v>
      </c>
      <c r="L347" s="1174"/>
      <c r="M347" s="1174" t="s">
        <v>431</v>
      </c>
      <c r="N347" s="1174" t="s">
        <v>533</v>
      </c>
      <c r="O347" s="1175"/>
      <c r="P347" s="1175"/>
      <c r="Q347" s="1175"/>
      <c r="R347" s="1175"/>
      <c r="S347" s="1175"/>
      <c r="T347" s="1175"/>
      <c r="U347" s="1175"/>
      <c r="V347" s="1175"/>
      <c r="W347" s="1175"/>
      <c r="X347" s="1175"/>
      <c r="Y347" s="1175"/>
      <c r="Z347" s="1175"/>
      <c r="AA347" s="1175"/>
      <c r="AB347" s="1396"/>
      <c r="AD347" s="1439"/>
      <c r="AE347" s="1086"/>
      <c r="AF347" s="1086"/>
      <c r="AG347" s="1086"/>
      <c r="AH347" s="1086"/>
      <c r="AI347" s="1086"/>
      <c r="AJ347" s="1086"/>
      <c r="AK347" s="1086"/>
      <c r="AL347" s="1425"/>
      <c r="AM347" s="1425"/>
      <c r="AS347" s="1396"/>
    </row>
    <row r="348" spans="1:61" hidden="1">
      <c r="A348" s="212" t="s">
        <v>493</v>
      </c>
      <c r="C348" s="1164" t="s">
        <v>204</v>
      </c>
      <c r="E348" s="14"/>
      <c r="F348" s="1331" t="s">
        <v>132</v>
      </c>
      <c r="G348" s="1331" t="s">
        <v>132</v>
      </c>
      <c r="H348" s="1331"/>
      <c r="I348" s="1331"/>
      <c r="J348" s="1331" t="s">
        <v>551</v>
      </c>
      <c r="K348" s="1331" t="s">
        <v>132</v>
      </c>
      <c r="L348" s="1331"/>
      <c r="M348" s="1331" t="s">
        <v>440</v>
      </c>
      <c r="N348" s="1331"/>
      <c r="O348" s="1175"/>
      <c r="P348" s="1175"/>
      <c r="Q348" s="1175"/>
      <c r="R348" s="1175"/>
      <c r="S348" s="1175"/>
      <c r="T348" s="1175"/>
      <c r="U348" s="1175"/>
      <c r="V348" s="1175"/>
      <c r="W348" s="1175"/>
      <c r="X348" s="1175"/>
      <c r="Y348" s="1175"/>
      <c r="Z348" s="1175"/>
      <c r="AA348" s="1175"/>
      <c r="AB348" s="1396"/>
      <c r="AS348" s="1396"/>
    </row>
    <row r="349" spans="1:61" hidden="1">
      <c r="A349" s="212" t="s">
        <v>493</v>
      </c>
      <c r="C349" s="1164" t="s">
        <v>1639</v>
      </c>
      <c r="E349" s="14"/>
      <c r="F349" s="1175"/>
      <c r="G349" s="1175"/>
      <c r="H349" s="1175"/>
      <c r="I349" s="1175"/>
      <c r="J349" s="1175"/>
      <c r="K349" s="1175"/>
      <c r="L349" s="1175"/>
      <c r="M349" s="1175"/>
      <c r="N349" s="1176" t="s">
        <v>1412</v>
      </c>
      <c r="O349" s="1175"/>
      <c r="P349" s="1175"/>
      <c r="Q349" s="1175"/>
      <c r="R349" s="1175"/>
      <c r="S349" s="1175"/>
      <c r="T349" s="1175"/>
      <c r="U349" s="1175"/>
      <c r="V349" s="1175"/>
      <c r="W349" s="1175"/>
      <c r="X349" s="1175"/>
      <c r="Y349" s="1175"/>
      <c r="Z349" s="1175"/>
      <c r="AA349" s="1175"/>
      <c r="AB349" s="1396"/>
      <c r="AS349" s="1396"/>
    </row>
    <row r="350" spans="1:61" hidden="1">
      <c r="A350" s="212" t="s">
        <v>493</v>
      </c>
      <c r="C350" s="1164" t="str">
        <f t="shared" ref="C350:C361" si="149">F44</f>
        <v>woning</v>
      </c>
      <c r="E350" s="14"/>
      <c r="F350" s="1177">
        <f t="shared" ref="F350:F361" si="150">INDEX(MPG_factor_a,MATCH($F44,Gebruiksfuncties,0),MATCH(EP_bronmethode,GPR_Versie_En_EP_Methode,0))</f>
        <v>-6.2290000000000001</v>
      </c>
      <c r="G350" s="1177">
        <f t="shared" ref="G350:G361" si="151">INDEX(MPG_factor_b,MATCH($F44,Gebruiksfuncties,0),MATCH(EP_bronmethode,GPR_Versie_En_EP_Methode,0))</f>
        <v>3.6139999999999999</v>
      </c>
      <c r="H350" s="1177"/>
      <c r="I350" s="1177"/>
      <c r="J350" s="1178">
        <f t="shared" ref="J350:J361" si="152">F372*$M44/$M$58*$J$275</f>
        <v>0</v>
      </c>
      <c r="K350" s="1179">
        <f t="shared" ref="K350:K361" si="153">IF($BA$273=1,J350/J$363,M44/$M$58)</f>
        <v>0</v>
      </c>
      <c r="L350" s="1179"/>
      <c r="M350" s="1177" t="str">
        <f t="shared" ref="M350:M361" si="154">IF(OR($K350=0,ISNUMBER(M$363)=FALSE),"",$K350*M$363/IF(M44="",1,$M44))</f>
        <v/>
      </c>
      <c r="N350" s="1180" t="str">
        <f t="shared" ref="N350:N361" si="155">IFERROR(F350*LN(M350)+G350,"")</f>
        <v/>
      </c>
      <c r="O350" s="1175"/>
      <c r="P350" s="1374" t="e">
        <f>EXP((N350-G350)/F350)</f>
        <v>#VALUE!</v>
      </c>
      <c r="Q350" s="1175"/>
      <c r="R350" s="1175"/>
      <c r="S350" s="1175"/>
      <c r="T350" s="1175"/>
      <c r="U350" s="1175"/>
      <c r="V350" s="1175"/>
      <c r="W350" s="1175"/>
      <c r="X350" s="1175"/>
      <c r="Y350" s="1175"/>
      <c r="Z350" s="1175"/>
      <c r="AA350" s="1175"/>
      <c r="AB350" s="1396"/>
      <c r="AS350" s="1396"/>
    </row>
    <row r="351" spans="1:61" hidden="1">
      <c r="A351" s="212" t="s">
        <v>493</v>
      </c>
      <c r="C351" s="1164" t="str">
        <f t="shared" si="149"/>
        <v>woongebouw</v>
      </c>
      <c r="E351" s="14"/>
      <c r="F351" s="1177">
        <f t="shared" si="150"/>
        <v>-6.2290000000000001</v>
      </c>
      <c r="G351" s="1177">
        <f t="shared" si="151"/>
        <v>3.6139999999999999</v>
      </c>
      <c r="H351" s="1177"/>
      <c r="I351" s="1177"/>
      <c r="J351" s="1178">
        <f t="shared" si="152"/>
        <v>0</v>
      </c>
      <c r="K351" s="1179">
        <f t="shared" si="153"/>
        <v>0</v>
      </c>
      <c r="L351" s="1179"/>
      <c r="M351" s="1177" t="str">
        <f t="shared" si="154"/>
        <v/>
      </c>
      <c r="N351" s="1180" t="str">
        <f t="shared" si="155"/>
        <v/>
      </c>
      <c r="O351" s="1175"/>
      <c r="P351" s="1175"/>
      <c r="Q351" s="1175"/>
      <c r="R351" s="1175"/>
      <c r="S351" s="1175"/>
      <c r="T351" s="1175"/>
      <c r="U351" s="1175"/>
      <c r="V351" s="1175"/>
      <c r="W351" s="1175"/>
      <c r="X351" s="1175"/>
      <c r="Y351" s="1175"/>
      <c r="Z351" s="1175"/>
      <c r="AA351" s="1175"/>
      <c r="AB351" s="1396"/>
      <c r="AS351" s="1396"/>
    </row>
    <row r="352" spans="1:61" hidden="1">
      <c r="A352" s="212" t="s">
        <v>493</v>
      </c>
      <c r="C352" s="1164" t="str">
        <f t="shared" si="149"/>
        <v>kantoor</v>
      </c>
      <c r="E352" s="14"/>
      <c r="F352" s="1177">
        <f t="shared" si="150"/>
        <v>-9.4329999999999998</v>
      </c>
      <c r="G352" s="1177">
        <f t="shared" si="151"/>
        <v>4.0190999999999999</v>
      </c>
      <c r="H352" s="1177"/>
      <c r="I352" s="1177"/>
      <c r="J352" s="1178">
        <f t="shared" si="152"/>
        <v>1.1393711832871893</v>
      </c>
      <c r="K352" s="1179">
        <f t="shared" si="153"/>
        <v>0.33333333333333331</v>
      </c>
      <c r="L352" s="1179"/>
      <c r="M352" s="1177">
        <f t="shared" si="154"/>
        <v>0</v>
      </c>
      <c r="N352" s="1180" t="str">
        <f t="shared" si="155"/>
        <v/>
      </c>
      <c r="O352" s="1175"/>
      <c r="P352" s="1175"/>
      <c r="Q352" s="1175"/>
      <c r="R352" s="1175"/>
      <c r="S352" s="1175"/>
      <c r="T352" s="1175"/>
      <c r="U352" s="1175"/>
      <c r="V352" s="1175"/>
      <c r="W352" s="1175"/>
      <c r="X352" s="1175"/>
      <c r="Y352" s="1175"/>
      <c r="Z352" s="1175"/>
      <c r="AA352" s="1175"/>
      <c r="AB352" s="1396"/>
      <c r="AS352" s="1396"/>
    </row>
    <row r="353" spans="1:61" hidden="1">
      <c r="A353" s="212" t="s">
        <v>493</v>
      </c>
      <c r="C353" s="1164" t="str">
        <f t="shared" si="149"/>
        <v>bijeenkomst overig</v>
      </c>
      <c r="E353" s="14"/>
      <c r="F353" s="1177">
        <f t="shared" si="150"/>
        <v>-6.6280000000000001</v>
      </c>
      <c r="G353" s="1177">
        <f t="shared" si="151"/>
        <v>5.5023</v>
      </c>
      <c r="H353" s="1177"/>
      <c r="I353" s="1177"/>
      <c r="J353" s="1178">
        <f t="shared" si="152"/>
        <v>1.4988808111288137</v>
      </c>
      <c r="K353" s="1179">
        <f t="shared" si="153"/>
        <v>0.33333333333333331</v>
      </c>
      <c r="L353" s="1179"/>
      <c r="M353" s="1177">
        <f t="shared" si="154"/>
        <v>0</v>
      </c>
      <c r="N353" s="1180" t="str">
        <f t="shared" si="155"/>
        <v/>
      </c>
      <c r="O353" s="1175"/>
      <c r="P353" s="1175"/>
      <c r="Q353" s="1175"/>
      <c r="R353" s="1175"/>
      <c r="S353" s="1175"/>
      <c r="T353" s="1175"/>
      <c r="U353" s="1175"/>
      <c r="V353" s="1175"/>
      <c r="W353" s="1175"/>
      <c r="X353" s="1175"/>
      <c r="Y353" s="1175"/>
      <c r="Z353" s="1175"/>
      <c r="AA353" s="1175"/>
      <c r="AB353" s="1396"/>
      <c r="AS353" s="1396"/>
    </row>
    <row r="354" spans="1:61" hidden="1">
      <c r="A354" s="212" t="s">
        <v>493</v>
      </c>
      <c r="C354" s="1164" t="str">
        <f t="shared" si="149"/>
        <v>bijeenkomst kinderdagverblijf</v>
      </c>
      <c r="E354" s="14"/>
      <c r="F354" s="1177">
        <f t="shared" si="150"/>
        <v>-8.84</v>
      </c>
      <c r="G354" s="1177">
        <f t="shared" si="151"/>
        <v>4.5613000000000001</v>
      </c>
      <c r="H354" s="1177"/>
      <c r="I354" s="1177"/>
      <c r="J354" s="1178">
        <f t="shared" si="152"/>
        <v>1.6539645329958232</v>
      </c>
      <c r="K354" s="1179">
        <f t="shared" si="153"/>
        <v>0.33333333333333331</v>
      </c>
      <c r="L354" s="1179"/>
      <c r="M354" s="1177">
        <f t="shared" si="154"/>
        <v>0</v>
      </c>
      <c r="N354" s="1180" t="str">
        <f t="shared" si="155"/>
        <v/>
      </c>
      <c r="O354" s="1175"/>
      <c r="P354" s="1175"/>
      <c r="Q354" s="1175"/>
      <c r="R354" s="1175"/>
      <c r="S354" s="1175"/>
      <c r="T354" s="1175"/>
      <c r="U354" s="1175"/>
      <c r="V354" s="1175"/>
      <c r="W354" s="1175"/>
      <c r="X354" s="1175"/>
      <c r="Y354" s="1175"/>
      <c r="Z354" s="1175"/>
      <c r="AA354" s="1175"/>
      <c r="AB354" s="1396"/>
      <c r="AS354" s="1396"/>
    </row>
    <row r="355" spans="1:61" hidden="1">
      <c r="A355" s="212" t="s">
        <v>493</v>
      </c>
      <c r="C355" s="1164" t="str">
        <f t="shared" si="149"/>
        <v>onderwijs</v>
      </c>
      <c r="E355" s="14"/>
      <c r="F355" s="1177">
        <f t="shared" si="150"/>
        <v>-8.84</v>
      </c>
      <c r="G355" s="1177">
        <f t="shared" si="151"/>
        <v>4.5613000000000001</v>
      </c>
      <c r="H355" s="1177"/>
      <c r="I355" s="1177"/>
      <c r="J355" s="1178">
        <f t="shared" si="152"/>
        <v>0</v>
      </c>
      <c r="K355" s="1179">
        <f t="shared" si="153"/>
        <v>0</v>
      </c>
      <c r="L355" s="1179"/>
      <c r="M355" s="1177" t="str">
        <f t="shared" si="154"/>
        <v/>
      </c>
      <c r="N355" s="1180" t="str">
        <f t="shared" si="155"/>
        <v/>
      </c>
      <c r="O355" s="1175"/>
      <c r="P355" s="1175"/>
      <c r="Q355" s="1175"/>
      <c r="R355" s="1175"/>
      <c r="S355" s="1175"/>
      <c r="T355" s="1175"/>
      <c r="U355" s="1175"/>
      <c r="V355" s="1175"/>
      <c r="W355" s="1175"/>
      <c r="X355" s="1175"/>
      <c r="Y355" s="1175"/>
      <c r="Z355" s="1175"/>
      <c r="AA355" s="1175"/>
      <c r="AB355" s="1396"/>
      <c r="AS355" s="1396"/>
    </row>
    <row r="356" spans="1:61" hidden="1">
      <c r="A356" s="212" t="s">
        <v>493</v>
      </c>
      <c r="C356" s="1164" t="str">
        <f t="shared" si="149"/>
        <v>gezondheid overig</v>
      </c>
      <c r="E356" s="14"/>
      <c r="F356" s="1177" t="str">
        <f t="shared" si="150"/>
        <v>#N/B</v>
      </c>
      <c r="G356" s="1177" t="str">
        <f t="shared" si="151"/>
        <v>#N/B</v>
      </c>
      <c r="H356" s="1177"/>
      <c r="I356" s="1177"/>
      <c r="J356" s="1178">
        <f t="shared" si="152"/>
        <v>0</v>
      </c>
      <c r="K356" s="1179">
        <f t="shared" si="153"/>
        <v>0</v>
      </c>
      <c r="L356" s="1179"/>
      <c r="M356" s="1177" t="str">
        <f t="shared" si="154"/>
        <v/>
      </c>
      <c r="N356" s="1180" t="str">
        <f t="shared" si="155"/>
        <v/>
      </c>
      <c r="O356" s="1175"/>
      <c r="P356" s="1175"/>
      <c r="Q356" s="1175"/>
      <c r="R356" s="1175"/>
      <c r="S356" s="1175"/>
      <c r="T356" s="1175"/>
      <c r="U356" s="1175"/>
      <c r="V356" s="1175"/>
      <c r="W356" s="1175"/>
      <c r="X356" s="1175"/>
      <c r="Y356" s="1175"/>
      <c r="Z356" s="1175"/>
      <c r="AA356" s="1175"/>
      <c r="AB356" s="1396"/>
      <c r="AS356" s="1396"/>
    </row>
    <row r="357" spans="1:61" hidden="1">
      <c r="A357" s="212" t="s">
        <v>493</v>
      </c>
      <c r="C357" s="1164" t="str">
        <f t="shared" si="149"/>
        <v>gezondheid bedgebied</v>
      </c>
      <c r="E357" s="14"/>
      <c r="F357" s="1177" t="str">
        <f t="shared" si="150"/>
        <v>#N/B</v>
      </c>
      <c r="G357" s="1177" t="str">
        <f t="shared" si="151"/>
        <v>#N/B</v>
      </c>
      <c r="H357" s="1177"/>
      <c r="I357" s="1177"/>
      <c r="J357" s="1178">
        <f t="shared" si="152"/>
        <v>0</v>
      </c>
      <c r="K357" s="1179">
        <f t="shared" si="153"/>
        <v>0</v>
      </c>
      <c r="L357" s="1179"/>
      <c r="M357" s="1177" t="str">
        <f t="shared" si="154"/>
        <v/>
      </c>
      <c r="N357" s="1180" t="str">
        <f t="shared" si="155"/>
        <v/>
      </c>
      <c r="O357" s="1175"/>
      <c r="P357" s="1175"/>
      <c r="Q357" s="1175"/>
      <c r="R357" s="1175"/>
      <c r="S357" s="1175"/>
      <c r="T357" s="1175"/>
      <c r="U357" s="1175"/>
      <c r="V357" s="1175"/>
      <c r="W357" s="1175"/>
      <c r="X357" s="1175"/>
      <c r="Y357" s="1175"/>
      <c r="Z357" s="1175"/>
      <c r="AA357" s="1175"/>
      <c r="AB357" s="1396"/>
      <c r="AS357" s="1396"/>
    </row>
    <row r="358" spans="1:61" hidden="1">
      <c r="A358" s="212" t="s">
        <v>493</v>
      </c>
      <c r="C358" s="1164" t="str">
        <f t="shared" si="149"/>
        <v>winkel</v>
      </c>
      <c r="E358" s="14"/>
      <c r="F358" s="1177">
        <f t="shared" si="150"/>
        <v>-8.02</v>
      </c>
      <c r="G358" s="1177">
        <f t="shared" si="151"/>
        <v>5.0240999999999998</v>
      </c>
      <c r="H358" s="1177"/>
      <c r="I358" s="1177"/>
      <c r="J358" s="1178">
        <f t="shared" si="152"/>
        <v>0</v>
      </c>
      <c r="K358" s="1179">
        <f t="shared" si="153"/>
        <v>0</v>
      </c>
      <c r="L358" s="1179"/>
      <c r="M358" s="1177" t="str">
        <f t="shared" si="154"/>
        <v/>
      </c>
      <c r="N358" s="1180" t="str">
        <f t="shared" si="155"/>
        <v/>
      </c>
      <c r="O358" s="1175"/>
      <c r="P358" s="1175"/>
      <c r="Q358" s="1175"/>
      <c r="R358" s="1175"/>
      <c r="S358" s="1175"/>
      <c r="T358" s="1175"/>
      <c r="U358" s="1175"/>
      <c r="V358" s="1175"/>
      <c r="W358" s="1175"/>
      <c r="X358" s="1175"/>
      <c r="Y358" s="1175"/>
      <c r="Z358" s="1175"/>
      <c r="AA358" s="1175"/>
      <c r="AB358" s="1396"/>
      <c r="AS358" s="1396"/>
    </row>
    <row r="359" spans="1:61" hidden="1">
      <c r="A359" s="212" t="s">
        <v>493</v>
      </c>
      <c r="C359" s="1164" t="str">
        <f t="shared" si="149"/>
        <v>sport</v>
      </c>
      <c r="E359" s="14"/>
      <c r="F359" s="1177">
        <f t="shared" si="150"/>
        <v>-5.4290000000000003</v>
      </c>
      <c r="G359" s="1177">
        <f t="shared" si="151"/>
        <v>6.5660999999999996</v>
      </c>
      <c r="H359" s="1177"/>
      <c r="I359" s="1177"/>
      <c r="J359" s="1178">
        <f t="shared" si="152"/>
        <v>0</v>
      </c>
      <c r="K359" s="1179">
        <f t="shared" si="153"/>
        <v>0</v>
      </c>
      <c r="L359" s="1179"/>
      <c r="M359" s="1177" t="str">
        <f t="shared" si="154"/>
        <v/>
      </c>
      <c r="N359" s="1180" t="str">
        <f t="shared" si="155"/>
        <v/>
      </c>
      <c r="O359" s="1175"/>
      <c r="P359" s="1175"/>
      <c r="Q359" s="1175"/>
      <c r="R359" s="1175"/>
      <c r="S359" s="1175"/>
      <c r="T359" s="1175"/>
      <c r="U359" s="1175"/>
      <c r="V359" s="1175"/>
      <c r="W359" s="1175"/>
      <c r="X359" s="1175"/>
      <c r="Y359" s="1175"/>
      <c r="Z359" s="1175"/>
      <c r="AA359" s="1175"/>
      <c r="AB359" s="1396"/>
      <c r="AS359" s="1396"/>
    </row>
    <row r="360" spans="1:61" hidden="1">
      <c r="A360" s="212" t="s">
        <v>493</v>
      </c>
      <c r="C360" s="1164" t="str">
        <f t="shared" si="149"/>
        <v>logies in logiesgebouw</v>
      </c>
      <c r="E360" s="14"/>
      <c r="F360" s="1177">
        <f t="shared" si="150"/>
        <v>-8.2200000000000006</v>
      </c>
      <c r="G360" s="1177">
        <f t="shared" si="151"/>
        <v>3.9643999999999999</v>
      </c>
      <c r="H360" s="1177"/>
      <c r="I360" s="1177"/>
      <c r="J360" s="1178">
        <f t="shared" si="152"/>
        <v>0</v>
      </c>
      <c r="K360" s="1179">
        <f t="shared" si="153"/>
        <v>0</v>
      </c>
      <c r="L360" s="1179"/>
      <c r="M360" s="1177" t="str">
        <f t="shared" si="154"/>
        <v/>
      </c>
      <c r="N360" s="1180" t="str">
        <f t="shared" si="155"/>
        <v/>
      </c>
      <c r="O360" s="1175"/>
      <c r="P360" s="1175"/>
      <c r="Q360" s="1175"/>
      <c r="R360" s="1175"/>
      <c r="S360" s="1175"/>
      <c r="T360" s="1175"/>
      <c r="U360" s="1175"/>
      <c r="V360" s="1175"/>
      <c r="W360" s="1175"/>
      <c r="X360" s="1175"/>
      <c r="Y360" s="1175"/>
      <c r="Z360" s="1175"/>
      <c r="AA360" s="1175"/>
      <c r="AB360" s="1396"/>
      <c r="AS360" s="1396"/>
    </row>
    <row r="361" spans="1:61" hidden="1">
      <c r="A361" s="212" t="s">
        <v>493</v>
      </c>
      <c r="C361" s="1164" t="str">
        <f t="shared" si="149"/>
        <v>cel</v>
      </c>
      <c r="E361" s="14"/>
      <c r="F361" s="1177" t="str">
        <f t="shared" si="150"/>
        <v>#N/B</v>
      </c>
      <c r="G361" s="1177" t="str">
        <f t="shared" si="151"/>
        <v>#N/B</v>
      </c>
      <c r="H361" s="1177"/>
      <c r="I361" s="1177"/>
      <c r="J361" s="1178">
        <f t="shared" si="152"/>
        <v>0</v>
      </c>
      <c r="K361" s="1179">
        <f t="shared" si="153"/>
        <v>0</v>
      </c>
      <c r="L361" s="1179"/>
      <c r="M361" s="1177" t="str">
        <f t="shared" si="154"/>
        <v/>
      </c>
      <c r="N361" s="1180" t="str">
        <f t="shared" si="155"/>
        <v/>
      </c>
      <c r="O361" s="1175"/>
      <c r="P361" s="1175"/>
      <c r="Q361" s="1175"/>
      <c r="R361" s="1175"/>
      <c r="S361" s="1175"/>
      <c r="T361" s="1175"/>
      <c r="U361" s="1175"/>
      <c r="V361" s="1175"/>
      <c r="W361" s="1175"/>
      <c r="X361" s="1175"/>
      <c r="Y361" s="1175"/>
      <c r="Z361" s="1175"/>
      <c r="AA361" s="1175"/>
      <c r="AB361" s="1396"/>
      <c r="AS361" s="1396"/>
    </row>
    <row r="362" spans="1:61" hidden="1">
      <c r="A362" s="212" t="s">
        <v>493</v>
      </c>
      <c r="C362" s="1164"/>
      <c r="E362" s="14"/>
      <c r="F362" s="1175"/>
      <c r="G362" s="1175"/>
      <c r="H362" s="1175"/>
      <c r="I362" s="1175"/>
      <c r="J362" s="1175"/>
      <c r="K362" s="1175"/>
      <c r="L362" s="1175"/>
      <c r="M362" s="1181"/>
      <c r="N362" s="1182"/>
      <c r="O362" s="1175"/>
      <c r="P362" s="1175"/>
      <c r="Q362" s="1175"/>
      <c r="R362" s="1175"/>
      <c r="S362" s="1175"/>
      <c r="T362" s="1175"/>
      <c r="U362" s="1175"/>
      <c r="V362" s="1175"/>
      <c r="W362" s="1175"/>
      <c r="X362" s="1175"/>
      <c r="Y362" s="1175"/>
      <c r="Z362" s="1175"/>
      <c r="AA362" s="1175"/>
      <c r="AB362" s="1396"/>
      <c r="AS362" s="1396"/>
    </row>
    <row r="363" spans="1:61" hidden="1">
      <c r="A363" s="212" t="s">
        <v>493</v>
      </c>
      <c r="C363" s="1164" t="s">
        <v>1597</v>
      </c>
      <c r="E363" s="14"/>
      <c r="F363" s="1183"/>
      <c r="G363" s="1179"/>
      <c r="H363" s="1179"/>
      <c r="I363" s="1179"/>
      <c r="J363" s="1183">
        <f>SUM(J350:J361)</f>
        <v>4.292216527411826</v>
      </c>
      <c r="K363" s="1179">
        <f>IF($BA$273=1,J363/J$363,$M$58/$M$58)</f>
        <v>1</v>
      </c>
      <c r="L363" s="1179"/>
      <c r="M363" s="1177">
        <f>$J$272*$M$58</f>
        <v>0</v>
      </c>
      <c r="N363" s="1180">
        <f>SUMPRODUCT(N350:N361,M44:M55)/$M$58</f>
        <v>0</v>
      </c>
      <c r="O363" s="1175"/>
      <c r="P363" s="1175"/>
      <c r="Q363" s="1175"/>
      <c r="R363" s="1175"/>
      <c r="S363" s="1175"/>
      <c r="T363" s="1175"/>
      <c r="U363" s="1175"/>
      <c r="V363" s="1175"/>
      <c r="W363" s="1175"/>
      <c r="X363" s="1175"/>
      <c r="Y363" s="1175"/>
      <c r="Z363" s="1175"/>
      <c r="AA363" s="1175"/>
      <c r="AB363" s="1396"/>
      <c r="AS363" s="1396"/>
    </row>
    <row r="364" spans="1:61" hidden="1">
      <c r="A364" s="212" t="s">
        <v>493</v>
      </c>
      <c r="E364" s="14"/>
      <c r="F364" s="13"/>
      <c r="G364" s="13"/>
      <c r="H364" s="13"/>
      <c r="I364" s="13"/>
      <c r="J364" s="13"/>
      <c r="K364" s="13"/>
      <c r="L364" s="13"/>
      <c r="M364" s="13"/>
      <c r="N364" s="13"/>
      <c r="O364" s="13"/>
      <c r="P364" s="1175"/>
      <c r="Q364" s="1175"/>
      <c r="R364" s="1175"/>
      <c r="S364" s="1175"/>
      <c r="T364" s="1175"/>
      <c r="U364" s="1175"/>
      <c r="V364" s="1175"/>
      <c r="W364" s="1175"/>
      <c r="X364" s="1175"/>
      <c r="Y364" s="1175"/>
      <c r="Z364" s="1175"/>
      <c r="AA364" s="1175"/>
      <c r="AB364" s="1396"/>
      <c r="AS364" s="1396"/>
    </row>
    <row r="365" spans="1:61" hidden="1">
      <c r="A365" s="212" t="s">
        <v>493</v>
      </c>
      <c r="E365" s="14"/>
      <c r="F365" s="13"/>
      <c r="G365" s="13"/>
      <c r="H365" s="13"/>
      <c r="I365" s="13"/>
      <c r="J365" s="13"/>
      <c r="K365" s="13"/>
      <c r="L365" s="13"/>
      <c r="M365" s="13"/>
      <c r="N365" s="13"/>
      <c r="O365" s="13"/>
      <c r="P365" s="1175"/>
      <c r="Q365" s="1175"/>
      <c r="R365" s="1175"/>
      <c r="S365" s="1175"/>
      <c r="T365" s="1175"/>
      <c r="U365" s="1175"/>
      <c r="V365" s="1175"/>
      <c r="W365" s="1175"/>
      <c r="X365" s="1175"/>
      <c r="Y365" s="1175"/>
      <c r="Z365" s="1175"/>
      <c r="AA365" s="1175"/>
      <c r="AB365" s="1396"/>
      <c r="AS365" s="1396"/>
    </row>
    <row r="366" spans="1:61" s="1324" customFormat="1" ht="25.5" hidden="1" customHeight="1">
      <c r="A366" s="212" t="s">
        <v>493</v>
      </c>
      <c r="B366" s="1315"/>
      <c r="C366" s="1316"/>
      <c r="D366" s="1315"/>
      <c r="E366" s="1317"/>
      <c r="F366" s="1318" t="s">
        <v>1641</v>
      </c>
      <c r="G366" s="1319"/>
      <c r="H366" s="1320"/>
      <c r="I366" s="1321"/>
      <c r="J366" s="1319"/>
      <c r="K366" s="1322"/>
      <c r="L366" s="1323"/>
      <c r="M366" s="1318"/>
      <c r="N366" s="1318"/>
      <c r="O366" s="1323"/>
      <c r="P366" s="1323"/>
      <c r="Q366" s="1318"/>
      <c r="R366" s="1318"/>
      <c r="S366" s="1318"/>
      <c r="T366" s="1318"/>
      <c r="U366" s="1318"/>
      <c r="V366" s="1318"/>
      <c r="W366" s="1318"/>
      <c r="X366" s="1317"/>
      <c r="Y366" s="1317"/>
      <c r="Z366" s="1317"/>
      <c r="AA366" s="1317"/>
      <c r="AB366" s="1317"/>
      <c r="AC366" s="1317"/>
      <c r="AD366" s="1323"/>
      <c r="AE366" s="1317"/>
      <c r="AF366" s="1317"/>
      <c r="AG366" s="1317"/>
      <c r="AH366" s="1317"/>
      <c r="AI366" s="1317"/>
      <c r="AJ366" s="1317"/>
      <c r="AK366" s="1317"/>
      <c r="AL366" s="1317"/>
      <c r="AM366" s="1317"/>
      <c r="AN366" s="1317"/>
      <c r="AO366" s="1317"/>
      <c r="AP366" s="1317"/>
      <c r="AQ366" s="1317"/>
      <c r="AR366" s="1317"/>
      <c r="AS366" s="1317"/>
      <c r="AT366" s="1317"/>
      <c r="AU366" s="1317"/>
      <c r="AV366" s="1317"/>
      <c r="AW366" s="1317"/>
      <c r="AX366" s="1317"/>
      <c r="AY366" s="1317"/>
      <c r="AZ366" s="1317"/>
      <c r="BA366" s="1317"/>
      <c r="BB366" s="1317"/>
      <c r="BC366" s="1317"/>
      <c r="BD366" s="1317"/>
      <c r="BE366" s="1317"/>
      <c r="BF366" s="1317"/>
      <c r="BG366" s="1317"/>
      <c r="BH366" s="1317"/>
      <c r="BI366" s="1317"/>
    </row>
    <row r="367" spans="1:61" s="995" customFormat="1" hidden="1">
      <c r="A367" s="212" t="s">
        <v>493</v>
      </c>
      <c r="B367" s="943"/>
      <c r="C367" s="1092"/>
      <c r="D367" s="943"/>
      <c r="E367" s="14"/>
      <c r="F367" s="1201"/>
      <c r="G367" s="1202"/>
      <c r="H367" s="1202"/>
      <c r="I367" s="1202"/>
      <c r="J367" s="1202"/>
      <c r="K367" s="1202"/>
      <c r="L367" s="1202"/>
      <c r="M367" s="1202"/>
      <c r="N367" s="1202"/>
      <c r="O367" s="1202"/>
      <c r="P367" s="1202"/>
      <c r="Q367" s="1202"/>
      <c r="R367" s="1202"/>
      <c r="S367" s="1202"/>
      <c r="T367" s="1202"/>
      <c r="U367" s="1202"/>
      <c r="V367" s="1202"/>
      <c r="W367" s="1202"/>
      <c r="X367" s="14"/>
      <c r="Y367" s="14"/>
      <c r="Z367" s="14"/>
      <c r="AA367" s="14"/>
      <c r="AB367" s="16"/>
      <c r="AD367" s="1428"/>
      <c r="AE367" s="1406"/>
      <c r="AF367" s="1406"/>
      <c r="AG367" s="1406"/>
      <c r="AH367" s="1406"/>
      <c r="AI367" s="1406"/>
      <c r="AJ367" s="1406"/>
      <c r="AK367" s="1406"/>
      <c r="AL367" s="1407"/>
      <c r="AM367" s="1407"/>
      <c r="AS367" s="16"/>
    </row>
    <row r="368" spans="1:61" s="1167" customFormat="1" ht="21" hidden="1">
      <c r="A368" s="212" t="s">
        <v>493</v>
      </c>
      <c r="B368" s="1168"/>
      <c r="C368" s="1173"/>
      <c r="D368" s="1168"/>
      <c r="E368" s="1169"/>
      <c r="F368" s="1170" t="str">
        <f>"DPG bij bronmethode "&amp;EP_bronmethode</f>
        <v>DPG bij bronmethode GPR 4.4 | NTA 8800</v>
      </c>
      <c r="G368" s="1203"/>
      <c r="H368" s="1203"/>
      <c r="I368" s="1203"/>
      <c r="J368" s="1203"/>
      <c r="K368" s="1203"/>
      <c r="L368" s="1203"/>
      <c r="M368" s="1203"/>
      <c r="N368" s="1203"/>
      <c r="O368" s="1203"/>
      <c r="P368" s="1203"/>
      <c r="Q368" s="1203"/>
      <c r="R368" s="1203"/>
      <c r="S368" s="1203" t="s">
        <v>518</v>
      </c>
      <c r="T368" s="1203" t="s">
        <v>518</v>
      </c>
      <c r="U368" s="1203"/>
      <c r="V368" s="1204"/>
      <c r="W368" s="1204"/>
      <c r="X368" s="1169"/>
      <c r="Y368" s="1169"/>
      <c r="Z368" s="1169"/>
      <c r="AA368" s="1169"/>
      <c r="AB368" s="1400"/>
      <c r="AD368" s="1440"/>
      <c r="AE368" s="1426"/>
      <c r="AF368" s="1426"/>
      <c r="AG368" s="1426"/>
      <c r="AH368" s="1426"/>
      <c r="AI368" s="1426"/>
      <c r="AJ368" s="1426"/>
      <c r="AK368" s="1426"/>
      <c r="AL368" s="1427"/>
      <c r="AM368" s="1427"/>
      <c r="AS368" s="1400"/>
    </row>
    <row r="369" spans="1:45" s="211" customFormat="1" ht="80" hidden="1">
      <c r="A369" s="212" t="s">
        <v>493</v>
      </c>
      <c r="B369" s="1163"/>
      <c r="C369" s="1164" t="s">
        <v>1638</v>
      </c>
      <c r="D369" s="1163"/>
      <c r="E369" s="14"/>
      <c r="F369" s="1205" t="s">
        <v>523</v>
      </c>
      <c r="G369" s="1205" t="s">
        <v>524</v>
      </c>
      <c r="H369" s="1205" t="s">
        <v>525</v>
      </c>
      <c r="I369" s="1205"/>
      <c r="J369" s="1205" t="s">
        <v>534</v>
      </c>
      <c r="K369" s="1205" t="s">
        <v>535</v>
      </c>
      <c r="L369" s="1205"/>
      <c r="M369" s="1205" t="s">
        <v>536</v>
      </c>
      <c r="N369" s="1205" t="s">
        <v>537</v>
      </c>
      <c r="O369" s="1205"/>
      <c r="P369" s="1205" t="s">
        <v>431</v>
      </c>
      <c r="Q369" s="1205" t="s">
        <v>538</v>
      </c>
      <c r="R369" s="1205"/>
      <c r="S369" s="1205" t="s">
        <v>539</v>
      </c>
      <c r="T369" s="1205" t="s">
        <v>484</v>
      </c>
      <c r="U369" s="1205"/>
      <c r="V369" s="1202"/>
      <c r="W369" s="1202"/>
      <c r="X369" s="14"/>
      <c r="Y369" s="14"/>
      <c r="Z369" s="14"/>
      <c r="AA369" s="14"/>
      <c r="AB369" s="16"/>
      <c r="AD369" s="1438"/>
      <c r="AE369" s="1423"/>
      <c r="AF369" s="1423"/>
      <c r="AG369" s="1423"/>
      <c r="AH369" s="1423"/>
      <c r="AI369" s="1423"/>
      <c r="AJ369" s="1423"/>
      <c r="AK369" s="1423"/>
      <c r="AL369" s="1424"/>
      <c r="AM369" s="1424"/>
      <c r="AS369" s="16"/>
    </row>
    <row r="370" spans="1:45" hidden="1">
      <c r="A370" s="212" t="s">
        <v>493</v>
      </c>
      <c r="C370" s="1164" t="s">
        <v>204</v>
      </c>
      <c r="E370" s="14"/>
      <c r="F370" s="1332" t="s">
        <v>457</v>
      </c>
      <c r="G370" s="1332" t="s">
        <v>457</v>
      </c>
      <c r="H370" s="1332"/>
      <c r="I370" s="1332"/>
      <c r="J370" s="1332" t="s">
        <v>440</v>
      </c>
      <c r="K370" s="1332" t="s">
        <v>440</v>
      </c>
      <c r="L370" s="1332"/>
      <c r="M370" s="1332"/>
      <c r="N370" s="1332" t="s">
        <v>440</v>
      </c>
      <c r="O370" s="1332"/>
      <c r="P370" s="1332" t="s">
        <v>440</v>
      </c>
      <c r="Q370" s="1332" t="s">
        <v>440</v>
      </c>
      <c r="R370" s="1332"/>
      <c r="S370" s="1332" t="s">
        <v>440</v>
      </c>
      <c r="T370" s="1332"/>
      <c r="U370" s="1332"/>
      <c r="V370" s="1202"/>
      <c r="W370" s="1202"/>
      <c r="X370" s="14"/>
      <c r="Y370" s="14"/>
      <c r="Z370" s="14"/>
      <c r="AA370" s="14"/>
      <c r="AB370" s="16"/>
      <c r="AS370" s="16"/>
    </row>
    <row r="371" spans="1:45" hidden="1">
      <c r="A371" s="212" t="s">
        <v>493</v>
      </c>
      <c r="C371" s="1164" t="s">
        <v>1639</v>
      </c>
      <c r="E371" s="14"/>
      <c r="F371" s="907" t="s">
        <v>1418</v>
      </c>
      <c r="G371" s="1207"/>
      <c r="H371" s="1208"/>
      <c r="I371" s="1208"/>
      <c r="J371" s="1208"/>
      <c r="K371" s="1208"/>
      <c r="L371" s="1208"/>
      <c r="M371" s="1208"/>
      <c r="N371" s="907" t="s">
        <v>1420</v>
      </c>
      <c r="O371" s="907"/>
      <c r="P371" s="907"/>
      <c r="Q371" s="1209"/>
      <c r="R371" s="1209"/>
      <c r="S371" s="1208"/>
      <c r="T371" s="1209" t="s">
        <v>1412</v>
      </c>
      <c r="U371" s="1209"/>
      <c r="V371" s="1202"/>
      <c r="W371" s="1202"/>
      <c r="X371" s="14"/>
      <c r="Y371" s="14"/>
      <c r="Z371" s="14"/>
      <c r="AA371" s="14"/>
      <c r="AB371" s="16"/>
      <c r="AS371" s="16"/>
    </row>
    <row r="372" spans="1:45" hidden="1">
      <c r="A372" s="212" t="s">
        <v>493</v>
      </c>
      <c r="C372" s="1164" t="str">
        <f t="shared" ref="C372:C383" si="156">F44</f>
        <v>woning</v>
      </c>
      <c r="E372" s="14"/>
      <c r="F372" s="1210">
        <f t="shared" ref="F372:F383" si="157">INDEX(Energie_DPG_Score_6,MATCH($F44,Gebruiksfuncties,0),MATCH(EP_bronmethode,GPR_Versie_En_EP_Methode,0))</f>
        <v>2.1714821124228192</v>
      </c>
      <c r="G372" s="1211">
        <f t="shared" ref="G372:G383" si="158">INDEX(Energie_DPG_Score_10,MATCH($F44,Gebruiksfuncties,0),MATCH(EP_bronmethode,GPR_Versie_En_EP_Methode,0))</f>
        <v>-0.34896741831981437</v>
      </c>
      <c r="H372" s="1186">
        <f t="shared" ref="H372:H383" si="159">(LN(6/10)/(F372-G372))</f>
        <v>-0.20267242709497119</v>
      </c>
      <c r="I372" s="1162"/>
      <c r="J372" s="1162"/>
      <c r="K372" s="1162"/>
      <c r="L372" s="1162"/>
      <c r="M372" s="1185">
        <f t="shared" ref="M372:M383" si="160">M$385</f>
        <v>9.9532093528295782</v>
      </c>
      <c r="N372" s="1212">
        <f t="shared" ref="N372:N383" si="161">IFERROR(LN(M372/10)/H372+G372,0)</f>
        <v>-0.32582640266649132</v>
      </c>
      <c r="O372" s="1213"/>
      <c r="P372" s="1213" t="str">
        <f t="shared" ref="P372:P383" si="162">$M350</f>
        <v/>
      </c>
      <c r="Q372" s="1186" t="str">
        <f t="shared" ref="Q372:Q383" si="163">IFERROR(N372-P372,"")</f>
        <v/>
      </c>
      <c r="R372" s="1186"/>
      <c r="S372" s="1191" t="str">
        <f t="shared" ref="S372:S383" si="164">IFERROR(Q372+M350,"")</f>
        <v/>
      </c>
      <c r="T372" s="1191" t="str">
        <f t="shared" ref="T372:T383" si="165">IFERROR(10*EXP(H372*(S372-G372)),"")</f>
        <v/>
      </c>
      <c r="U372" s="1191"/>
      <c r="V372" s="1202"/>
      <c r="W372" s="1202"/>
      <c r="X372" s="14"/>
      <c r="Y372" s="14"/>
      <c r="Z372" s="14"/>
      <c r="AA372" s="14"/>
      <c r="AB372" s="16"/>
      <c r="AS372" s="16"/>
    </row>
    <row r="373" spans="1:45" hidden="1">
      <c r="A373" s="212" t="s">
        <v>493</v>
      </c>
      <c r="C373" s="1164" t="str">
        <f t="shared" si="156"/>
        <v>woongebouw</v>
      </c>
      <c r="E373" s="14"/>
      <c r="F373" s="1214">
        <f t="shared" si="157"/>
        <v>2.1714821124228192</v>
      </c>
      <c r="G373" s="1215">
        <f t="shared" si="158"/>
        <v>-0.34896741831981437</v>
      </c>
      <c r="H373" s="1186">
        <f t="shared" si="159"/>
        <v>-0.20267242709497119</v>
      </c>
      <c r="I373" s="1162"/>
      <c r="J373" s="1162"/>
      <c r="K373" s="1162"/>
      <c r="L373" s="1162"/>
      <c r="M373" s="1185">
        <f t="shared" si="160"/>
        <v>9.9532093528295782</v>
      </c>
      <c r="N373" s="1216">
        <f t="shared" si="161"/>
        <v>-0.32582640266649132</v>
      </c>
      <c r="O373" s="1213"/>
      <c r="P373" s="1213" t="str">
        <f t="shared" si="162"/>
        <v/>
      </c>
      <c r="Q373" s="1186" t="str">
        <f t="shared" si="163"/>
        <v/>
      </c>
      <c r="R373" s="1186"/>
      <c r="S373" s="1191" t="str">
        <f t="shared" si="164"/>
        <v/>
      </c>
      <c r="T373" s="1191" t="str">
        <f t="shared" si="165"/>
        <v/>
      </c>
      <c r="U373" s="1191"/>
      <c r="V373" s="1202"/>
      <c r="W373" s="1202"/>
      <c r="X373" s="14"/>
      <c r="Y373" s="14"/>
      <c r="Z373" s="14"/>
      <c r="AA373" s="14"/>
      <c r="AB373" s="16"/>
      <c r="AS373" s="16"/>
    </row>
    <row r="374" spans="1:45" hidden="1">
      <c r="A374" s="212" t="s">
        <v>493</v>
      </c>
      <c r="C374" s="1164" t="str">
        <f t="shared" si="156"/>
        <v>kantoor</v>
      </c>
      <c r="E374" s="14"/>
      <c r="F374" s="1214">
        <f t="shared" si="157"/>
        <v>3.4181135498615678</v>
      </c>
      <c r="G374" s="1215">
        <f t="shared" si="158"/>
        <v>-0.5305607399933423</v>
      </c>
      <c r="H374" s="1186">
        <f t="shared" si="159"/>
        <v>-0.1293663610286683</v>
      </c>
      <c r="I374" s="1162"/>
      <c r="J374" s="1162"/>
      <c r="K374" s="1162"/>
      <c r="L374" s="1162"/>
      <c r="M374" s="1185">
        <f t="shared" si="160"/>
        <v>9.9532093528295782</v>
      </c>
      <c r="N374" s="1216">
        <f t="shared" si="161"/>
        <v>-0.49430675734585661</v>
      </c>
      <c r="O374" s="1213"/>
      <c r="P374" s="1213">
        <f t="shared" si="162"/>
        <v>0</v>
      </c>
      <c r="Q374" s="1186">
        <f t="shared" si="163"/>
        <v>-0.49430675734585661</v>
      </c>
      <c r="R374" s="1186"/>
      <c r="S374" s="1191">
        <f t="shared" si="164"/>
        <v>-0.49430675734585661</v>
      </c>
      <c r="T374" s="1191">
        <f t="shared" si="165"/>
        <v>9.9532093528295782</v>
      </c>
      <c r="U374" s="1191"/>
      <c r="V374" s="1202"/>
      <c r="W374" s="1202"/>
      <c r="X374" s="14"/>
      <c r="Y374" s="14"/>
      <c r="Z374" s="14"/>
      <c r="AA374" s="14"/>
      <c r="AB374" s="16"/>
      <c r="AS374" s="16"/>
    </row>
    <row r="375" spans="1:45" hidden="1">
      <c r="A375" s="212" t="s">
        <v>493</v>
      </c>
      <c r="C375" s="1164" t="str">
        <f t="shared" si="156"/>
        <v>bijeenkomst overig</v>
      </c>
      <c r="E375" s="14"/>
      <c r="F375" s="1214">
        <f t="shared" si="157"/>
        <v>4.496642433386441</v>
      </c>
      <c r="G375" s="1215">
        <f t="shared" si="158"/>
        <v>0.18902985498063157</v>
      </c>
      <c r="H375" s="1186">
        <f t="shared" si="159"/>
        <v>-0.11858671467503248</v>
      </c>
      <c r="I375" s="1162"/>
      <c r="J375" s="1162"/>
      <c r="K375" s="1162"/>
      <c r="L375" s="1162"/>
      <c r="M375" s="1185">
        <f t="shared" si="160"/>
        <v>9.9532093528295782</v>
      </c>
      <c r="N375" s="1216">
        <f t="shared" si="161"/>
        <v>0.22857935949936295</v>
      </c>
      <c r="O375" s="1213"/>
      <c r="P375" s="1213">
        <f t="shared" si="162"/>
        <v>0</v>
      </c>
      <c r="Q375" s="1186">
        <f t="shared" si="163"/>
        <v>0.22857935949936295</v>
      </c>
      <c r="R375" s="1186"/>
      <c r="S375" s="1191">
        <f t="shared" si="164"/>
        <v>0.22857935949936295</v>
      </c>
      <c r="T375" s="1191">
        <f t="shared" si="165"/>
        <v>9.9532093528295782</v>
      </c>
      <c r="U375" s="1191"/>
      <c r="V375" s="1202"/>
      <c r="W375" s="1202"/>
      <c r="X375" s="14"/>
      <c r="Y375" s="14"/>
      <c r="Z375" s="14"/>
      <c r="AA375" s="14"/>
      <c r="AB375" s="16"/>
      <c r="AS375" s="16"/>
    </row>
    <row r="376" spans="1:45" hidden="1">
      <c r="A376" s="212" t="s">
        <v>493</v>
      </c>
      <c r="C376" s="1164" t="str">
        <f t="shared" si="156"/>
        <v>bijeenkomst kinderdagverblijf</v>
      </c>
      <c r="E376" s="14"/>
      <c r="F376" s="1214">
        <f t="shared" si="157"/>
        <v>4.9618935989874702</v>
      </c>
      <c r="G376" s="1215">
        <f t="shared" si="158"/>
        <v>0.22221092604712483</v>
      </c>
      <c r="H376" s="1186">
        <f t="shared" si="159"/>
        <v>-0.10777633420110193</v>
      </c>
      <c r="I376" s="1162"/>
      <c r="J376" s="1162"/>
      <c r="K376" s="1162"/>
      <c r="L376" s="1162"/>
      <c r="M376" s="1185">
        <f t="shared" si="160"/>
        <v>9.9532093528295782</v>
      </c>
      <c r="N376" s="1216">
        <f t="shared" si="161"/>
        <v>0.26572739784649463</v>
      </c>
      <c r="O376" s="1213"/>
      <c r="P376" s="1213">
        <f t="shared" si="162"/>
        <v>0</v>
      </c>
      <c r="Q376" s="1186">
        <f t="shared" si="163"/>
        <v>0.26572739784649463</v>
      </c>
      <c r="R376" s="1186"/>
      <c r="S376" s="1191">
        <f t="shared" si="164"/>
        <v>0.26572739784649463</v>
      </c>
      <c r="T376" s="1191">
        <f t="shared" si="165"/>
        <v>9.9532093528295782</v>
      </c>
      <c r="U376" s="1191"/>
      <c r="V376" s="1202"/>
      <c r="W376" s="1202"/>
      <c r="X376" s="14"/>
      <c r="Y376" s="14"/>
      <c r="Z376" s="14"/>
      <c r="AA376" s="14"/>
      <c r="AB376" s="16"/>
      <c r="AS376" s="16"/>
    </row>
    <row r="377" spans="1:45" hidden="1">
      <c r="A377" s="212" t="s">
        <v>493</v>
      </c>
      <c r="C377" s="1164" t="str">
        <f t="shared" si="156"/>
        <v>onderwijs</v>
      </c>
      <c r="E377" s="14"/>
      <c r="F377" s="1214">
        <f t="shared" si="157"/>
        <v>4.496374086733848</v>
      </c>
      <c r="G377" s="1215">
        <f t="shared" si="158"/>
        <v>1.0009891564366158E-2</v>
      </c>
      <c r="H377" s="1186">
        <f t="shared" si="159"/>
        <v>-0.11386182698141234</v>
      </c>
      <c r="I377" s="1162"/>
      <c r="J377" s="1162"/>
      <c r="K377" s="1162"/>
      <c r="L377" s="1162"/>
      <c r="M377" s="1185">
        <f t="shared" si="160"/>
        <v>9.9532093528295782</v>
      </c>
      <c r="N377" s="1216">
        <f t="shared" si="161"/>
        <v>5.1200569179853085E-2</v>
      </c>
      <c r="O377" s="1213"/>
      <c r="P377" s="1213" t="str">
        <f t="shared" si="162"/>
        <v/>
      </c>
      <c r="Q377" s="1186" t="str">
        <f t="shared" si="163"/>
        <v/>
      </c>
      <c r="R377" s="1186"/>
      <c r="S377" s="1191" t="str">
        <f t="shared" si="164"/>
        <v/>
      </c>
      <c r="T377" s="1191" t="str">
        <f t="shared" si="165"/>
        <v/>
      </c>
      <c r="U377" s="1191"/>
      <c r="V377" s="1202"/>
      <c r="W377" s="1202"/>
      <c r="X377" s="14"/>
      <c r="Y377" s="14"/>
      <c r="Z377" s="14"/>
      <c r="AA377" s="14"/>
      <c r="AB377" s="16"/>
      <c r="AS377" s="16"/>
    </row>
    <row r="378" spans="1:45" hidden="1">
      <c r="A378" s="212" t="s">
        <v>493</v>
      </c>
      <c r="C378" s="1164" t="str">
        <f t="shared" si="156"/>
        <v>gezondheid overig</v>
      </c>
      <c r="E378" s="14"/>
      <c r="F378" s="1214">
        <f t="shared" si="157"/>
        <v>3.0421145136275034</v>
      </c>
      <c r="G378" s="1215">
        <f t="shared" si="158"/>
        <v>-0.8488041379310346</v>
      </c>
      <c r="H378" s="1186">
        <f t="shared" si="159"/>
        <v>-0.13128663678470265</v>
      </c>
      <c r="I378" s="1162"/>
      <c r="J378" s="1162"/>
      <c r="K378" s="1162"/>
      <c r="L378" s="1162"/>
      <c r="M378" s="1185">
        <f t="shared" si="160"/>
        <v>9.9532093528295782</v>
      </c>
      <c r="N378" s="1216">
        <f t="shared" si="161"/>
        <v>-0.81308042740904962</v>
      </c>
      <c r="O378" s="1213"/>
      <c r="P378" s="1213" t="str">
        <f t="shared" si="162"/>
        <v/>
      </c>
      <c r="Q378" s="1186" t="str">
        <f t="shared" si="163"/>
        <v/>
      </c>
      <c r="R378" s="1186"/>
      <c r="S378" s="1191" t="str">
        <f t="shared" si="164"/>
        <v/>
      </c>
      <c r="T378" s="1191" t="str">
        <f t="shared" si="165"/>
        <v/>
      </c>
      <c r="U378" s="1191"/>
      <c r="V378" s="1202"/>
      <c r="W378" s="1202"/>
      <c r="X378" s="14"/>
      <c r="Y378" s="14"/>
      <c r="Z378" s="14"/>
      <c r="AA378" s="14"/>
      <c r="AB378" s="16"/>
      <c r="AS378" s="16"/>
    </row>
    <row r="379" spans="1:45" hidden="1">
      <c r="A379" s="212" t="s">
        <v>493</v>
      </c>
      <c r="C379" s="1164" t="str">
        <f t="shared" si="156"/>
        <v>gezondheid bedgebied</v>
      </c>
      <c r="E379" s="14"/>
      <c r="F379" s="1214">
        <f t="shared" si="157"/>
        <v>7.1710028268311063</v>
      </c>
      <c r="G379" s="1215">
        <f t="shared" si="158"/>
        <v>-1.0610051724137932</v>
      </c>
      <c r="H379" s="1186">
        <f t="shared" si="159"/>
        <v>-6.2053586902836758E-2</v>
      </c>
      <c r="I379" s="1162"/>
      <c r="J379" s="1162"/>
      <c r="K379" s="1162"/>
      <c r="L379" s="1162"/>
      <c r="M379" s="1185">
        <f t="shared" si="160"/>
        <v>9.9532093528295782</v>
      </c>
      <c r="N379" s="1216">
        <f t="shared" si="161"/>
        <v>-0.98542459694689299</v>
      </c>
      <c r="O379" s="1213"/>
      <c r="P379" s="1213" t="str">
        <f t="shared" si="162"/>
        <v/>
      </c>
      <c r="Q379" s="1186" t="str">
        <f t="shared" si="163"/>
        <v/>
      </c>
      <c r="R379" s="1186"/>
      <c r="S379" s="1191" t="str">
        <f t="shared" si="164"/>
        <v/>
      </c>
      <c r="T379" s="1191" t="str">
        <f t="shared" si="165"/>
        <v/>
      </c>
      <c r="U379" s="1191"/>
      <c r="V379" s="1202"/>
      <c r="W379" s="1202"/>
      <c r="X379" s="14"/>
      <c r="Y379" s="14"/>
      <c r="Z379" s="14"/>
      <c r="AA379" s="14"/>
      <c r="AB379" s="16"/>
      <c r="AS379" s="16"/>
    </row>
    <row r="380" spans="1:45" hidden="1">
      <c r="A380" s="212" t="s">
        <v>493</v>
      </c>
      <c r="C380" s="1164" t="str">
        <f t="shared" si="156"/>
        <v>winkel</v>
      </c>
      <c r="E380" s="14"/>
      <c r="F380" s="1214">
        <f t="shared" si="157"/>
        <v>6.2190488086838158</v>
      </c>
      <c r="G380" s="1215">
        <f t="shared" si="158"/>
        <v>-0.31109441289929285</v>
      </c>
      <c r="H380" s="1186">
        <f t="shared" si="159"/>
        <v>-7.8225791752565998E-2</v>
      </c>
      <c r="I380" s="1162"/>
      <c r="J380" s="1162"/>
      <c r="K380" s="1162"/>
      <c r="L380" s="1162"/>
      <c r="M380" s="1185">
        <f t="shared" si="160"/>
        <v>9.9532093528295782</v>
      </c>
      <c r="N380" s="1216">
        <f t="shared" si="161"/>
        <v>-0.25113917687257842</v>
      </c>
      <c r="O380" s="1213"/>
      <c r="P380" s="1213" t="str">
        <f t="shared" si="162"/>
        <v/>
      </c>
      <c r="Q380" s="1186" t="str">
        <f t="shared" si="163"/>
        <v/>
      </c>
      <c r="R380" s="1186"/>
      <c r="S380" s="1191" t="str">
        <f t="shared" si="164"/>
        <v/>
      </c>
      <c r="T380" s="1191" t="str">
        <f t="shared" si="165"/>
        <v/>
      </c>
      <c r="U380" s="1191"/>
      <c r="V380" s="1202"/>
      <c r="W380" s="1202"/>
      <c r="X380" s="14"/>
      <c r="Y380" s="14"/>
      <c r="Z380" s="14"/>
      <c r="AA380" s="14"/>
      <c r="AB380" s="16"/>
      <c r="AS380" s="16"/>
    </row>
    <row r="381" spans="1:45" hidden="1">
      <c r="A381" s="212" t="s">
        <v>493</v>
      </c>
      <c r="C381" s="1164" t="str">
        <f t="shared" si="156"/>
        <v>sport</v>
      </c>
      <c r="E381" s="14"/>
      <c r="F381" s="1214">
        <f t="shared" si="157"/>
        <v>3.3552740384012365</v>
      </c>
      <c r="G381" s="1215">
        <f t="shared" si="158"/>
        <v>0.21295480603468026</v>
      </c>
      <c r="H381" s="1186">
        <f t="shared" si="159"/>
        <v>-0.16256324898641047</v>
      </c>
      <c r="I381" s="1162"/>
      <c r="J381" s="1162"/>
      <c r="K381" s="1162"/>
      <c r="L381" s="1162"/>
      <c r="M381" s="1185">
        <f t="shared" si="160"/>
        <v>9.9532093528295782</v>
      </c>
      <c r="N381" s="1216">
        <f t="shared" si="161"/>
        <v>0.24180539703322612</v>
      </c>
      <c r="O381" s="1213"/>
      <c r="P381" s="1213" t="str">
        <f t="shared" si="162"/>
        <v/>
      </c>
      <c r="Q381" s="1186" t="str">
        <f t="shared" si="163"/>
        <v/>
      </c>
      <c r="R381" s="1186"/>
      <c r="S381" s="1191" t="str">
        <f t="shared" si="164"/>
        <v/>
      </c>
      <c r="T381" s="1191" t="str">
        <f t="shared" si="165"/>
        <v/>
      </c>
      <c r="U381" s="1191"/>
      <c r="V381" s="1202"/>
      <c r="W381" s="1202"/>
      <c r="X381" s="14"/>
      <c r="Y381" s="14"/>
      <c r="Z381" s="14"/>
      <c r="AA381" s="14"/>
      <c r="AB381" s="16"/>
      <c r="AS381" s="16"/>
    </row>
    <row r="382" spans="1:45" hidden="1">
      <c r="A382" s="212" t="s">
        <v>493</v>
      </c>
      <c r="C382" s="1164" t="str">
        <f t="shared" si="156"/>
        <v>logies in logiesgebouw</v>
      </c>
      <c r="E382" s="14"/>
      <c r="F382" s="1214">
        <f t="shared" si="157"/>
        <v>4.1124807048073482</v>
      </c>
      <c r="G382" s="1215">
        <f t="shared" si="158"/>
        <v>-5.0641157782819524E-2</v>
      </c>
      <c r="H382" s="1186">
        <f t="shared" si="159"/>
        <v>-0.1227025392545609</v>
      </c>
      <c r="I382" s="1162"/>
      <c r="J382" s="1162"/>
      <c r="K382" s="1162"/>
      <c r="L382" s="1162"/>
      <c r="M382" s="1185">
        <f t="shared" si="160"/>
        <v>9.9532093528295782</v>
      </c>
      <c r="N382" s="1216">
        <f t="shared" si="161"/>
        <v>-1.2418266582730722E-2</v>
      </c>
      <c r="O382" s="1213"/>
      <c r="P382" s="1213" t="str">
        <f t="shared" si="162"/>
        <v/>
      </c>
      <c r="Q382" s="1186" t="str">
        <f t="shared" si="163"/>
        <v/>
      </c>
      <c r="R382" s="1186"/>
      <c r="S382" s="1191" t="str">
        <f t="shared" si="164"/>
        <v/>
      </c>
      <c r="T382" s="1191" t="str">
        <f t="shared" si="165"/>
        <v/>
      </c>
      <c r="U382" s="1191"/>
      <c r="V382" s="1202"/>
      <c r="W382" s="1202"/>
      <c r="X382" s="14"/>
      <c r="Y382" s="14"/>
      <c r="Z382" s="14"/>
      <c r="AA382" s="14"/>
      <c r="AB382" s="16"/>
      <c r="AS382" s="16"/>
    </row>
    <row r="383" spans="1:45" hidden="1">
      <c r="A383" s="212" t="s">
        <v>493</v>
      </c>
      <c r="C383" s="1164" t="str">
        <f t="shared" si="156"/>
        <v>cel</v>
      </c>
      <c r="E383" s="14"/>
      <c r="F383" s="1217">
        <f t="shared" si="157"/>
        <v>5.5749410370927412</v>
      </c>
      <c r="G383" s="1218">
        <f t="shared" si="158"/>
        <v>-0.53050258620689661</v>
      </c>
      <c r="H383" s="1186">
        <f t="shared" si="159"/>
        <v>-8.3667241118495356E-2</v>
      </c>
      <c r="I383" s="1162"/>
      <c r="J383" s="1162"/>
      <c r="K383" s="1162"/>
      <c r="L383" s="1162"/>
      <c r="M383" s="1185">
        <f t="shared" si="160"/>
        <v>9.9532093528295782</v>
      </c>
      <c r="N383" s="1219">
        <f t="shared" si="161"/>
        <v>-0.47444664668739772</v>
      </c>
      <c r="O383" s="1213"/>
      <c r="P383" s="1213" t="str">
        <f t="shared" si="162"/>
        <v/>
      </c>
      <c r="Q383" s="1186" t="str">
        <f t="shared" si="163"/>
        <v/>
      </c>
      <c r="R383" s="1186"/>
      <c r="S383" s="1191" t="str">
        <f t="shared" si="164"/>
        <v/>
      </c>
      <c r="T383" s="1191" t="str">
        <f t="shared" si="165"/>
        <v/>
      </c>
      <c r="U383" s="1191"/>
      <c r="V383" s="1202"/>
      <c r="W383" s="1202"/>
      <c r="X383" s="14"/>
      <c r="Y383" s="14"/>
      <c r="Z383" s="14"/>
      <c r="AA383" s="14"/>
      <c r="AB383" s="16"/>
      <c r="AS383" s="16"/>
    </row>
    <row r="384" spans="1:45" hidden="1">
      <c r="A384" s="212" t="s">
        <v>493</v>
      </c>
      <c r="C384" s="1164"/>
      <c r="E384" s="14"/>
      <c r="F384" s="908" t="s">
        <v>1419</v>
      </c>
      <c r="G384" s="1198"/>
      <c r="H384" s="1162"/>
      <c r="I384" s="1162"/>
      <c r="J384" s="1162"/>
      <c r="K384" s="1162"/>
      <c r="L384" s="1162"/>
      <c r="M384" s="1198"/>
      <c r="N384" s="1162"/>
      <c r="O384" s="1162"/>
      <c r="P384" s="1220"/>
      <c r="Q384" s="1198"/>
      <c r="R384" s="1198"/>
      <c r="S384" s="1198"/>
      <c r="T384" s="1198"/>
      <c r="U384" s="1198"/>
      <c r="V384" s="1202"/>
      <c r="W384" s="1202"/>
      <c r="X384" s="14"/>
      <c r="Y384" s="14"/>
      <c r="Z384" s="14"/>
      <c r="AA384" s="14"/>
      <c r="AB384" s="16"/>
      <c r="AS384" s="16"/>
    </row>
    <row r="385" spans="1:45" hidden="1">
      <c r="A385" s="212" t="s">
        <v>493</v>
      </c>
      <c r="C385" s="1164" t="e">
        <f>#REF!</f>
        <v>#REF!</v>
      </c>
      <c r="E385" s="14"/>
      <c r="F385" s="1221">
        <f>IF(SUM($M$44:$M$55)=0,0,SUMPRODUCT($M$44:$M$55,F$372:F$383)/SUM($M$44:$M$55))</f>
        <v>4.2922165274118269</v>
      </c>
      <c r="G385" s="1200">
        <f>IF(SUM($M$44:$M$55)=0,0,SUMPRODUCT($M$44:$M$55,G$372:G$383)/SUM($M$44:$M$55))</f>
        <v>-3.9773319655195288E-2</v>
      </c>
      <c r="H385" s="1222">
        <f>(LN(6/10)/(F385-G385))</f>
        <v>-0.11791939542791073</v>
      </c>
      <c r="I385" s="1222"/>
      <c r="J385" s="1200">
        <f>IF(OR($M$58="",$M$58=0),"",SUMPRODUCT($G$227:$M$227,G233:M233)/$J$275)</f>
        <v>0</v>
      </c>
      <c r="K385" s="1200">
        <f>J385+$J$272</f>
        <v>0</v>
      </c>
      <c r="L385" s="1200"/>
      <c r="M385" s="1223">
        <f>IFERROR(10*EXP(H385*(K385-G385)),"")</f>
        <v>9.9532093528295782</v>
      </c>
      <c r="N385" s="1162"/>
      <c r="O385" s="1162"/>
      <c r="P385" s="1213">
        <f>$J$272</f>
        <v>0</v>
      </c>
      <c r="Q385" s="1190">
        <f>J385*$J$275</f>
        <v>0</v>
      </c>
      <c r="R385" s="1224" t="s">
        <v>551</v>
      </c>
      <c r="S385" s="1224"/>
      <c r="T385" s="1198"/>
      <c r="U385" s="1198"/>
      <c r="V385" s="1202"/>
      <c r="W385" s="1202"/>
      <c r="X385" s="14"/>
      <c r="Y385" s="14"/>
      <c r="Z385" s="14"/>
      <c r="AA385" s="14"/>
      <c r="AB385" s="16"/>
      <c r="AS385" s="16"/>
    </row>
    <row r="386" spans="1:45" s="995" customFormat="1" hidden="1">
      <c r="A386" s="212" t="s">
        <v>493</v>
      </c>
      <c r="B386" s="943"/>
      <c r="C386" s="1092"/>
      <c r="D386" s="943"/>
      <c r="E386" s="14"/>
      <c r="F386" s="1201"/>
      <c r="G386" s="1202"/>
      <c r="H386" s="1202"/>
      <c r="I386" s="1202"/>
      <c r="J386" s="1202"/>
      <c r="K386" s="1202"/>
      <c r="L386" s="1202"/>
      <c r="M386" s="1202"/>
      <c r="N386" s="1202"/>
      <c r="O386" s="1202"/>
      <c r="P386" s="1202"/>
      <c r="Q386" s="1202"/>
      <c r="R386" s="1202"/>
      <c r="S386" s="1202"/>
      <c r="T386" s="1202"/>
      <c r="U386" s="1202"/>
      <c r="V386" s="1202"/>
      <c r="W386" s="1202"/>
      <c r="X386" s="14"/>
      <c r="Y386" s="14"/>
      <c r="Z386" s="14"/>
      <c r="AA386" s="14"/>
      <c r="AB386" s="16"/>
      <c r="AD386" s="1428"/>
      <c r="AE386" s="1406"/>
      <c r="AF386" s="1406"/>
      <c r="AG386" s="1406"/>
      <c r="AH386" s="1406"/>
      <c r="AI386" s="1406"/>
      <c r="AJ386" s="1406"/>
      <c r="AK386" s="1406"/>
      <c r="AL386" s="1407"/>
      <c r="AM386" s="1407"/>
      <c r="AS386" s="16"/>
    </row>
    <row r="387" spans="1:45" s="1167" customFormat="1" ht="21" hidden="1">
      <c r="A387" s="212" t="s">
        <v>493</v>
      </c>
      <c r="B387" s="1168"/>
      <c r="C387" s="1173"/>
      <c r="D387" s="1168"/>
      <c r="E387" s="1169"/>
      <c r="F387" s="1170" t="str">
        <f>"DPG bij doelmethode "&amp;EP_doelmethode</f>
        <v>DPG bij doelmethode GPR 4.4 | NTA 8800</v>
      </c>
      <c r="G387" s="1203"/>
      <c r="H387" s="1203"/>
      <c r="I387" s="1203"/>
      <c r="J387" s="1203"/>
      <c r="K387" s="1203"/>
      <c r="L387" s="1203"/>
      <c r="M387" s="1203"/>
      <c r="N387" s="1203"/>
      <c r="O387" s="1203"/>
      <c r="P387" s="1203"/>
      <c r="Q387" s="1203"/>
      <c r="R387" s="1203"/>
      <c r="S387" s="1203"/>
      <c r="T387" s="1203"/>
      <c r="U387" s="1203"/>
      <c r="V387" s="1204"/>
      <c r="W387" s="1204"/>
      <c r="X387" s="1175"/>
      <c r="Y387" s="1175"/>
      <c r="Z387" s="1175"/>
      <c r="AA387" s="1175"/>
      <c r="AB387" s="1396"/>
      <c r="AD387" s="1440"/>
      <c r="AE387" s="1426"/>
      <c r="AF387" s="1426"/>
      <c r="AG387" s="1426"/>
      <c r="AH387" s="1426"/>
      <c r="AI387" s="1426"/>
      <c r="AJ387" s="1426"/>
      <c r="AK387" s="1426"/>
      <c r="AL387" s="1427"/>
      <c r="AM387" s="1427"/>
      <c r="AS387" s="1396"/>
    </row>
    <row r="388" spans="1:45" s="211" customFormat="1" ht="64" hidden="1">
      <c r="A388" s="212" t="s">
        <v>493</v>
      </c>
      <c r="B388" s="1163"/>
      <c r="C388" s="1164" t="s">
        <v>1638</v>
      </c>
      <c r="D388" s="1163"/>
      <c r="E388" s="14"/>
      <c r="F388" s="1205" t="s">
        <v>484</v>
      </c>
      <c r="G388" s="1205" t="s">
        <v>523</v>
      </c>
      <c r="H388" s="1205" t="s">
        <v>524</v>
      </c>
      <c r="I388" s="1205"/>
      <c r="J388" s="1205" t="s">
        <v>525</v>
      </c>
      <c r="K388" s="1205" t="s">
        <v>537</v>
      </c>
      <c r="L388" s="1205"/>
      <c r="M388" s="1205" t="s">
        <v>431</v>
      </c>
      <c r="N388" s="1205" t="s">
        <v>544</v>
      </c>
      <c r="O388" s="1205"/>
      <c r="P388" s="1205" t="s">
        <v>545</v>
      </c>
      <c r="Q388" s="1205" t="s">
        <v>546</v>
      </c>
      <c r="R388" s="1205"/>
      <c r="S388" s="1205" t="s">
        <v>547</v>
      </c>
      <c r="T388" s="1205" t="s">
        <v>548</v>
      </c>
      <c r="U388" s="1205"/>
      <c r="V388" s="1205" t="s">
        <v>549</v>
      </c>
      <c r="W388" s="1205" t="s">
        <v>550</v>
      </c>
      <c r="X388" s="1175"/>
      <c r="Y388" s="1175"/>
      <c r="Z388" s="1175"/>
      <c r="AA388" s="1175"/>
      <c r="AB388" s="1396"/>
      <c r="AD388" s="1438"/>
      <c r="AE388" s="1423"/>
      <c r="AF388" s="1423"/>
      <c r="AG388" s="1423"/>
      <c r="AH388" s="1423"/>
      <c r="AI388" s="1423"/>
      <c r="AJ388" s="1423"/>
      <c r="AK388" s="1423"/>
      <c r="AL388" s="1424"/>
      <c r="AM388" s="1424"/>
      <c r="AS388" s="1396"/>
    </row>
    <row r="389" spans="1:45" hidden="1">
      <c r="A389" s="212" t="s">
        <v>493</v>
      </c>
      <c r="C389" s="1164" t="s">
        <v>204</v>
      </c>
      <c r="E389" s="14"/>
      <c r="F389" s="1206"/>
      <c r="G389" s="1206" t="s">
        <v>457</v>
      </c>
      <c r="H389" s="1206" t="s">
        <v>457</v>
      </c>
      <c r="I389" s="1206"/>
      <c r="J389" s="1206"/>
      <c r="K389" s="1206" t="s">
        <v>457</v>
      </c>
      <c r="L389" s="1206"/>
      <c r="M389" s="1206" t="s">
        <v>457</v>
      </c>
      <c r="N389" s="1206" t="s">
        <v>457</v>
      </c>
      <c r="O389" s="1206"/>
      <c r="P389" s="1206" t="s">
        <v>551</v>
      </c>
      <c r="Q389" s="1206" t="s">
        <v>132</v>
      </c>
      <c r="R389" s="1206"/>
      <c r="S389" s="1206"/>
      <c r="T389" s="1206" t="s">
        <v>457</v>
      </c>
      <c r="U389" s="1206"/>
      <c r="V389" s="1206" t="s">
        <v>457</v>
      </c>
      <c r="W389" s="1206"/>
      <c r="X389" s="1175"/>
      <c r="Y389" s="1175"/>
      <c r="Z389" s="1175"/>
      <c r="AA389" s="1175"/>
      <c r="AB389" s="1396"/>
      <c r="AS389" s="1396"/>
    </row>
    <row r="390" spans="1:45" hidden="1">
      <c r="A390" s="212" t="s">
        <v>493</v>
      </c>
      <c r="C390" s="1164" t="s">
        <v>1639</v>
      </c>
      <c r="E390" s="14"/>
      <c r="F390" s="907" t="s">
        <v>1521</v>
      </c>
      <c r="G390" s="907"/>
      <c r="H390" s="907"/>
      <c r="I390" s="907"/>
      <c r="J390" s="907"/>
      <c r="K390" s="982" t="s">
        <v>1522</v>
      </c>
      <c r="L390" s="982"/>
      <c r="M390" s="907"/>
      <c r="N390" s="907" t="s">
        <v>1524</v>
      </c>
      <c r="O390" s="907"/>
      <c r="P390" s="1208"/>
      <c r="Q390" s="1208"/>
      <c r="R390" s="1208"/>
      <c r="S390" s="1208"/>
      <c r="T390" s="1208"/>
      <c r="U390" s="1208"/>
      <c r="V390" s="1209" t="s">
        <v>1412</v>
      </c>
      <c r="W390" s="1209" t="s">
        <v>1412</v>
      </c>
      <c r="X390" s="1175"/>
      <c r="Y390" s="1175"/>
      <c r="Z390" s="1175"/>
      <c r="AA390" s="1175"/>
      <c r="AB390" s="1396"/>
      <c r="AS390" s="1396"/>
    </row>
    <row r="391" spans="1:45" hidden="1">
      <c r="A391" s="212" t="s">
        <v>493</v>
      </c>
      <c r="C391" s="1164" t="str">
        <f t="shared" ref="C391:C402" si="166">F44</f>
        <v>woning</v>
      </c>
      <c r="E391" s="14"/>
      <c r="F391" s="1184">
        <f t="shared" ref="F391:F402" si="167">$AG$220</f>
        <v>9.9532093528295782</v>
      </c>
      <c r="G391" s="1185">
        <f t="shared" ref="G391:G402" si="168">INDEX(Energie_DPG_Score_6,MATCH($F44,Gebruiksfuncties,0),MATCH(EP_doelmethode,GPR_Versie_En_EP_Methode,0))</f>
        <v>2.1714821124228192</v>
      </c>
      <c r="H391" s="1185">
        <f t="shared" ref="H391:H402" si="169">INDEX(Energie_DPG_Score_10,MATCH($F44,Gebruiksfuncties,0),MATCH(EP_doelmethode,GPR_Versie_En_EP_Methode,0))</f>
        <v>-0.34896741831981437</v>
      </c>
      <c r="I391" s="1185"/>
      <c r="J391" s="1186">
        <f t="shared" ref="J391:J402" si="170">(LN(6/10)/(G391-H391))</f>
        <v>-0.20267242709497119</v>
      </c>
      <c r="K391" s="1187">
        <f t="shared" ref="K391:K402" si="171">IFERROR(LN(F391/10)/J391+H391,0)</f>
        <v>-0.32582640266649132</v>
      </c>
      <c r="L391" s="1188"/>
      <c r="M391" s="1188" t="str">
        <f t="shared" ref="M391:M402" si="172">$M350</f>
        <v/>
      </c>
      <c r="N391" s="1189" t="str">
        <f t="shared" ref="N391:N402" si="173">IFERROR(K391-M391,"")</f>
        <v/>
      </c>
      <c r="O391" s="1188"/>
      <c r="P391" s="1190" t="str">
        <f t="shared" ref="P391:P402" si="174">IFERROR(N391*M44/$M$58*$J$275,"")</f>
        <v/>
      </c>
      <c r="Q391" s="1191" t="str">
        <f t="shared" ref="Q391:Q402" si="175">IFERROR(P391/IF(EP_bronmethode=EP_doelmethode,$P$404,$Q$385),"")</f>
        <v/>
      </c>
      <c r="R391" s="1191"/>
      <c r="S391" s="1191" t="str">
        <f t="shared" ref="S391:S402" si="176">IFERROR($N391/$Q372*$Q391,"")</f>
        <v/>
      </c>
      <c r="T391" s="1191" t="str">
        <f t="shared" ref="T391:T402" si="177">IF(OR(M44="",M44=0),"",SUMPRODUCT($G$227:$M$227,$G236:$M236)/($M44/$M$58*$J$275))</f>
        <v/>
      </c>
      <c r="U391" s="1191"/>
      <c r="V391" s="1191" t="str">
        <f t="shared" ref="V391:V402" si="178">IF(M350="","",M391+T391)</f>
        <v/>
      </c>
      <c r="W391" s="1191" t="str">
        <f t="shared" ref="W391:W402" si="179">IFERROR(10*EXP(J391*(V391-H391)),"")</f>
        <v/>
      </c>
      <c r="X391" s="1182" t="b">
        <f>W391=T372</f>
        <v>1</v>
      </c>
      <c r="Y391" s="1175"/>
      <c r="Z391" s="1175"/>
      <c r="AA391" s="1175"/>
      <c r="AB391" s="1396"/>
      <c r="AS391" s="1396"/>
    </row>
    <row r="392" spans="1:45" hidden="1">
      <c r="A392" s="212" t="s">
        <v>493</v>
      </c>
      <c r="C392" s="1164" t="str">
        <f t="shared" si="166"/>
        <v>woongebouw</v>
      </c>
      <c r="E392" s="14"/>
      <c r="F392" s="1192">
        <f t="shared" si="167"/>
        <v>9.9532093528295782</v>
      </c>
      <c r="G392" s="1185">
        <f t="shared" si="168"/>
        <v>2.1714821124228192</v>
      </c>
      <c r="H392" s="1185">
        <f t="shared" si="169"/>
        <v>-0.34896741831981437</v>
      </c>
      <c r="I392" s="1185"/>
      <c r="J392" s="1186">
        <f t="shared" si="170"/>
        <v>-0.20267242709497119</v>
      </c>
      <c r="K392" s="1193">
        <f t="shared" si="171"/>
        <v>-0.32582640266649132</v>
      </c>
      <c r="L392" s="1188"/>
      <c r="M392" s="1188" t="str">
        <f t="shared" si="172"/>
        <v/>
      </c>
      <c r="N392" s="1194" t="str">
        <f t="shared" si="173"/>
        <v/>
      </c>
      <c r="O392" s="1188"/>
      <c r="P392" s="1190" t="str">
        <f t="shared" si="174"/>
        <v/>
      </c>
      <c r="Q392" s="1191" t="str">
        <f t="shared" si="175"/>
        <v/>
      </c>
      <c r="R392" s="1191"/>
      <c r="S392" s="1191" t="str">
        <f t="shared" si="176"/>
        <v/>
      </c>
      <c r="T392" s="1191" t="str">
        <f t="shared" si="177"/>
        <v/>
      </c>
      <c r="U392" s="1191"/>
      <c r="V392" s="1191" t="str">
        <f t="shared" si="178"/>
        <v/>
      </c>
      <c r="W392" s="1191" t="str">
        <f t="shared" si="179"/>
        <v/>
      </c>
      <c r="X392" s="1182" t="b">
        <f t="shared" ref="X392:X402" si="180">W392=T373</f>
        <v>1</v>
      </c>
      <c r="Y392" s="1175"/>
      <c r="Z392" s="1175"/>
      <c r="AA392" s="1175"/>
      <c r="AB392" s="1396"/>
      <c r="AS392" s="1396"/>
    </row>
    <row r="393" spans="1:45" hidden="1">
      <c r="A393" s="212" t="s">
        <v>493</v>
      </c>
      <c r="C393" s="1164" t="str">
        <f t="shared" si="166"/>
        <v>kantoor</v>
      </c>
      <c r="E393" s="14"/>
      <c r="F393" s="1192">
        <f t="shared" si="167"/>
        <v>9.9532093528295782</v>
      </c>
      <c r="G393" s="1185">
        <f t="shared" si="168"/>
        <v>3.4181135498615678</v>
      </c>
      <c r="H393" s="1185">
        <f t="shared" si="169"/>
        <v>-0.5305607399933423</v>
      </c>
      <c r="I393" s="1185"/>
      <c r="J393" s="1186">
        <f t="shared" si="170"/>
        <v>-0.1293663610286683</v>
      </c>
      <c r="K393" s="1193">
        <f t="shared" si="171"/>
        <v>-0.49430675734585661</v>
      </c>
      <c r="L393" s="1188"/>
      <c r="M393" s="1188">
        <f t="shared" si="172"/>
        <v>0</v>
      </c>
      <c r="N393" s="1194">
        <f t="shared" si="173"/>
        <v>-0.49430675734585661</v>
      </c>
      <c r="O393" s="1188"/>
      <c r="P393" s="1190">
        <f t="shared" si="174"/>
        <v>-0.16476891911528554</v>
      </c>
      <c r="Q393" s="1191">
        <f t="shared" si="175"/>
        <v>-516210951464236.06</v>
      </c>
      <c r="R393" s="1191"/>
      <c r="S393" s="1191">
        <f t="shared" si="176"/>
        <v>-516210951464236.06</v>
      </c>
      <c r="T393" s="1191">
        <f t="shared" si="177"/>
        <v>0</v>
      </c>
      <c r="U393" s="1191"/>
      <c r="V393" s="1191">
        <f t="shared" si="178"/>
        <v>0</v>
      </c>
      <c r="W393" s="1191">
        <f t="shared" si="179"/>
        <v>9.3366580783613315</v>
      </c>
      <c r="X393" s="1182" t="b">
        <f t="shared" si="180"/>
        <v>0</v>
      </c>
      <c r="Y393" s="1175"/>
      <c r="Z393" s="1175"/>
      <c r="AA393" s="1175"/>
      <c r="AB393" s="1396"/>
      <c r="AS393" s="1396"/>
    </row>
    <row r="394" spans="1:45" hidden="1">
      <c r="A394" s="212" t="s">
        <v>493</v>
      </c>
      <c r="C394" s="1164" t="str">
        <f t="shared" si="166"/>
        <v>bijeenkomst overig</v>
      </c>
      <c r="E394" s="14"/>
      <c r="F394" s="1192">
        <f t="shared" si="167"/>
        <v>9.9532093528295782</v>
      </c>
      <c r="G394" s="1185">
        <f t="shared" si="168"/>
        <v>4.496642433386441</v>
      </c>
      <c r="H394" s="1185">
        <f t="shared" si="169"/>
        <v>0.18902985498063157</v>
      </c>
      <c r="I394" s="1185"/>
      <c r="J394" s="1186">
        <f t="shared" si="170"/>
        <v>-0.11858671467503248</v>
      </c>
      <c r="K394" s="1193">
        <f t="shared" si="171"/>
        <v>0.22857935949936295</v>
      </c>
      <c r="L394" s="1188"/>
      <c r="M394" s="1188">
        <f t="shared" si="172"/>
        <v>0</v>
      </c>
      <c r="N394" s="1194">
        <f t="shared" si="173"/>
        <v>0.22857935949936295</v>
      </c>
      <c r="O394" s="1188"/>
      <c r="P394" s="1190">
        <f t="shared" si="174"/>
        <v>7.6193119833120979E-2</v>
      </c>
      <c r="Q394" s="1191">
        <f t="shared" si="175"/>
        <v>238708386844270.75</v>
      </c>
      <c r="R394" s="1191"/>
      <c r="S394" s="1191">
        <f t="shared" si="176"/>
        <v>238708386844270.75</v>
      </c>
      <c r="T394" s="1191">
        <f t="shared" si="177"/>
        <v>0</v>
      </c>
      <c r="U394" s="1191"/>
      <c r="V394" s="1191">
        <f t="shared" si="178"/>
        <v>0</v>
      </c>
      <c r="W394" s="1191">
        <f t="shared" si="179"/>
        <v>10.226695655633833</v>
      </c>
      <c r="X394" s="1182" t="b">
        <f t="shared" si="180"/>
        <v>0</v>
      </c>
      <c r="Y394" s="1175"/>
      <c r="Z394" s="1175"/>
      <c r="AA394" s="1175"/>
      <c r="AB394" s="1396"/>
      <c r="AS394" s="1396"/>
    </row>
    <row r="395" spans="1:45" hidden="1">
      <c r="A395" s="212" t="s">
        <v>493</v>
      </c>
      <c r="C395" s="1164" t="str">
        <f t="shared" si="166"/>
        <v>bijeenkomst kinderdagverblijf</v>
      </c>
      <c r="E395" s="14"/>
      <c r="F395" s="1192">
        <f t="shared" si="167"/>
        <v>9.9532093528295782</v>
      </c>
      <c r="G395" s="1185">
        <f t="shared" si="168"/>
        <v>4.9618935989874702</v>
      </c>
      <c r="H395" s="1185">
        <f t="shared" si="169"/>
        <v>0.22221092604712483</v>
      </c>
      <c r="I395" s="1185"/>
      <c r="J395" s="1186">
        <f t="shared" si="170"/>
        <v>-0.10777633420110193</v>
      </c>
      <c r="K395" s="1193">
        <f t="shared" si="171"/>
        <v>0.26572739784649463</v>
      </c>
      <c r="L395" s="1188"/>
      <c r="M395" s="1188">
        <f t="shared" si="172"/>
        <v>0</v>
      </c>
      <c r="N395" s="1194">
        <f t="shared" si="173"/>
        <v>0.26572739784649463</v>
      </c>
      <c r="O395" s="1188"/>
      <c r="P395" s="1190">
        <f t="shared" si="174"/>
        <v>8.8575799282164885E-2</v>
      </c>
      <c r="Q395" s="1191">
        <f t="shared" si="175"/>
        <v>277502564619966.34</v>
      </c>
      <c r="R395" s="1191"/>
      <c r="S395" s="1191">
        <f t="shared" si="176"/>
        <v>277502564619966.34</v>
      </c>
      <c r="T395" s="1191">
        <f t="shared" si="177"/>
        <v>0</v>
      </c>
      <c r="U395" s="1191"/>
      <c r="V395" s="1191">
        <f t="shared" si="178"/>
        <v>0</v>
      </c>
      <c r="W395" s="1191">
        <f t="shared" si="179"/>
        <v>10.242381613607767</v>
      </c>
      <c r="X395" s="1182" t="b">
        <f t="shared" si="180"/>
        <v>0</v>
      </c>
      <c r="Y395" s="1175"/>
      <c r="Z395" s="1175"/>
      <c r="AA395" s="1175"/>
      <c r="AB395" s="1396"/>
      <c r="AS395" s="1396"/>
    </row>
    <row r="396" spans="1:45" hidden="1">
      <c r="A396" s="212" t="s">
        <v>493</v>
      </c>
      <c r="C396" s="1164" t="str">
        <f t="shared" si="166"/>
        <v>onderwijs</v>
      </c>
      <c r="E396" s="14"/>
      <c r="F396" s="1192">
        <f t="shared" si="167"/>
        <v>9.9532093528295782</v>
      </c>
      <c r="G396" s="1185">
        <f t="shared" si="168"/>
        <v>4.496374086733848</v>
      </c>
      <c r="H396" s="1185">
        <f t="shared" si="169"/>
        <v>1.0009891564366158E-2</v>
      </c>
      <c r="I396" s="1185"/>
      <c r="J396" s="1186">
        <f t="shared" si="170"/>
        <v>-0.11386182698141234</v>
      </c>
      <c r="K396" s="1193">
        <f t="shared" si="171"/>
        <v>5.1200569179853085E-2</v>
      </c>
      <c r="L396" s="1188"/>
      <c r="M396" s="1188" t="str">
        <f t="shared" si="172"/>
        <v/>
      </c>
      <c r="N396" s="1194" t="str">
        <f t="shared" si="173"/>
        <v/>
      </c>
      <c r="O396" s="1188"/>
      <c r="P396" s="1190" t="str">
        <f t="shared" si="174"/>
        <v/>
      </c>
      <c r="Q396" s="1191" t="str">
        <f t="shared" si="175"/>
        <v/>
      </c>
      <c r="R396" s="1191"/>
      <c r="S396" s="1191" t="str">
        <f t="shared" si="176"/>
        <v/>
      </c>
      <c r="T396" s="1191" t="str">
        <f t="shared" si="177"/>
        <v/>
      </c>
      <c r="U396" s="1191"/>
      <c r="V396" s="1191" t="str">
        <f t="shared" si="178"/>
        <v/>
      </c>
      <c r="W396" s="1191" t="str">
        <f t="shared" si="179"/>
        <v/>
      </c>
      <c r="X396" s="1182" t="b">
        <f t="shared" si="180"/>
        <v>1</v>
      </c>
      <c r="Y396" s="1175"/>
      <c r="Z396" s="1175"/>
      <c r="AA396" s="1175"/>
      <c r="AB396" s="1396"/>
      <c r="AS396" s="1396"/>
    </row>
    <row r="397" spans="1:45" hidden="1">
      <c r="A397" s="212" t="s">
        <v>493</v>
      </c>
      <c r="C397" s="1164" t="str">
        <f t="shared" si="166"/>
        <v>gezondheid overig</v>
      </c>
      <c r="E397" s="14"/>
      <c r="F397" s="1192">
        <f t="shared" si="167"/>
        <v>9.9532093528295782</v>
      </c>
      <c r="G397" s="1185">
        <f t="shared" si="168"/>
        <v>3.0421145136275034</v>
      </c>
      <c r="H397" s="1185">
        <f t="shared" si="169"/>
        <v>-0.8488041379310346</v>
      </c>
      <c r="I397" s="1185"/>
      <c r="J397" s="1186">
        <f t="shared" si="170"/>
        <v>-0.13128663678470265</v>
      </c>
      <c r="K397" s="1193">
        <f t="shared" si="171"/>
        <v>-0.81308042740904962</v>
      </c>
      <c r="L397" s="1188"/>
      <c r="M397" s="1188" t="str">
        <f t="shared" si="172"/>
        <v/>
      </c>
      <c r="N397" s="1194" t="str">
        <f t="shared" si="173"/>
        <v/>
      </c>
      <c r="O397" s="1188"/>
      <c r="P397" s="1190" t="str">
        <f t="shared" si="174"/>
        <v/>
      </c>
      <c r="Q397" s="1191" t="str">
        <f t="shared" si="175"/>
        <v/>
      </c>
      <c r="R397" s="1191"/>
      <c r="S397" s="1191" t="str">
        <f t="shared" si="176"/>
        <v/>
      </c>
      <c r="T397" s="1191" t="str">
        <f t="shared" si="177"/>
        <v/>
      </c>
      <c r="U397" s="1191"/>
      <c r="V397" s="1191" t="str">
        <f t="shared" si="178"/>
        <v/>
      </c>
      <c r="W397" s="1191" t="str">
        <f t="shared" si="179"/>
        <v/>
      </c>
      <c r="X397" s="1182" t="b">
        <f t="shared" si="180"/>
        <v>1</v>
      </c>
      <c r="Y397" s="1175"/>
      <c r="Z397" s="1175"/>
      <c r="AA397" s="1175"/>
      <c r="AB397" s="1396"/>
      <c r="AS397" s="1396"/>
    </row>
    <row r="398" spans="1:45" hidden="1">
      <c r="A398" s="212" t="s">
        <v>493</v>
      </c>
      <c r="C398" s="1164" t="str">
        <f t="shared" si="166"/>
        <v>gezondheid bedgebied</v>
      </c>
      <c r="E398" s="14"/>
      <c r="F398" s="1192">
        <f t="shared" si="167"/>
        <v>9.9532093528295782</v>
      </c>
      <c r="G398" s="1185">
        <f t="shared" si="168"/>
        <v>7.1710028268311063</v>
      </c>
      <c r="H398" s="1185">
        <f t="shared" si="169"/>
        <v>-1.0610051724137932</v>
      </c>
      <c r="I398" s="1185"/>
      <c r="J398" s="1186">
        <f t="shared" si="170"/>
        <v>-6.2053586902836758E-2</v>
      </c>
      <c r="K398" s="1193">
        <f t="shared" si="171"/>
        <v>-0.98542459694689299</v>
      </c>
      <c r="L398" s="1188"/>
      <c r="M398" s="1188" t="str">
        <f t="shared" si="172"/>
        <v/>
      </c>
      <c r="N398" s="1194" t="str">
        <f t="shared" si="173"/>
        <v/>
      </c>
      <c r="O398" s="1188"/>
      <c r="P398" s="1190" t="str">
        <f t="shared" si="174"/>
        <v/>
      </c>
      <c r="Q398" s="1191" t="str">
        <f t="shared" si="175"/>
        <v/>
      </c>
      <c r="R398" s="1191"/>
      <c r="S398" s="1191" t="str">
        <f t="shared" si="176"/>
        <v/>
      </c>
      <c r="T398" s="1191" t="str">
        <f t="shared" si="177"/>
        <v/>
      </c>
      <c r="U398" s="1191"/>
      <c r="V398" s="1191" t="str">
        <f t="shared" si="178"/>
        <v/>
      </c>
      <c r="W398" s="1191" t="str">
        <f t="shared" si="179"/>
        <v/>
      </c>
      <c r="X398" s="1182" t="b">
        <f t="shared" si="180"/>
        <v>1</v>
      </c>
      <c r="Y398" s="1175"/>
      <c r="Z398" s="1175"/>
      <c r="AA398" s="1175"/>
      <c r="AB398" s="1396"/>
      <c r="AS398" s="1396"/>
    </row>
    <row r="399" spans="1:45" hidden="1">
      <c r="A399" s="212" t="s">
        <v>493</v>
      </c>
      <c r="C399" s="1164" t="str">
        <f t="shared" si="166"/>
        <v>winkel</v>
      </c>
      <c r="E399" s="14"/>
      <c r="F399" s="1192">
        <f t="shared" si="167"/>
        <v>9.9532093528295782</v>
      </c>
      <c r="G399" s="1185">
        <f t="shared" si="168"/>
        <v>6.2190488086838158</v>
      </c>
      <c r="H399" s="1185">
        <f t="shared" si="169"/>
        <v>-0.31109441289929285</v>
      </c>
      <c r="I399" s="1185"/>
      <c r="J399" s="1186">
        <f t="shared" si="170"/>
        <v>-7.8225791752565998E-2</v>
      </c>
      <c r="K399" s="1193">
        <f t="shared" si="171"/>
        <v>-0.25113917687257842</v>
      </c>
      <c r="L399" s="1188"/>
      <c r="M399" s="1188" t="str">
        <f t="shared" si="172"/>
        <v/>
      </c>
      <c r="N399" s="1194" t="str">
        <f t="shared" si="173"/>
        <v/>
      </c>
      <c r="O399" s="1188"/>
      <c r="P399" s="1190" t="str">
        <f t="shared" si="174"/>
        <v/>
      </c>
      <c r="Q399" s="1191" t="str">
        <f t="shared" si="175"/>
        <v/>
      </c>
      <c r="R399" s="1191"/>
      <c r="S399" s="1191" t="str">
        <f t="shared" si="176"/>
        <v/>
      </c>
      <c r="T399" s="1191" t="str">
        <f t="shared" si="177"/>
        <v/>
      </c>
      <c r="U399" s="1191"/>
      <c r="V399" s="1191" t="str">
        <f t="shared" si="178"/>
        <v/>
      </c>
      <c r="W399" s="1191" t="str">
        <f t="shared" si="179"/>
        <v/>
      </c>
      <c r="X399" s="1182" t="b">
        <f t="shared" si="180"/>
        <v>1</v>
      </c>
      <c r="Y399" s="1175"/>
      <c r="Z399" s="1175"/>
      <c r="AA399" s="1175"/>
      <c r="AB399" s="1396"/>
      <c r="AS399" s="1396"/>
    </row>
    <row r="400" spans="1:45" hidden="1">
      <c r="A400" s="212" t="s">
        <v>493</v>
      </c>
      <c r="C400" s="1164" t="str">
        <f t="shared" si="166"/>
        <v>sport</v>
      </c>
      <c r="E400" s="14"/>
      <c r="F400" s="1192">
        <f t="shared" si="167"/>
        <v>9.9532093528295782</v>
      </c>
      <c r="G400" s="1185">
        <f t="shared" si="168"/>
        <v>3.3552740384012365</v>
      </c>
      <c r="H400" s="1185">
        <f t="shared" si="169"/>
        <v>0.21295480603468026</v>
      </c>
      <c r="I400" s="1185"/>
      <c r="J400" s="1186">
        <f t="shared" si="170"/>
        <v>-0.16256324898641047</v>
      </c>
      <c r="K400" s="1193">
        <f t="shared" si="171"/>
        <v>0.24180539703322612</v>
      </c>
      <c r="L400" s="1188"/>
      <c r="M400" s="1188" t="str">
        <f t="shared" si="172"/>
        <v/>
      </c>
      <c r="N400" s="1194" t="str">
        <f t="shared" si="173"/>
        <v/>
      </c>
      <c r="O400" s="1188"/>
      <c r="P400" s="1190" t="str">
        <f t="shared" si="174"/>
        <v/>
      </c>
      <c r="Q400" s="1191" t="str">
        <f t="shared" si="175"/>
        <v/>
      </c>
      <c r="R400" s="1191"/>
      <c r="S400" s="1191" t="str">
        <f t="shared" si="176"/>
        <v/>
      </c>
      <c r="T400" s="1191" t="str">
        <f t="shared" si="177"/>
        <v/>
      </c>
      <c r="U400" s="1191"/>
      <c r="V400" s="1191" t="str">
        <f t="shared" si="178"/>
        <v/>
      </c>
      <c r="W400" s="1191" t="str">
        <f t="shared" si="179"/>
        <v/>
      </c>
      <c r="X400" s="1182" t="b">
        <f t="shared" si="180"/>
        <v>1</v>
      </c>
      <c r="Y400" s="1175"/>
      <c r="Z400" s="1175"/>
      <c r="AA400" s="1175"/>
      <c r="AB400" s="1396"/>
      <c r="AS400" s="1396"/>
    </row>
    <row r="401" spans="1:61" hidden="1">
      <c r="A401" s="212" t="s">
        <v>493</v>
      </c>
      <c r="C401" s="1164" t="str">
        <f t="shared" si="166"/>
        <v>logies in logiesgebouw</v>
      </c>
      <c r="E401" s="14"/>
      <c r="F401" s="1192">
        <f t="shared" si="167"/>
        <v>9.9532093528295782</v>
      </c>
      <c r="G401" s="1185">
        <f t="shared" si="168"/>
        <v>4.1124807048073482</v>
      </c>
      <c r="H401" s="1185">
        <f t="shared" si="169"/>
        <v>-5.0641157782819524E-2</v>
      </c>
      <c r="I401" s="1185"/>
      <c r="J401" s="1186">
        <f t="shared" si="170"/>
        <v>-0.1227025392545609</v>
      </c>
      <c r="K401" s="1193">
        <f t="shared" si="171"/>
        <v>-1.2418266582730722E-2</v>
      </c>
      <c r="L401" s="1188"/>
      <c r="M401" s="1188" t="str">
        <f t="shared" si="172"/>
        <v/>
      </c>
      <c r="N401" s="1194" t="str">
        <f t="shared" si="173"/>
        <v/>
      </c>
      <c r="O401" s="1188"/>
      <c r="P401" s="1190" t="str">
        <f t="shared" si="174"/>
        <v/>
      </c>
      <c r="Q401" s="1191" t="str">
        <f t="shared" si="175"/>
        <v/>
      </c>
      <c r="R401" s="1191"/>
      <c r="S401" s="1191" t="str">
        <f t="shared" si="176"/>
        <v/>
      </c>
      <c r="T401" s="1191" t="str">
        <f t="shared" si="177"/>
        <v/>
      </c>
      <c r="U401" s="1191"/>
      <c r="V401" s="1191" t="str">
        <f t="shared" si="178"/>
        <v/>
      </c>
      <c r="W401" s="1191" t="str">
        <f t="shared" si="179"/>
        <v/>
      </c>
      <c r="X401" s="1182" t="b">
        <f t="shared" si="180"/>
        <v>1</v>
      </c>
      <c r="Y401" s="1175"/>
      <c r="Z401" s="1175"/>
      <c r="AA401" s="1175"/>
      <c r="AB401" s="1396"/>
      <c r="AS401" s="1396"/>
    </row>
    <row r="402" spans="1:61" hidden="1">
      <c r="A402" s="212" t="s">
        <v>493</v>
      </c>
      <c r="C402" s="1164" t="str">
        <f t="shared" si="166"/>
        <v>cel</v>
      </c>
      <c r="E402" s="14"/>
      <c r="F402" s="1195">
        <f t="shared" si="167"/>
        <v>9.9532093528295782</v>
      </c>
      <c r="G402" s="1185">
        <f t="shared" si="168"/>
        <v>5.5749410370927412</v>
      </c>
      <c r="H402" s="1185">
        <f t="shared" si="169"/>
        <v>-0.53050258620689661</v>
      </c>
      <c r="I402" s="1185"/>
      <c r="J402" s="1186">
        <f t="shared" si="170"/>
        <v>-8.3667241118495356E-2</v>
      </c>
      <c r="K402" s="1196">
        <f t="shared" si="171"/>
        <v>-0.47444664668739772</v>
      </c>
      <c r="L402" s="1188"/>
      <c r="M402" s="1188" t="str">
        <f t="shared" si="172"/>
        <v/>
      </c>
      <c r="N402" s="1197" t="str">
        <f t="shared" si="173"/>
        <v/>
      </c>
      <c r="O402" s="1188"/>
      <c r="P402" s="1190" t="str">
        <f t="shared" si="174"/>
        <v/>
      </c>
      <c r="Q402" s="1191" t="str">
        <f t="shared" si="175"/>
        <v/>
      </c>
      <c r="R402" s="1191"/>
      <c r="S402" s="1191" t="str">
        <f t="shared" si="176"/>
        <v/>
      </c>
      <c r="T402" s="1191" t="str">
        <f t="shared" si="177"/>
        <v/>
      </c>
      <c r="U402" s="1191"/>
      <c r="V402" s="1191" t="str">
        <f t="shared" si="178"/>
        <v/>
      </c>
      <c r="W402" s="1191" t="str">
        <f t="shared" si="179"/>
        <v/>
      </c>
      <c r="X402" s="1182" t="b">
        <f t="shared" si="180"/>
        <v>1</v>
      </c>
      <c r="Y402" s="1175"/>
      <c r="Z402" s="1175"/>
      <c r="AA402" s="1175"/>
      <c r="AB402" s="1396"/>
      <c r="AS402" s="1396"/>
    </row>
    <row r="403" spans="1:61" hidden="1">
      <c r="A403" s="212" t="s">
        <v>493</v>
      </c>
      <c r="C403" s="1164"/>
      <c r="E403" s="14"/>
      <c r="F403" s="1198"/>
      <c r="G403" s="1198"/>
      <c r="H403" s="1198"/>
      <c r="I403" s="1198"/>
      <c r="J403" s="1162"/>
      <c r="K403" s="982" t="s">
        <v>1523</v>
      </c>
      <c r="L403" s="1162"/>
      <c r="M403" s="1162"/>
      <c r="N403" s="1198"/>
      <c r="O403" s="1198"/>
      <c r="P403" s="1199"/>
      <c r="Q403" s="1198"/>
      <c r="R403" s="1198"/>
      <c r="S403" s="1198"/>
      <c r="T403" s="1198"/>
      <c r="U403" s="1198"/>
      <c r="V403" s="1198"/>
      <c r="W403" s="1198"/>
      <c r="X403" s="1175"/>
      <c r="Y403" s="1175"/>
      <c r="Z403" s="1175"/>
      <c r="AA403" s="1175"/>
      <c r="AB403" s="1396"/>
      <c r="AS403" s="1396"/>
    </row>
    <row r="404" spans="1:61" hidden="1">
      <c r="A404" s="212" t="s">
        <v>493</v>
      </c>
      <c r="C404" s="1164">
        <f>F287</f>
        <v>0</v>
      </c>
      <c r="E404" s="14"/>
      <c r="F404" s="1191">
        <f>M385</f>
        <v>9.9532093528295782</v>
      </c>
      <c r="G404" s="1185">
        <f>SUMPRODUCT(G391:G402,$M44:$M55)/$M$58</f>
        <v>4.2922165274118269</v>
      </c>
      <c r="H404" s="1185">
        <f>SUMPRODUCT(H391:H402,$M44:$M55)/$M$58</f>
        <v>-3.9773319655195288E-2</v>
      </c>
      <c r="I404" s="1185"/>
      <c r="J404" s="1186">
        <f>(LN(6/10)/(G404-H404))</f>
        <v>-0.11791939542791073</v>
      </c>
      <c r="K404" s="1225">
        <f>IFERROR(LN(F404/10)/J404+H404,0)</f>
        <v>3.3306690738754696E-16</v>
      </c>
      <c r="L404" s="1188"/>
      <c r="M404" s="1188">
        <f>$J$272</f>
        <v>0</v>
      </c>
      <c r="N404" s="1191">
        <f>IFERROR(K404-M404,"")</f>
        <v>3.3306690738754696E-16</v>
      </c>
      <c r="O404" s="1191"/>
      <c r="P404" s="1190">
        <f>SUM(P391:P402)</f>
        <v>3.1918911957973251E-16</v>
      </c>
      <c r="Q404" s="1191">
        <f>SUM(Q391:Q402)</f>
        <v>1.03125</v>
      </c>
      <c r="R404" s="1191"/>
      <c r="S404" s="1191" t="str">
        <f>IFERROR($N404/$J385*$K363,"")</f>
        <v/>
      </c>
      <c r="T404" s="1191">
        <f>IF(OR($M$58="",$M$58=0),"",SUMPRODUCT($G$227:$M$227,$G249:$M249)/($M$58/$M$58*$J$275))</f>
        <v>0</v>
      </c>
      <c r="U404" s="1191"/>
      <c r="V404" s="1191">
        <f>IF(M363="","",M404+T404)</f>
        <v>0</v>
      </c>
      <c r="W404" s="1191">
        <f>IFERROR(10*EXP(J404*(V404-H404)),"")</f>
        <v>9.9532093528295782</v>
      </c>
      <c r="X404" s="1175"/>
      <c r="Y404" s="1175"/>
      <c r="Z404" s="1175"/>
      <c r="AA404" s="1175"/>
      <c r="AB404" s="1396"/>
      <c r="AS404" s="1396"/>
    </row>
    <row r="405" spans="1:61" s="995" customFormat="1" hidden="1">
      <c r="A405" s="212" t="s">
        <v>493</v>
      </c>
      <c r="B405" s="943"/>
      <c r="C405" s="1092"/>
      <c r="D405" s="943"/>
      <c r="E405" s="14"/>
      <c r="F405" s="147"/>
      <c r="G405" s="14"/>
      <c r="H405" s="14"/>
      <c r="I405" s="14"/>
      <c r="J405" s="14"/>
      <c r="K405" s="14"/>
      <c r="L405" s="14"/>
      <c r="M405" s="14"/>
      <c r="N405" s="14"/>
      <c r="O405" s="14"/>
      <c r="P405" s="14"/>
      <c r="Q405" s="14"/>
      <c r="R405" s="14"/>
      <c r="S405" s="14"/>
      <c r="T405" s="14"/>
      <c r="U405" s="14"/>
      <c r="V405" s="14"/>
      <c r="W405" s="14"/>
      <c r="X405" s="14"/>
      <c r="Y405" s="14"/>
      <c r="Z405" s="14"/>
      <c r="AA405" s="14"/>
      <c r="AB405" s="16"/>
      <c r="AD405" s="1428"/>
      <c r="AE405" s="1406"/>
      <c r="AF405" s="1406"/>
      <c r="AG405" s="1406"/>
      <c r="AH405" s="1406"/>
      <c r="AI405" s="1406"/>
      <c r="AJ405" s="1406"/>
      <c r="AK405" s="1406"/>
      <c r="AL405" s="1407"/>
      <c r="AM405" s="1407"/>
      <c r="AS405" s="16"/>
    </row>
    <row r="406" spans="1:61" s="995" customFormat="1" hidden="1">
      <c r="A406" s="212" t="s">
        <v>493</v>
      </c>
      <c r="B406" s="943"/>
      <c r="C406" s="1092"/>
      <c r="D406" s="943"/>
      <c r="E406" s="14"/>
      <c r="F406" s="147"/>
      <c r="G406" s="14"/>
      <c r="H406" s="14"/>
      <c r="I406" s="14"/>
      <c r="J406" s="14"/>
      <c r="K406" s="14"/>
      <c r="L406" s="14"/>
      <c r="M406" s="14"/>
      <c r="N406" s="14"/>
      <c r="O406" s="14"/>
      <c r="P406" s="14"/>
      <c r="Q406" s="14"/>
      <c r="R406" s="14"/>
      <c r="S406" s="14"/>
      <c r="T406" s="14"/>
      <c r="U406" s="14"/>
      <c r="V406" s="14"/>
      <c r="W406" s="14"/>
      <c r="X406" s="14"/>
      <c r="Y406" s="14"/>
      <c r="Z406" s="14"/>
      <c r="AA406" s="14"/>
      <c r="AB406" s="16"/>
      <c r="AD406" s="1428"/>
      <c r="AE406" s="1406"/>
      <c r="AF406" s="1406"/>
      <c r="AG406" s="1406"/>
      <c r="AH406" s="1406"/>
      <c r="AI406" s="1406"/>
      <c r="AJ406" s="1406"/>
      <c r="AK406" s="1406"/>
      <c r="AL406" s="1407"/>
      <c r="AM406" s="1407"/>
      <c r="AS406" s="16"/>
    </row>
    <row r="407" spans="1:61" hidden="1">
      <c r="A407" s="212" t="s">
        <v>493</v>
      </c>
    </row>
    <row r="408" spans="1:61" hidden="1">
      <c r="A408" s="212" t="s">
        <v>493</v>
      </c>
    </row>
    <row r="409" spans="1:61" s="896" customFormat="1" ht="25.5" hidden="1" customHeight="1">
      <c r="A409" s="212" t="s">
        <v>493</v>
      </c>
      <c r="B409" s="943"/>
      <c r="C409" s="943"/>
      <c r="D409" s="943"/>
      <c r="E409" s="897"/>
      <c r="F409" s="893" t="s">
        <v>1690</v>
      </c>
      <c r="G409" s="912" t="str">
        <f>_xlfn.CONCAT(P24," | ",P25," | ",P26," | ",P27)</f>
        <v>GPR 4.4 | nieuwbouw | woningbouw | NTA 8800</v>
      </c>
      <c r="H409" s="913"/>
      <c r="I409" s="894"/>
      <c r="J409" s="912"/>
      <c r="K409" s="914"/>
      <c r="L409" s="895"/>
      <c r="M409" s="893"/>
      <c r="N409" s="893"/>
      <c r="O409" s="895"/>
      <c r="P409" s="895"/>
      <c r="Q409" s="893"/>
      <c r="R409" s="893"/>
      <c r="S409" s="893"/>
      <c r="T409" s="893"/>
      <c r="U409" s="893"/>
      <c r="V409" s="893"/>
      <c r="W409" s="893"/>
      <c r="X409" s="893"/>
      <c r="Y409" s="893"/>
      <c r="Z409" s="893"/>
      <c r="AA409" s="893"/>
      <c r="AB409" s="897"/>
      <c r="AC409" s="1381"/>
      <c r="AD409" s="1433"/>
      <c r="AE409" s="1381"/>
      <c r="AF409" s="1381"/>
      <c r="AG409" s="1381"/>
      <c r="AH409" s="1381"/>
      <c r="AI409" s="1381"/>
      <c r="AJ409" s="1381"/>
      <c r="AK409" s="1381"/>
      <c r="AL409" s="1381"/>
      <c r="AM409" s="1381"/>
      <c r="AN409" s="1381"/>
      <c r="AO409" s="1381"/>
      <c r="AP409" s="1381"/>
      <c r="AQ409" s="1381"/>
      <c r="AR409" s="1381"/>
      <c r="AS409" s="897"/>
      <c r="AT409" s="1381"/>
      <c r="AU409" s="893"/>
      <c r="AV409" s="893"/>
      <c r="AW409" s="893"/>
      <c r="AX409" s="893"/>
      <c r="AY409" s="893"/>
      <c r="AZ409" s="893"/>
      <c r="BA409" s="893"/>
      <c r="BB409" s="893"/>
      <c r="BC409" s="893"/>
      <c r="BD409" s="893"/>
      <c r="BE409" s="893"/>
      <c r="BF409" s="893"/>
      <c r="BG409" s="893"/>
      <c r="BH409" s="893"/>
      <c r="BI409" s="893"/>
    </row>
    <row r="410" spans="1:61" hidden="1" collapsed="1">
      <c r="A410" s="212" t="s">
        <v>493</v>
      </c>
      <c r="B410" s="943"/>
      <c r="C410" s="943"/>
      <c r="D410" s="943"/>
      <c r="E410" s="14"/>
      <c r="F410" s="13"/>
      <c r="G410" s="13"/>
      <c r="H410" s="13"/>
      <c r="I410" s="12"/>
      <c r="J410" s="39"/>
      <c r="K410" s="40"/>
      <c r="L410" s="39"/>
      <c r="M410" s="39"/>
      <c r="N410" s="39"/>
      <c r="O410" s="39"/>
      <c r="P410" s="39"/>
      <c r="Q410" s="39"/>
      <c r="R410" s="39"/>
      <c r="S410" s="39"/>
      <c r="T410" s="39"/>
      <c r="U410" s="39"/>
      <c r="V410" s="39"/>
      <c r="W410" s="39"/>
      <c r="X410" s="39"/>
      <c r="Y410" s="39"/>
      <c r="Z410" s="39"/>
      <c r="AA410" s="39"/>
      <c r="AB410" s="67"/>
      <c r="AC410" s="995"/>
      <c r="AD410" s="1428"/>
      <c r="AE410" s="1406"/>
      <c r="AF410" s="1406"/>
      <c r="AG410" s="1406"/>
      <c r="AH410" s="1406"/>
      <c r="AI410" s="1406"/>
      <c r="AJ410" s="1406"/>
      <c r="AK410" s="1406"/>
      <c r="AL410" s="1407"/>
      <c r="AM410" s="1407"/>
      <c r="AN410" s="995"/>
      <c r="AO410" s="995"/>
      <c r="AP410" s="995"/>
      <c r="AQ410" s="995"/>
      <c r="AR410" s="995"/>
      <c r="AS410" s="67"/>
      <c r="AT410" s="995"/>
      <c r="AU410" s="12"/>
      <c r="AV410" s="12"/>
      <c r="AW410" s="12"/>
      <c r="AX410" s="12"/>
      <c r="AY410" s="12"/>
      <c r="AZ410" s="12"/>
      <c r="BA410" s="12"/>
      <c r="BB410" s="12"/>
      <c r="BC410" s="12"/>
      <c r="BD410" s="40"/>
      <c r="BE410" s="40"/>
      <c r="BF410" s="13"/>
      <c r="BG410" s="13"/>
      <c r="BH410" s="13"/>
      <c r="BI410" s="14"/>
    </row>
    <row r="411" spans="1:61" hidden="1" collapsed="1">
      <c r="A411" s="212" t="s">
        <v>493</v>
      </c>
      <c r="B411" s="943"/>
      <c r="C411" s="943"/>
      <c r="D411" s="943"/>
      <c r="E411" s="14"/>
      <c r="F411" s="41" t="s">
        <v>1692</v>
      </c>
      <c r="G411" s="13"/>
      <c r="H411" s="13"/>
      <c r="I411" s="12"/>
      <c r="J411" s="39"/>
      <c r="K411" s="40"/>
      <c r="L411" s="39"/>
      <c r="M411" s="39"/>
      <c r="N411" s="39"/>
      <c r="O411" s="39"/>
      <c r="P411" s="39"/>
      <c r="Q411" s="39"/>
      <c r="R411" s="39"/>
      <c r="S411" s="39"/>
      <c r="T411" s="39"/>
      <c r="U411" s="39"/>
      <c r="V411" s="39"/>
      <c r="W411" s="39"/>
      <c r="X411" s="39"/>
      <c r="Y411" s="39"/>
      <c r="Z411" s="39"/>
      <c r="AA411" s="39"/>
      <c r="AB411" s="67"/>
      <c r="AC411" s="995"/>
      <c r="AD411" s="1428"/>
      <c r="AE411" s="1406"/>
      <c r="AF411" s="1406"/>
      <c r="AG411" s="1406"/>
      <c r="AH411" s="1406"/>
      <c r="AI411" s="1406"/>
      <c r="AJ411" s="1406"/>
      <c r="AK411" s="1406"/>
      <c r="AL411" s="1407"/>
      <c r="AM411" s="1407"/>
      <c r="AN411" s="995"/>
      <c r="AO411" s="995"/>
      <c r="AP411" s="995"/>
      <c r="AQ411" s="995"/>
      <c r="AR411" s="995"/>
      <c r="AS411" s="67"/>
      <c r="AT411" s="995"/>
      <c r="AU411" s="12"/>
      <c r="AV411" s="12"/>
      <c r="AW411" s="12"/>
      <c r="AX411" s="12"/>
      <c r="AY411" s="12"/>
      <c r="AZ411" s="12"/>
      <c r="BA411" s="12"/>
      <c r="BB411" s="12"/>
      <c r="BC411" s="12"/>
      <c r="BD411" s="40"/>
      <c r="BE411" s="40"/>
      <c r="BF411" s="13"/>
      <c r="BG411" s="13"/>
      <c r="BH411" s="13"/>
      <c r="BI411" s="14"/>
    </row>
    <row r="412" spans="1:61" hidden="1" collapsed="1">
      <c r="A412" s="212" t="s">
        <v>493</v>
      </c>
      <c r="B412" s="943"/>
      <c r="C412" s="943"/>
      <c r="D412" s="943"/>
      <c r="E412" s="14"/>
      <c r="F412" s="892" t="s">
        <v>458</v>
      </c>
      <c r="G412" s="892" t="s">
        <v>553</v>
      </c>
      <c r="H412" s="892"/>
      <c r="I412" s="892"/>
      <c r="J412" s="892" t="s">
        <v>1691</v>
      </c>
      <c r="K412" s="892"/>
      <c r="L412" s="892"/>
      <c r="M412" s="892" t="s">
        <v>375</v>
      </c>
      <c r="N412" s="892"/>
      <c r="O412" s="892"/>
      <c r="P412" s="892" t="s">
        <v>1693</v>
      </c>
      <c r="Q412" s="892"/>
      <c r="R412" s="892"/>
      <c r="S412" s="1373" t="s">
        <v>1694</v>
      </c>
      <c r="T412" s="1373" t="s">
        <v>1705</v>
      </c>
      <c r="U412" s="39"/>
      <c r="V412" s="39" t="s">
        <v>1533</v>
      </c>
      <c r="W412" s="39"/>
      <c r="X412" s="39"/>
      <c r="Y412" s="39"/>
      <c r="Z412" s="39"/>
      <c r="AA412" s="39"/>
      <c r="AB412" s="67"/>
      <c r="AC412" s="995"/>
      <c r="AD412" s="1428"/>
      <c r="AE412" s="1406"/>
      <c r="AF412" s="1406"/>
      <c r="AG412" s="1406"/>
      <c r="AH412" s="1406"/>
      <c r="AI412" s="1406"/>
      <c r="AJ412" s="1406"/>
      <c r="AK412" s="1406"/>
      <c r="AL412" s="1407"/>
      <c r="AM412" s="1407"/>
      <c r="AN412" s="995"/>
      <c r="AO412" s="995"/>
      <c r="AP412" s="995"/>
      <c r="AQ412" s="995"/>
      <c r="AR412" s="995"/>
      <c r="AS412" s="67"/>
      <c r="AT412" s="995"/>
      <c r="AU412" s="12"/>
      <c r="AV412" s="12"/>
      <c r="AW412" s="12"/>
      <c r="AX412" s="12"/>
      <c r="AY412" s="12"/>
      <c r="AZ412" s="12"/>
      <c r="BA412" s="12"/>
      <c r="BB412" s="12"/>
      <c r="BC412" s="12"/>
      <c r="BD412" s="40"/>
      <c r="BE412" s="40"/>
      <c r="BF412" s="13"/>
      <c r="BG412" s="13"/>
      <c r="BH412" s="13"/>
      <c r="BI412" s="14"/>
    </row>
    <row r="413" spans="1:61" hidden="1" collapsed="1">
      <c r="A413" s="212" t="s">
        <v>493</v>
      </c>
      <c r="B413" s="943"/>
      <c r="C413" s="943"/>
      <c r="D413" s="943"/>
      <c r="E413" s="14"/>
      <c r="F413" s="46" t="str">
        <f>J195</f>
        <v>aardgas</v>
      </c>
      <c r="G413" s="186">
        <f>INDEX(tabellen_EMD!$C$301:$R$306,MATCH($F413,tabellen_EMD!$C$301:$C$306,0),MATCH($P$24,tabellen_EMD!$C$301:$R$301,0))</f>
        <v>0.12266000000000001</v>
      </c>
      <c r="H413" s="1366" t="str">
        <f>INDEX(tabellen_EMD!$C$301:$R$306,MATCH($F413,tabellen_EMD!$C$301:$C$306,0),MATCH($P$24&amp;" | eenheid",tabellen_EMD!$C$301:$R$301,0))</f>
        <v>euro/m3</v>
      </c>
      <c r="I413" s="12"/>
      <c r="J413" s="1161">
        <f>W195</f>
        <v>0</v>
      </c>
      <c r="K413" s="1366" t="str">
        <f>X195</f>
        <v>m3</v>
      </c>
      <c r="L413" s="39"/>
      <c r="M413" s="1161">
        <f>M195</f>
        <v>0</v>
      </c>
      <c r="N413" s="1366" t="str">
        <f>N195</f>
        <v>kWh</v>
      </c>
      <c r="O413" s="39"/>
      <c r="P413" s="1369">
        <f>J413*G413/$J$275</f>
        <v>0</v>
      </c>
      <c r="Q413" s="1366" t="s">
        <v>440</v>
      </c>
      <c r="R413" s="39"/>
      <c r="S413" s="1367">
        <f>IFERROR(M413/$M$418,0%)</f>
        <v>0</v>
      </c>
      <c r="T413" s="1367">
        <f>IFERROR(P413/$P$418,0%)</f>
        <v>0</v>
      </c>
      <c r="U413" s="39"/>
      <c r="V413" s="1379">
        <v>30000</v>
      </c>
      <c r="W413" s="1366" t="str">
        <f>K413</f>
        <v>m3</v>
      </c>
      <c r="X413" s="39"/>
      <c r="Y413" s="39"/>
      <c r="Z413" s="39"/>
      <c r="AA413" s="39"/>
      <c r="AB413" s="67"/>
      <c r="AC413" s="995"/>
      <c r="AD413" s="1428"/>
      <c r="AE413" s="1406"/>
      <c r="AF413" s="1406"/>
      <c r="AG413" s="1406"/>
      <c r="AH413" s="1406"/>
      <c r="AI413" s="1406"/>
      <c r="AJ413" s="1406"/>
      <c r="AK413" s="1406"/>
      <c r="AL413" s="1407"/>
      <c r="AM413" s="1407"/>
      <c r="AN413" s="995"/>
      <c r="AO413" s="995"/>
      <c r="AP413" s="995"/>
      <c r="AQ413" s="995"/>
      <c r="AR413" s="995"/>
      <c r="AS413" s="67"/>
      <c r="AT413" s="995"/>
      <c r="AU413" s="12"/>
      <c r="AV413" s="12"/>
      <c r="AW413" s="12"/>
      <c r="AX413" s="12"/>
      <c r="AY413" s="12"/>
      <c r="AZ413" s="12"/>
      <c r="BA413" s="12"/>
      <c r="BB413" s="12"/>
      <c r="BC413" s="12"/>
      <c r="BD413" s="40"/>
      <c r="BE413" s="40"/>
      <c r="BF413" s="13"/>
      <c r="BG413" s="13"/>
      <c r="BH413" s="13"/>
      <c r="BI413" s="14"/>
    </row>
    <row r="414" spans="1:61" hidden="1" collapsed="1">
      <c r="A414" s="212" t="s">
        <v>493</v>
      </c>
      <c r="B414" s="943"/>
      <c r="C414" s="943"/>
      <c r="D414" s="943"/>
      <c r="E414" s="14"/>
      <c r="F414" s="46" t="str">
        <f>J196</f>
        <v>elektriciteit</v>
      </c>
      <c r="G414" s="186">
        <f>INDEX(tabellen_EMD!$C$301:$R$306,MATCH($F414,tabellen_EMD!$C$301:$C$306,0),MATCH($P$24,tabellen_EMD!$C$301:$R$301,0))</f>
        <v>3.6199000000000002E-2</v>
      </c>
      <c r="H414" s="1366" t="str">
        <f>INDEX(tabellen_EMD!$C$301:$R$306,MATCH($F414,tabellen_EMD!$C$301:$C$306,0),MATCH($P$24&amp;" | eenheid",tabellen_EMD!$C$301:$R$301,0))</f>
        <v>euro/kWh</v>
      </c>
      <c r="I414" s="12"/>
      <c r="J414" s="1161">
        <f t="shared" ref="J414:K417" si="181">W196</f>
        <v>0</v>
      </c>
      <c r="K414" s="1366" t="str">
        <f t="shared" si="181"/>
        <v>kWh</v>
      </c>
      <c r="L414" s="39"/>
      <c r="M414" s="1161">
        <f t="shared" ref="M414:N419" si="182">M196</f>
        <v>0</v>
      </c>
      <c r="N414" s="1366" t="str">
        <f t="shared" si="182"/>
        <v>kWh</v>
      </c>
      <c r="O414" s="39"/>
      <c r="P414" s="1369">
        <f>J414*G414/$J$275</f>
        <v>0</v>
      </c>
      <c r="Q414" s="1366" t="s">
        <v>440</v>
      </c>
      <c r="R414" s="39"/>
      <c r="S414" s="1367">
        <f t="shared" ref="S414:S417" si="183">IFERROR(M414/$M$418,0%)</f>
        <v>0</v>
      </c>
      <c r="T414" s="1367">
        <f t="shared" ref="T414:T417" si="184">IFERROR(P414/$P$418,0%)</f>
        <v>0</v>
      </c>
      <c r="U414" s="39"/>
      <c r="V414" s="1379">
        <v>20000</v>
      </c>
      <c r="W414" s="1366" t="str">
        <f t="shared" ref="W414:W417" si="185">K414</f>
        <v>kWh</v>
      </c>
      <c r="X414" s="39"/>
      <c r="Y414" s="39"/>
      <c r="Z414" s="39"/>
      <c r="AA414" s="39"/>
      <c r="AB414" s="67"/>
      <c r="AC414" s="995"/>
      <c r="AD414" s="1428"/>
      <c r="AE414" s="1406"/>
      <c r="AF414" s="1406"/>
      <c r="AG414" s="1406"/>
      <c r="AH414" s="1406"/>
      <c r="AI414" s="1406"/>
      <c r="AJ414" s="1406"/>
      <c r="AK414" s="1406"/>
      <c r="AL414" s="1407"/>
      <c r="AM414" s="1407"/>
      <c r="AN414" s="995"/>
      <c r="AO414" s="995"/>
      <c r="AP414" s="995"/>
      <c r="AQ414" s="995"/>
      <c r="AR414" s="995"/>
      <c r="AS414" s="67"/>
      <c r="AT414" s="995"/>
      <c r="AU414" s="12"/>
      <c r="AV414" s="12"/>
      <c r="AW414" s="12"/>
      <c r="AX414" s="12"/>
      <c r="AY414" s="12"/>
      <c r="AZ414" s="12"/>
      <c r="BA414" s="12"/>
      <c r="BB414" s="12"/>
      <c r="BC414" s="12"/>
      <c r="BD414" s="40"/>
      <c r="BE414" s="40"/>
      <c r="BF414" s="13"/>
      <c r="BG414" s="13"/>
      <c r="BH414" s="13"/>
      <c r="BI414" s="14"/>
    </row>
    <row r="415" spans="1:61" hidden="1" collapsed="1">
      <c r="A415" s="212" t="s">
        <v>493</v>
      </c>
      <c r="B415" s="943"/>
      <c r="C415" s="943"/>
      <c r="D415" s="943"/>
      <c r="E415" s="14"/>
      <c r="F415" s="46" t="str">
        <f>J197</f>
        <v>elektriciteit opgewekt</v>
      </c>
      <c r="G415" s="186">
        <f>INDEX(tabellen_EMD!$C$301:$R$306,MATCH($F415,tabellen_EMD!$C$301:$C$306,0),MATCH($P$24,tabellen_EMD!$C$301:$R$301,0))</f>
        <v>-3.6199000000000002E-2</v>
      </c>
      <c r="H415" s="1366" t="str">
        <f>INDEX(tabellen_EMD!$C$301:$R$306,MATCH($F415,tabellen_EMD!$C$301:$C$306,0),MATCH($P$24&amp;" | eenheid",tabellen_EMD!$C$301:$R$301,0))</f>
        <v>euro/kWh</v>
      </c>
      <c r="I415" s="12"/>
      <c r="J415" s="1161">
        <f t="shared" si="181"/>
        <v>0</v>
      </c>
      <c r="K415" s="1366" t="str">
        <f t="shared" si="181"/>
        <v>kWh</v>
      </c>
      <c r="L415" s="39"/>
      <c r="M415" s="1161">
        <f t="shared" si="182"/>
        <v>0</v>
      </c>
      <c r="N415" s="1366" t="str">
        <f t="shared" si="182"/>
        <v>kWh</v>
      </c>
      <c r="O415" s="39"/>
      <c r="P415" s="1369">
        <f>J415*G415/$J$275</f>
        <v>0</v>
      </c>
      <c r="Q415" s="1366" t="s">
        <v>440</v>
      </c>
      <c r="R415" s="39"/>
      <c r="S415" s="1367">
        <f t="shared" si="183"/>
        <v>0</v>
      </c>
      <c r="T415" s="1367">
        <f t="shared" si="184"/>
        <v>0</v>
      </c>
      <c r="U415" s="39"/>
      <c r="V415" s="1379"/>
      <c r="W415" s="1366" t="str">
        <f t="shared" si="185"/>
        <v>kWh</v>
      </c>
      <c r="X415" s="39"/>
      <c r="Y415" s="39"/>
      <c r="Z415" s="39"/>
      <c r="AA415" s="39"/>
      <c r="AB415" s="67"/>
      <c r="AC415" s="995"/>
      <c r="AD415" s="1428"/>
      <c r="AE415" s="1406"/>
      <c r="AF415" s="1406"/>
      <c r="AG415" s="1406"/>
      <c r="AH415" s="1406"/>
      <c r="AI415" s="1406"/>
      <c r="AJ415" s="1406"/>
      <c r="AK415" s="1406"/>
      <c r="AL415" s="1407"/>
      <c r="AM415" s="1407"/>
      <c r="AN415" s="995"/>
      <c r="AO415" s="995"/>
      <c r="AP415" s="995"/>
      <c r="AQ415" s="995"/>
      <c r="AR415" s="995"/>
      <c r="AS415" s="67"/>
      <c r="AT415" s="995"/>
      <c r="AU415" s="12"/>
      <c r="AV415" s="12"/>
      <c r="AW415" s="12"/>
      <c r="AX415" s="12"/>
      <c r="AY415" s="12"/>
      <c r="AZ415" s="12"/>
      <c r="BA415" s="12"/>
      <c r="BB415" s="12"/>
      <c r="BC415" s="12"/>
      <c r="BD415" s="40"/>
      <c r="BE415" s="40"/>
      <c r="BF415" s="13"/>
      <c r="BG415" s="13"/>
      <c r="BH415" s="13"/>
      <c r="BI415" s="14"/>
    </row>
    <row r="416" spans="1:61" hidden="1" collapsed="1">
      <c r="A416" s="212" t="s">
        <v>493</v>
      </c>
      <c r="B416" s="943"/>
      <c r="C416" s="943"/>
      <c r="D416" s="943"/>
      <c r="E416" s="14"/>
      <c r="F416" s="46" t="str">
        <f>J198</f>
        <v>externe warmte</v>
      </c>
      <c r="G416" s="186">
        <f>INDEX(tabellen_EMD!$C$301:$R$306,MATCH($F416,tabellen_EMD!$C$301:$C$306,0),MATCH($P$24,tabellen_EMD!$C$301:$R$301,0))</f>
        <v>5.2314472561842482</v>
      </c>
      <c r="H416" s="1366" t="str">
        <f>INDEX(tabellen_EMD!$C$301:$R$306,MATCH($F416,tabellen_EMD!$C$301:$C$306,0),MATCH($P$24&amp;" | eenheid",tabellen_EMD!$C$301:$R$301,0))</f>
        <v>euro/GJ</v>
      </c>
      <c r="I416" s="12"/>
      <c r="J416" s="1161">
        <f t="shared" si="181"/>
        <v>0</v>
      </c>
      <c r="K416" s="1366" t="str">
        <f t="shared" si="181"/>
        <v>GJ</v>
      </c>
      <c r="L416" s="39"/>
      <c r="M416" s="1161">
        <f t="shared" si="182"/>
        <v>0</v>
      </c>
      <c r="N416" s="1366" t="str">
        <f t="shared" si="182"/>
        <v>kWh</v>
      </c>
      <c r="O416" s="39"/>
      <c r="P416" s="1369">
        <f>J416*G416/$J$275</f>
        <v>0</v>
      </c>
      <c r="Q416" s="1366" t="s">
        <v>440</v>
      </c>
      <c r="R416" s="39"/>
      <c r="S416" s="1367">
        <f t="shared" si="183"/>
        <v>0</v>
      </c>
      <c r="T416" s="1367">
        <f t="shared" si="184"/>
        <v>0</v>
      </c>
      <c r="U416" s="39"/>
      <c r="V416" s="1379">
        <f>30000*35/1000/1.775</f>
        <v>591.54929577464793</v>
      </c>
      <c r="W416" s="1366" t="str">
        <f t="shared" si="185"/>
        <v>GJ</v>
      </c>
      <c r="X416" s="39"/>
      <c r="Y416" s="39"/>
      <c r="Z416" s="39"/>
      <c r="AA416" s="39"/>
      <c r="AB416" s="67"/>
      <c r="AC416" s="995"/>
      <c r="AD416" s="1428"/>
      <c r="AE416" s="1406"/>
      <c r="AF416" s="1406"/>
      <c r="AG416" s="1406"/>
      <c r="AH416" s="1406"/>
      <c r="AI416" s="1406"/>
      <c r="AJ416" s="1406"/>
      <c r="AK416" s="1406"/>
      <c r="AL416" s="1407"/>
      <c r="AM416" s="1407"/>
      <c r="AN416" s="995"/>
      <c r="AO416" s="995"/>
      <c r="AP416" s="995"/>
      <c r="AQ416" s="995"/>
      <c r="AR416" s="995"/>
      <c r="AS416" s="67"/>
      <c r="AT416" s="995"/>
      <c r="AU416" s="12"/>
      <c r="AV416" s="12"/>
      <c r="AW416" s="12"/>
      <c r="AX416" s="12"/>
      <c r="AY416" s="12"/>
      <c r="AZ416" s="12"/>
      <c r="BA416" s="12"/>
      <c r="BB416" s="12"/>
      <c r="BC416" s="12"/>
      <c r="BD416" s="40"/>
      <c r="BE416" s="40"/>
      <c r="BF416" s="13"/>
      <c r="BG416" s="13"/>
      <c r="BH416" s="13"/>
      <c r="BI416" s="14"/>
    </row>
    <row r="417" spans="1:61" hidden="1" collapsed="1">
      <c r="A417" s="212" t="s">
        <v>493</v>
      </c>
      <c r="B417" s="943"/>
      <c r="C417" s="943"/>
      <c r="D417" s="943"/>
      <c r="E417" s="14"/>
      <c r="F417" s="46" t="str">
        <f>J199</f>
        <v>hout / biomassa</v>
      </c>
      <c r="G417" s="186">
        <f>INDEX(tabellen_EMD!$C$301:$R$306,MATCH($F417,tabellen_EMD!$C$301:$C$306,0),MATCH($P$24,tabellen_EMD!$C$301:$R$301,0))</f>
        <v>7.2647999999999992E-3</v>
      </c>
      <c r="H417" s="1366" t="str">
        <f>INDEX(tabellen_EMD!$C$301:$R$306,MATCH($F417,tabellen_EMD!$C$301:$C$306,0),MATCH($P$24&amp;" | eenheid",tabellen_EMD!$C$301:$R$301,0))</f>
        <v>euro/kg</v>
      </c>
      <c r="I417" s="12"/>
      <c r="J417" s="1161">
        <f t="shared" si="181"/>
        <v>0</v>
      </c>
      <c r="K417" s="1366" t="str">
        <f t="shared" si="181"/>
        <v>kWh</v>
      </c>
      <c r="L417" s="39"/>
      <c r="M417" s="1161">
        <f t="shared" si="182"/>
        <v>0</v>
      </c>
      <c r="N417" s="1366" t="str">
        <f t="shared" si="182"/>
        <v>kWh</v>
      </c>
      <c r="O417" s="39"/>
      <c r="P417" s="1369">
        <f>J417*G417/$J$275</f>
        <v>0</v>
      </c>
      <c r="Q417" s="1366" t="s">
        <v>440</v>
      </c>
      <c r="R417" s="39"/>
      <c r="S417" s="1367">
        <f t="shared" si="183"/>
        <v>0</v>
      </c>
      <c r="T417" s="1367">
        <f t="shared" si="184"/>
        <v>0</v>
      </c>
      <c r="U417" s="39"/>
      <c r="V417" s="1379"/>
      <c r="W417" s="1366" t="str">
        <f t="shared" si="185"/>
        <v>kWh</v>
      </c>
      <c r="X417" s="39"/>
      <c r="Y417" s="39"/>
      <c r="Z417" s="39"/>
      <c r="AA417" s="39"/>
      <c r="AB417" s="67"/>
      <c r="AC417" s="995"/>
      <c r="AD417" s="1428"/>
      <c r="AE417" s="1406"/>
      <c r="AF417" s="1406"/>
      <c r="AG417" s="1406"/>
      <c r="AH417" s="1406"/>
      <c r="AI417" s="1406"/>
      <c r="AJ417" s="1406"/>
      <c r="AK417" s="1406"/>
      <c r="AL417" s="1407"/>
      <c r="AM417" s="1407"/>
      <c r="AN417" s="995"/>
      <c r="AO417" s="995"/>
      <c r="AP417" s="995"/>
      <c r="AQ417" s="995"/>
      <c r="AR417" s="995"/>
      <c r="AS417" s="67"/>
      <c r="AT417" s="995"/>
      <c r="AU417" s="12"/>
      <c r="AV417" s="12"/>
      <c r="AW417" s="12"/>
      <c r="AX417" s="12"/>
      <c r="AY417" s="12"/>
      <c r="AZ417" s="12"/>
      <c r="BA417" s="12"/>
      <c r="BB417" s="12"/>
      <c r="BC417" s="12"/>
      <c r="BD417" s="40"/>
      <c r="BE417" s="40"/>
      <c r="BF417" s="13"/>
      <c r="BG417" s="13"/>
      <c r="BH417" s="13"/>
      <c r="BI417" s="14"/>
    </row>
    <row r="418" spans="1:61" hidden="1" collapsed="1">
      <c r="A418" s="212" t="s">
        <v>493</v>
      </c>
      <c r="B418" s="943"/>
      <c r="C418" s="943"/>
      <c r="D418" s="943"/>
      <c r="E418" s="14"/>
      <c r="F418" s="13"/>
      <c r="G418" s="13"/>
      <c r="H418" s="13"/>
      <c r="I418" s="12"/>
      <c r="J418" s="39"/>
      <c r="K418" s="40"/>
      <c r="L418" s="39"/>
      <c r="M418" s="1371">
        <f t="shared" si="182"/>
        <v>0</v>
      </c>
      <c r="N418" s="39" t="str">
        <f t="shared" si="182"/>
        <v>kWh</v>
      </c>
      <c r="O418" s="39"/>
      <c r="P418" s="1370">
        <f>SUM(P413:P417)</f>
        <v>0</v>
      </c>
      <c r="Q418" s="39" t="s">
        <v>440</v>
      </c>
      <c r="R418" s="39"/>
      <c r="S418" s="1372">
        <f>SUM(S413:S417)</f>
        <v>0</v>
      </c>
      <c r="T418" s="1372">
        <f>SUM(T413:T417)</f>
        <v>0</v>
      </c>
      <c r="U418" s="39"/>
      <c r="V418" s="39"/>
      <c r="W418" s="39"/>
      <c r="X418" s="39"/>
      <c r="Y418" s="39"/>
      <c r="Z418" s="39"/>
      <c r="AA418" s="39"/>
      <c r="AB418" s="67"/>
      <c r="AC418" s="995"/>
      <c r="AD418" s="1428"/>
      <c r="AE418" s="1406"/>
      <c r="AF418" s="1406"/>
      <c r="AG418" s="1406"/>
      <c r="AH418" s="1406"/>
      <c r="AI418" s="1406"/>
      <c r="AJ418" s="1406"/>
      <c r="AK418" s="1406"/>
      <c r="AL418" s="1407"/>
      <c r="AM418" s="1407"/>
      <c r="AN418" s="995"/>
      <c r="AO418" s="995"/>
      <c r="AP418" s="995"/>
      <c r="AQ418" s="995"/>
      <c r="AR418" s="995"/>
      <c r="AS418" s="67"/>
      <c r="AT418" s="995"/>
      <c r="AU418" s="12"/>
      <c r="AV418" s="12"/>
      <c r="AW418" s="12"/>
      <c r="AX418" s="12"/>
      <c r="AY418" s="12"/>
      <c r="AZ418" s="12"/>
      <c r="BA418" s="12"/>
      <c r="BB418" s="12"/>
      <c r="BC418" s="12"/>
      <c r="BD418" s="40"/>
      <c r="BE418" s="40"/>
      <c r="BF418" s="13"/>
      <c r="BG418" s="13"/>
      <c r="BH418" s="13"/>
      <c r="BI418" s="14"/>
    </row>
    <row r="419" spans="1:61" hidden="1">
      <c r="A419" s="212" t="s">
        <v>493</v>
      </c>
      <c r="B419" s="943"/>
      <c r="C419" s="943"/>
      <c r="D419" s="943"/>
      <c r="E419" s="14"/>
      <c r="F419" s="13"/>
      <c r="G419" s="13"/>
      <c r="H419" s="13"/>
      <c r="I419" s="12"/>
      <c r="J419" s="39"/>
      <c r="K419" s="40"/>
      <c r="L419" s="39"/>
      <c r="M419" s="980">
        <f t="shared" si="182"/>
        <v>0</v>
      </c>
      <c r="N419" s="909" t="str">
        <f t="shared" si="182"/>
        <v>kWh/m2</v>
      </c>
      <c r="O419" s="39"/>
      <c r="P419" s="1368"/>
      <c r="Q419" s="39"/>
      <c r="R419" s="39"/>
      <c r="S419" s="1372"/>
      <c r="T419" s="1372"/>
      <c r="U419" s="39"/>
      <c r="V419" s="39"/>
      <c r="W419" s="39"/>
      <c r="X419" s="39"/>
      <c r="Y419" s="39"/>
      <c r="Z419" s="39"/>
      <c r="AA419" s="39"/>
      <c r="AB419" s="67"/>
      <c r="AC419" s="995"/>
      <c r="AD419" s="1428"/>
      <c r="AE419" s="1406"/>
      <c r="AF419" s="1406"/>
      <c r="AG419" s="1406"/>
      <c r="AH419" s="1406"/>
      <c r="AI419" s="1406"/>
      <c r="AJ419" s="1406"/>
      <c r="AK419" s="1406"/>
      <c r="AL419" s="1407"/>
      <c r="AM419" s="1407"/>
      <c r="AN419" s="995"/>
      <c r="AO419" s="995"/>
      <c r="AP419" s="995"/>
      <c r="AQ419" s="995"/>
      <c r="AR419" s="995"/>
      <c r="AS419" s="67"/>
      <c r="AT419" s="995"/>
      <c r="AU419" s="12"/>
      <c r="AV419" s="12"/>
      <c r="AW419" s="12"/>
      <c r="AX419" s="12"/>
      <c r="AY419" s="12"/>
      <c r="AZ419" s="12"/>
      <c r="BA419" s="12"/>
      <c r="BB419" s="12"/>
      <c r="BC419" s="12"/>
      <c r="BD419" s="40"/>
      <c r="BE419" s="40"/>
      <c r="BF419" s="13"/>
      <c r="BG419" s="13"/>
      <c r="BH419" s="13"/>
      <c r="BI419" s="14"/>
    </row>
    <row r="420" spans="1:61" hidden="1" collapsed="1">
      <c r="A420" s="212" t="s">
        <v>493</v>
      </c>
      <c r="B420" s="943"/>
      <c r="C420" s="943"/>
      <c r="D420" s="943"/>
      <c r="E420" s="14"/>
      <c r="F420" s="41" t="s">
        <v>1692</v>
      </c>
      <c r="G420" s="13"/>
      <c r="H420" s="13"/>
      <c r="I420" s="12"/>
      <c r="J420" s="39"/>
      <c r="K420" s="40"/>
      <c r="L420" s="39"/>
      <c r="M420" s="980"/>
      <c r="N420" s="909"/>
      <c r="O420" s="39"/>
      <c r="P420" s="39"/>
      <c r="Q420" s="39"/>
      <c r="R420" s="39"/>
      <c r="S420" s="39"/>
      <c r="T420" s="39"/>
      <c r="U420" s="39"/>
      <c r="V420" s="39"/>
      <c r="W420" s="39"/>
      <c r="X420" s="39"/>
      <c r="Y420" s="39"/>
      <c r="Z420" s="39"/>
      <c r="AA420" s="39"/>
      <c r="AB420" s="67"/>
      <c r="AC420" s="995"/>
      <c r="AD420" s="1428"/>
      <c r="AE420" s="1406"/>
      <c r="AF420" s="1406"/>
      <c r="AG420" s="1406"/>
      <c r="AH420" s="1406"/>
      <c r="AI420" s="1406"/>
      <c r="AJ420" s="1406"/>
      <c r="AK420" s="1406"/>
      <c r="AL420" s="1407"/>
      <c r="AM420" s="1407"/>
      <c r="AN420" s="995"/>
      <c r="AO420" s="995"/>
      <c r="AP420" s="995"/>
      <c r="AQ420" s="995"/>
      <c r="AR420" s="995"/>
      <c r="AS420" s="67"/>
      <c r="AT420" s="995"/>
      <c r="AU420" s="12"/>
      <c r="AV420" s="12"/>
      <c r="AW420" s="12"/>
      <c r="AX420" s="12"/>
      <c r="AY420" s="12"/>
      <c r="AZ420" s="12"/>
      <c r="BA420" s="12"/>
      <c r="BB420" s="12"/>
      <c r="BC420" s="12"/>
      <c r="BD420" s="40"/>
      <c r="BE420" s="40"/>
      <c r="BF420" s="13"/>
      <c r="BG420" s="13"/>
      <c r="BH420" s="13"/>
      <c r="BI420" s="14"/>
    </row>
    <row r="421" spans="1:61" hidden="1" collapsed="1">
      <c r="A421" s="212" t="s">
        <v>493</v>
      </c>
      <c r="B421" s="943"/>
      <c r="C421" s="943"/>
      <c r="D421" s="943"/>
      <c r="E421" s="14"/>
      <c r="F421" s="892" t="s">
        <v>434</v>
      </c>
      <c r="G421" s="892"/>
      <c r="H421" s="892"/>
      <c r="I421" s="892"/>
      <c r="J421" s="892"/>
      <c r="K421" s="892"/>
      <c r="L421" s="892"/>
      <c r="M421" s="892" t="s">
        <v>1698</v>
      </c>
      <c r="N421" s="892"/>
      <c r="O421" s="892"/>
      <c r="P421" s="892" t="s">
        <v>1693</v>
      </c>
      <c r="Q421" s="892"/>
      <c r="R421" s="892"/>
      <c r="S421" s="892" t="s">
        <v>1697</v>
      </c>
      <c r="T421" s="892"/>
      <c r="U421" s="39"/>
      <c r="V421" s="39"/>
      <c r="W421" s="39"/>
      <c r="X421" s="39"/>
      <c r="Y421" s="39"/>
      <c r="Z421" s="39"/>
      <c r="AA421" s="39"/>
      <c r="AB421" s="67"/>
      <c r="AC421" s="995"/>
      <c r="AD421" s="1428"/>
      <c r="AE421" s="1406"/>
      <c r="AF421" s="1406"/>
      <c r="AG421" s="1406"/>
      <c r="AH421" s="1406"/>
      <c r="AI421" s="1406"/>
      <c r="AJ421" s="1406"/>
      <c r="AK421" s="1406"/>
      <c r="AL421" s="1407"/>
      <c r="AM421" s="1407"/>
      <c r="AN421" s="995"/>
      <c r="AO421" s="995"/>
      <c r="AP421" s="995"/>
      <c r="AQ421" s="995"/>
      <c r="AR421" s="995"/>
      <c r="AS421" s="67"/>
      <c r="AT421" s="995"/>
      <c r="AU421" s="12"/>
      <c r="AV421" s="12"/>
      <c r="AW421" s="12"/>
      <c r="AX421" s="12"/>
      <c r="AY421" s="12"/>
      <c r="AZ421" s="12"/>
      <c r="BA421" s="12"/>
      <c r="BB421" s="12"/>
      <c r="BC421" s="12"/>
      <c r="BD421" s="40"/>
      <c r="BE421" s="40"/>
      <c r="BF421" s="13"/>
      <c r="BG421" s="13"/>
      <c r="BH421" s="13"/>
      <c r="BI421" s="14"/>
    </row>
    <row r="422" spans="1:61" hidden="1" collapsed="1">
      <c r="A422" s="212" t="s">
        <v>493</v>
      </c>
      <c r="B422" s="943"/>
      <c r="C422" s="943"/>
      <c r="D422" s="943"/>
      <c r="E422" s="14"/>
      <c r="F422" s="46" t="s">
        <v>1696</v>
      </c>
      <c r="G422" s="186"/>
      <c r="H422" s="1366"/>
      <c r="I422" s="12"/>
      <c r="J422" s="186"/>
      <c r="K422" s="218" t="s">
        <v>1699</v>
      </c>
      <c r="L422" s="39"/>
      <c r="M422" s="1369">
        <f>AG35</f>
        <v>9.4731158336000014</v>
      </c>
      <c r="N422" s="1366"/>
      <c r="O422" s="39"/>
      <c r="P422" s="1369">
        <f>P418</f>
        <v>0</v>
      </c>
      <c r="Q422" s="1366" t="s">
        <v>440</v>
      </c>
      <c r="R422" s="39"/>
      <c r="S422" s="1367">
        <f>IFERROR(P422/$P$424,0%)</f>
        <v>0</v>
      </c>
      <c r="T422" s="892"/>
      <c r="U422" s="39"/>
      <c r="V422" s="39"/>
      <c r="W422" s="39"/>
      <c r="X422" s="39"/>
      <c r="Y422" s="39"/>
      <c r="Z422" s="39"/>
      <c r="AA422" s="39"/>
      <c r="AB422" s="67"/>
      <c r="AC422" s="995"/>
      <c r="AD422" s="1428"/>
      <c r="AE422" s="1406"/>
      <c r="AF422" s="1406"/>
      <c r="AG422" s="1406"/>
      <c r="AH422" s="1406"/>
      <c r="AI422" s="1406"/>
      <c r="AJ422" s="1406"/>
      <c r="AK422" s="1406"/>
      <c r="AL422" s="1407"/>
      <c r="AM422" s="1407"/>
      <c r="AN422" s="995"/>
      <c r="AO422" s="995"/>
      <c r="AP422" s="995"/>
      <c r="AQ422" s="995"/>
      <c r="AR422" s="995"/>
      <c r="AS422" s="67"/>
      <c r="AT422" s="995"/>
      <c r="AU422" s="12"/>
      <c r="AV422" s="12"/>
      <c r="AW422" s="12"/>
      <c r="AX422" s="12"/>
      <c r="AY422" s="12"/>
      <c r="AZ422" s="12"/>
      <c r="BA422" s="12"/>
      <c r="BB422" s="12"/>
      <c r="BC422" s="12"/>
      <c r="BD422" s="40"/>
      <c r="BE422" s="40"/>
      <c r="BF422" s="13"/>
      <c r="BG422" s="13"/>
      <c r="BH422" s="13"/>
      <c r="BI422" s="14"/>
    </row>
    <row r="423" spans="1:61" hidden="1" collapsed="1">
      <c r="A423" s="212" t="s">
        <v>493</v>
      </c>
      <c r="B423" s="943"/>
      <c r="C423" s="943"/>
      <c r="D423" s="943"/>
      <c r="E423" s="14"/>
      <c r="F423" s="46" t="s">
        <v>1695</v>
      </c>
      <c r="G423" s="186"/>
      <c r="H423" s="1366"/>
      <c r="I423" s="12"/>
      <c r="J423" s="186"/>
      <c r="K423" s="218" t="s">
        <v>1700</v>
      </c>
      <c r="L423" s="39"/>
      <c r="M423" s="1369">
        <f>AH272</f>
        <v>0</v>
      </c>
      <c r="N423" s="1366"/>
      <c r="O423" s="39"/>
      <c r="P423" s="1369">
        <f>J272</f>
        <v>0</v>
      </c>
      <c r="Q423" s="1366" t="s">
        <v>440</v>
      </c>
      <c r="R423" s="39"/>
      <c r="S423" s="1367">
        <f t="shared" ref="S423:S424" si="186">IFERROR(P423/$P$424,0%)</f>
        <v>0</v>
      </c>
      <c r="T423" s="892"/>
      <c r="U423" s="39"/>
      <c r="V423" s="39"/>
      <c r="W423" s="39"/>
      <c r="X423" s="39"/>
      <c r="Y423" s="39"/>
      <c r="Z423" s="39"/>
      <c r="AA423" s="39"/>
      <c r="AB423" s="67"/>
      <c r="AC423" s="995"/>
      <c r="AD423" s="1428"/>
      <c r="AE423" s="1406"/>
      <c r="AF423" s="1406"/>
      <c r="AG423" s="1406"/>
      <c r="AH423" s="1406"/>
      <c r="AI423" s="1406"/>
      <c r="AJ423" s="1406"/>
      <c r="AK423" s="1406"/>
      <c r="AL423" s="1407"/>
      <c r="AM423" s="1407"/>
      <c r="AN423" s="995"/>
      <c r="AO423" s="995"/>
      <c r="AP423" s="995"/>
      <c r="AQ423" s="995"/>
      <c r="AR423" s="995"/>
      <c r="AS423" s="67"/>
      <c r="AT423" s="995"/>
      <c r="AU423" s="12"/>
      <c r="AV423" s="12"/>
      <c r="AW423" s="12"/>
      <c r="AX423" s="12"/>
      <c r="AY423" s="12"/>
      <c r="AZ423" s="12"/>
      <c r="BA423" s="12"/>
      <c r="BB423" s="12"/>
      <c r="BC423" s="12"/>
      <c r="BD423" s="40"/>
      <c r="BE423" s="40"/>
      <c r="BF423" s="13"/>
      <c r="BG423" s="13"/>
      <c r="BH423" s="13"/>
      <c r="BI423" s="14"/>
    </row>
    <row r="424" spans="1:61" hidden="1" collapsed="1">
      <c r="A424" s="212" t="s">
        <v>493</v>
      </c>
      <c r="B424" s="943"/>
      <c r="C424" s="943"/>
      <c r="D424" s="943"/>
      <c r="E424" s="14"/>
      <c r="F424" s="453" t="s">
        <v>1702</v>
      </c>
      <c r="G424" s="13"/>
      <c r="H424" s="13"/>
      <c r="I424" s="12"/>
      <c r="J424" s="39"/>
      <c r="K424" s="40" t="s">
        <v>1701</v>
      </c>
      <c r="L424" s="39"/>
      <c r="M424" s="1370">
        <f>AG220</f>
        <v>9.9532093528295782</v>
      </c>
      <c r="N424" s="39"/>
      <c r="O424" s="39"/>
      <c r="P424" s="1370">
        <f>SUM(P422:P423)</f>
        <v>0</v>
      </c>
      <c r="Q424" s="39" t="s">
        <v>440</v>
      </c>
      <c r="R424" s="39"/>
      <c r="S424" s="1372">
        <f t="shared" si="186"/>
        <v>0</v>
      </c>
      <c r="T424" s="892"/>
      <c r="U424" s="39"/>
      <c r="V424" s="39"/>
      <c r="W424" s="39"/>
      <c r="X424" s="39"/>
      <c r="Y424" s="39"/>
      <c r="Z424" s="39"/>
      <c r="AA424" s="39"/>
      <c r="AB424" s="67"/>
      <c r="AC424" s="995"/>
      <c r="AD424" s="1428"/>
      <c r="AE424" s="1406"/>
      <c r="AF424" s="1406"/>
      <c r="AG424" s="1406"/>
      <c r="AH424" s="1406"/>
      <c r="AI424" s="1406"/>
      <c r="AJ424" s="1406"/>
      <c r="AK424" s="1406"/>
      <c r="AL424" s="1407"/>
      <c r="AM424" s="1407"/>
      <c r="AN424" s="995"/>
      <c r="AO424" s="995"/>
      <c r="AP424" s="995"/>
      <c r="AQ424" s="995"/>
      <c r="AR424" s="995"/>
      <c r="AS424" s="67"/>
      <c r="AT424" s="995"/>
      <c r="AU424" s="12"/>
      <c r="AV424" s="12"/>
      <c r="AW424" s="12"/>
      <c r="AX424" s="12"/>
      <c r="AY424" s="12"/>
      <c r="AZ424" s="12"/>
      <c r="BA424" s="12"/>
      <c r="BB424" s="12"/>
      <c r="BC424" s="12"/>
      <c r="BD424" s="40"/>
      <c r="BE424" s="40"/>
      <c r="BF424" s="13"/>
      <c r="BG424" s="13"/>
      <c r="BH424" s="13"/>
      <c r="BI424" s="14"/>
    </row>
  </sheetData>
  <sheetProtection sheet="1" objects="1" scenarios="1" formatRows="0"/>
  <autoFilter ref="B62:C221" xr:uid="{922B2D3A-1A8F-4D90-80AB-155C85D1CC9C}">
    <filterColumn colId="1">
      <filters>
        <filter val="NTA 8800"/>
      </filters>
    </filterColumn>
  </autoFilter>
  <mergeCells count="105">
    <mergeCell ref="E3:F3"/>
    <mergeCell ref="G22:K22"/>
    <mergeCell ref="P22:Q22"/>
    <mergeCell ref="G23:K23"/>
    <mergeCell ref="P23:Q23"/>
    <mergeCell ref="G24:K24"/>
    <mergeCell ref="P24:Q24"/>
    <mergeCell ref="J65:K65"/>
    <mergeCell ref="J66:K66"/>
    <mergeCell ref="J67:K67"/>
    <mergeCell ref="J68:K68"/>
    <mergeCell ref="J69:K69"/>
    <mergeCell ref="J70:K70"/>
    <mergeCell ref="G25:K25"/>
    <mergeCell ref="P25:Q25"/>
    <mergeCell ref="G26:K26"/>
    <mergeCell ref="P26:Q26"/>
    <mergeCell ref="G27:K27"/>
    <mergeCell ref="P27:Q27"/>
    <mergeCell ref="J82:K82"/>
    <mergeCell ref="J88:K88"/>
    <mergeCell ref="J89:K89"/>
    <mergeCell ref="J90:K90"/>
    <mergeCell ref="J91:K91"/>
    <mergeCell ref="J92:K92"/>
    <mergeCell ref="J71:K71"/>
    <mergeCell ref="J72:K72"/>
    <mergeCell ref="J73:K73"/>
    <mergeCell ref="J74:K74"/>
    <mergeCell ref="J80:K80"/>
    <mergeCell ref="J81:K81"/>
    <mergeCell ref="J100:K100"/>
    <mergeCell ref="J102:K102"/>
    <mergeCell ref="J103:K103"/>
    <mergeCell ref="J109:K109"/>
    <mergeCell ref="J110:K110"/>
    <mergeCell ref="J111:K111"/>
    <mergeCell ref="J93:K93"/>
    <mergeCell ref="J94:K94"/>
    <mergeCell ref="J95:K95"/>
    <mergeCell ref="J96:K96"/>
    <mergeCell ref="J97:K97"/>
    <mergeCell ref="J98:K98"/>
    <mergeCell ref="J118:K118"/>
    <mergeCell ref="J119:K119"/>
    <mergeCell ref="J120:K120"/>
    <mergeCell ref="J126:K126"/>
    <mergeCell ref="J128:K128"/>
    <mergeCell ref="J129:K129"/>
    <mergeCell ref="J112:K112"/>
    <mergeCell ref="J113:K113"/>
    <mergeCell ref="J114:K114"/>
    <mergeCell ref="J115:K115"/>
    <mergeCell ref="J116:K116"/>
    <mergeCell ref="J117:K117"/>
    <mergeCell ref="J141:K141"/>
    <mergeCell ref="J142:K142"/>
    <mergeCell ref="J143:K143"/>
    <mergeCell ref="J144:K144"/>
    <mergeCell ref="J145:K145"/>
    <mergeCell ref="J146:K146"/>
    <mergeCell ref="J130:K130"/>
    <mergeCell ref="J131:K131"/>
    <mergeCell ref="J132:K132"/>
    <mergeCell ref="J138:K138"/>
    <mergeCell ref="J139:K139"/>
    <mergeCell ref="J140:K140"/>
    <mergeCell ref="J158:K158"/>
    <mergeCell ref="J159:K159"/>
    <mergeCell ref="J160:K160"/>
    <mergeCell ref="J161:K161"/>
    <mergeCell ref="J163:K163"/>
    <mergeCell ref="J164:K164"/>
    <mergeCell ref="J147:K147"/>
    <mergeCell ref="J153:K153"/>
    <mergeCell ref="J154:K154"/>
    <mergeCell ref="J155:K155"/>
    <mergeCell ref="J156:K156"/>
    <mergeCell ref="J157:K157"/>
    <mergeCell ref="J177:K177"/>
    <mergeCell ref="J183:K183"/>
    <mergeCell ref="J184:K184"/>
    <mergeCell ref="J185:K185"/>
    <mergeCell ref="J186:K186"/>
    <mergeCell ref="J187:K187"/>
    <mergeCell ref="J165:K165"/>
    <mergeCell ref="J171:K171"/>
    <mergeCell ref="J173:K173"/>
    <mergeCell ref="J174:K174"/>
    <mergeCell ref="J175:K175"/>
    <mergeCell ref="J176:K176"/>
    <mergeCell ref="L306:M306"/>
    <mergeCell ref="Y306:Z306"/>
    <mergeCell ref="J199:K199"/>
    <mergeCell ref="AE222:AE223"/>
    <mergeCell ref="AG222:AH223"/>
    <mergeCell ref="AJ222:AL223"/>
    <mergeCell ref="AN222:AP223"/>
    <mergeCell ref="AG273:AH273"/>
    <mergeCell ref="J188:K188"/>
    <mergeCell ref="J189:K189"/>
    <mergeCell ref="J195:K195"/>
    <mergeCell ref="J196:K196"/>
    <mergeCell ref="J197:K197"/>
    <mergeCell ref="J198:K198"/>
  </mergeCells>
  <conditionalFormatting sqref="A63:AC180 AS4:AS28 AS63:BI180">
    <cfRule type="expression" dxfId="143" priority="15">
      <formula>$B4&lt;&gt;$P$23</formula>
    </cfRule>
  </conditionalFormatting>
  <conditionalFormatting sqref="B33:K34">
    <cfRule type="expression" dxfId="142" priority="12">
      <formula>$C33&lt;&gt;$C$35</formula>
    </cfRule>
  </conditionalFormatting>
  <conditionalFormatting sqref="F36:H36">
    <cfRule type="expression" dxfId="141" priority="1">
      <formula>$C36&lt;&gt;$P$22</formula>
    </cfRule>
  </conditionalFormatting>
  <conditionalFormatting sqref="G209:H220 J209:K220 G236:H247 J236:K247 M236:M247">
    <cfRule type="expression" dxfId="140" priority="20">
      <formula>G209&lt;&gt;""</formula>
    </cfRule>
  </conditionalFormatting>
  <conditionalFormatting sqref="G256:H267 J256:K267 G269:H269 J269:K269">
    <cfRule type="expression" dxfId="139" priority="18">
      <formula>G256&lt;&gt;""</formula>
    </cfRule>
  </conditionalFormatting>
  <conditionalFormatting sqref="J76 M76 X76 Z76 J84 M84 X84 Z84 J105 M105 X105 Z105 J122 M122 X122 Z122 J134 M134 X134 Z134 J149 M149 X149 Z149 J167 M167 X167 Z167 J179 M179 X179 Z179 J191 M191 X191 Z191 J201 M201 X201 Z201">
    <cfRule type="expression" dxfId="138" priority="23">
      <formula>AND(J76=FALSE,$B76=$P$23)</formula>
    </cfRule>
  </conditionalFormatting>
  <conditionalFormatting sqref="J307:J318 P307:P318 S307:S318 AA307:AA318 P320 S320 AA320">
    <cfRule type="expression" dxfId="137" priority="22">
      <formula>J307&lt;&gt;$J$320</formula>
    </cfRule>
  </conditionalFormatting>
  <conditionalFormatting sqref="J329:J340 Q329:Q340">
    <cfRule type="expression" dxfId="136" priority="26">
      <formula>AND($J44&lt;&gt;"",$J44&gt;0)</formula>
    </cfRule>
  </conditionalFormatting>
  <conditionalFormatting sqref="K320:L320">
    <cfRule type="expression" dxfId="135" priority="21">
      <formula>K320&lt;&gt;$J$35</formula>
    </cfRule>
  </conditionalFormatting>
  <conditionalFormatting sqref="M44:M55 P44:P55 S44:S55">
    <cfRule type="expression" dxfId="134" priority="24">
      <formula>AND($J44&lt;&gt;"",$J44&gt;0,M44&lt;&gt;"")</formula>
    </cfRule>
  </conditionalFormatting>
  <conditionalFormatting sqref="M372:M383">
    <cfRule type="expression" dxfId="133" priority="30">
      <formula>M372&lt;&gt;$AG$220</formula>
    </cfRule>
  </conditionalFormatting>
  <conditionalFormatting sqref="M209:N220">
    <cfRule type="expression" dxfId="132" priority="19">
      <formula>M209&lt;&gt;""</formula>
    </cfRule>
  </conditionalFormatting>
  <conditionalFormatting sqref="M256:N267 M269:N269">
    <cfRule type="expression" dxfId="131" priority="17">
      <formula>M256&lt;&gt;""</formula>
    </cfRule>
  </conditionalFormatting>
  <conditionalFormatting sqref="M350:N361">
    <cfRule type="expression" dxfId="130" priority="25">
      <formula>AND($J44&lt;&gt;"",$J44&gt;0)</formula>
    </cfRule>
  </conditionalFormatting>
  <conditionalFormatting sqref="P23">
    <cfRule type="expression" dxfId="129" priority="31">
      <formula>ISERROR(MATCH($P$23,$AV$52:$AV$55,0)=TRUE)</formula>
    </cfRule>
  </conditionalFormatting>
  <conditionalFormatting sqref="P24">
    <cfRule type="expression" dxfId="128" priority="7">
      <formula>ISERROR(MATCH(P24,GPR_Versies,0))=TRUE</formula>
    </cfRule>
  </conditionalFormatting>
  <conditionalFormatting sqref="P25">
    <cfRule type="expression" dxfId="127" priority="9">
      <formula>ISERROR(MATCH(P25,GPR_scope,0))=TRUE</formula>
    </cfRule>
  </conditionalFormatting>
  <conditionalFormatting sqref="P26">
    <cfRule type="expression" dxfId="126" priority="10">
      <formula>AND(P26&lt;&gt;"",ISERROR(MATCH(P26,GPR_scope_W_U,0))=TRUE)</formula>
    </cfRule>
  </conditionalFormatting>
  <conditionalFormatting sqref="P27">
    <cfRule type="expression" dxfId="125" priority="27">
      <formula>ISERROR(MATCH(P27,$AZ$33:$AZ$35,0))=TRUE</formula>
    </cfRule>
  </conditionalFormatting>
  <conditionalFormatting sqref="P65:P67 V65:V67 V82 P88 V88 P90 V90 P92 V92 P109 V109 P111 V111 P113 V113 P130:P132 V130:V132 P139:P141 V139:V141 P153 V153 P155 V155 P157 V157 P175:P177 V176:V177">
    <cfRule type="expression" dxfId="124" priority="3">
      <formula>$BA65&lt;&gt;1</formula>
    </cfRule>
  </conditionalFormatting>
  <conditionalFormatting sqref="P65:P67 V65:V67 V82 P88 V88 P90 V90 P92 V92 P109 V109 P111 V111:V113 P113 P130:P132 V130:V132 P139:P141 V139:V141 P153 V153 P155 V155 P157 V157 P175:P177 V176:V177">
    <cfRule type="expression" dxfId="123" priority="16">
      <formula>$BA65=1</formula>
    </cfRule>
  </conditionalFormatting>
  <conditionalFormatting sqref="P209:Q220 S209:T220">
    <cfRule type="expression" dxfId="122" priority="5">
      <formula>P209&lt;&gt;""</formula>
    </cfRule>
  </conditionalFormatting>
  <conditionalFormatting sqref="R23">
    <cfRule type="expression" dxfId="121" priority="29">
      <formula>ISERROR(MATCH(P23,$AV$52:$AV$55,0))=TRUE</formula>
    </cfRule>
  </conditionalFormatting>
  <conditionalFormatting sqref="R24">
    <cfRule type="expression" dxfId="120" priority="8">
      <formula>ISERROR(MATCH(P24,GPR_Versies,0))=TRUE</formula>
    </cfRule>
  </conditionalFormatting>
  <conditionalFormatting sqref="R27">
    <cfRule type="expression" dxfId="119" priority="28">
      <formula>ISERROR(MATCH(P27,$AZ$33:$AZ$35,0))=TRUE</formula>
    </cfRule>
  </conditionalFormatting>
  <conditionalFormatting sqref="V209:W220">
    <cfRule type="expression" dxfId="118" priority="4">
      <formula>V209&lt;&gt;""</formula>
    </cfRule>
  </conditionalFormatting>
  <conditionalFormatting sqref="AE273:AH274">
    <cfRule type="expression" dxfId="117" priority="11">
      <formula>$P$24=GPR4.3</formula>
    </cfRule>
  </conditionalFormatting>
  <conditionalFormatting sqref="AG273">
    <cfRule type="expression" dxfId="116" priority="14">
      <formula>AND(AG273&lt;&gt;"",ISERROR(MATCH(AG273,Gebruiksfuncties,0))=TRUE)</formula>
    </cfRule>
  </conditionalFormatting>
  <conditionalFormatting sqref="AG43:AH43">
    <cfRule type="expression" dxfId="115" priority="13">
      <formula>$J43=0</formula>
    </cfRule>
  </conditionalFormatting>
  <conditionalFormatting sqref="AJ43">
    <cfRule type="expression" dxfId="114" priority="2">
      <formula>$J43=0</formula>
    </cfRule>
  </conditionalFormatting>
  <conditionalFormatting sqref="AS30:AS56">
    <cfRule type="expression" dxfId="113" priority="6">
      <formula>$B30&lt;&gt;$P$23</formula>
    </cfRule>
  </conditionalFormatting>
  <dataValidations count="47">
    <dataValidation allowBlank="1" showInputMessage="1" showErrorMessage="1" promptTitle="EP2-eisen Bbl" prompt="EP2-eisen gelden per 1-1-2021 en per gebruiksfunctie. Voor een gebouw is de eis het naar gebruiksoppervlakte gewogen gemiddelde van de eis per functie._x000a__x000a_https://wetten.overheid.nl/BWBR0041297/2024-01-01/0#Hoofdstuk4_Afdeling4.4_Paragraaf4.4.1. _x000a_" sqref="A36" xr:uid="{13C441BC-49EB-4755-8E45-D7ECE7B39A52}"/>
    <dataValidation allowBlank="1" showInputMessage="1" showErrorMessage="1" promptTitle="EP2-eisen Bbl" prompt="Zie https://wetten.overheid.nl/BWBR0041297/2024-01-01/0#Hoofdstuk4_Afdeling4.4_Paragraaf4.4.1" sqref="AK43" xr:uid="{84D82437-CEB6-4ADB-B04E-79F3A8C48468}"/>
    <dataValidation type="list" allowBlank="1" showInputMessage="1" showErrorMessage="1" sqref="P26:Q26" xr:uid="{64E89B1C-BB5D-4F38-A388-902E61695737}">
      <formula1>_xlfn.ANCHORARRAY(GPR_scope_W_U_keuzelijst)</formula1>
    </dataValidation>
    <dataValidation type="list" allowBlank="1" showInputMessage="1" showErrorMessage="1" sqref="P25:Q25" xr:uid="{1A7F226A-43A8-46A7-96D2-2E346EFC18A9}">
      <formula1>_xlfn.ANCHORARRAY(GPR_scope_keuzelijst)</formula1>
    </dataValidation>
    <dataValidation type="list" allowBlank="1" showInputMessage="1" showErrorMessage="1" sqref="P24:Q24" xr:uid="{6AEA8704-D5BB-4083-A604-1B30331E853C}">
      <formula1>_xlfn.ANCHORARRAY(GPR_versie_keuzelijst)</formula1>
    </dataValidation>
    <dataValidation allowBlank="1" showInputMessage="1" showErrorMessage="1" promptTitle="Versie GPR Gebouw" prompt="Kies een versie van GPR Gebouw. De keuze heeft gevolgen voor de inijking (verband tussen berekend energiegebruik en score in GPR ). Ook wordt hiermee bepaald wat de mogelijke 'uitvoer' is van deze rekensheet, aansluitend bij de mogelijkheden in GPR Gebouw" sqref="L24" xr:uid="{7994EBF4-A1FC-4F06-A8EF-BD8963C3A360}"/>
    <dataValidation allowBlank="1" showInputMessage="1" showErrorMessage="1" promptTitle="Bepalingsmethode" prompt="Kies hier met welke bepalingsmethode de EP-berekening is gemaakt. Keuze voor de methode heeft gevolgen voor de inijking van de score (het verband tussen berekend energiegebruik en de score in GPR Gebouw). " sqref="L22" xr:uid="{7EA80714-958C-4A77-BE4D-2ECC67F8EFDA}"/>
    <dataValidation type="list" allowBlank="1" showInputMessage="1" showErrorMessage="1" sqref="P23:Q23" xr:uid="{2E9D0363-DF52-45E7-A4F7-D375692633EB}">
      <formula1>_xlfn.ANCHORARRAY($AV$52)</formula1>
    </dataValidation>
    <dataValidation type="list" allowBlank="1" showInputMessage="1" showErrorMessage="1" sqref="P27:Q27" xr:uid="{08D5952E-298A-473C-94B2-B37B1D06D352}">
      <formula1>_xlfn.ANCHORARRAY($AZ$33)</formula1>
    </dataValidation>
    <dataValidation allowBlank="1" showInputMessage="1" showErrorMessage="1" promptTitle="Primair energiegebruik" prompt="Neem het berekend primair energiegebruik uit de energieprestatieberekening hier over. Let op: Er is geen automatische koppeling met de hieronder in te voeren niet-primaire gebruiken / meterstanden tbv de DPG/Klimaatmonitor._x000a_" sqref="A33" xr:uid="{9F2CD79E-D817-48AC-B12C-002DF48B4A43}"/>
    <dataValidation allowBlank="1" showInputMessage="1" showErrorMessage="1" promptTitle="Oppervlakte" prompt="Voor EP2 en CO2 is dit gebruiksoppervlakte (Ag of GO), voor MPG en DPG is dit bruto vloeroppervlakte (BVO)" sqref="AD39 AD233:AD256 AD208:AD209 AE233:AR255 AD225:AE225 AD274 AD272 AD227:AR230" xr:uid="{E59A8F0D-2B91-46D0-BF2B-E6A11069FFA1}"/>
    <dataValidation allowBlank="1" showInputMessage="1" showErrorMessage="1" promptTitle="MPG - klimaatverandering" prompt="Resultaat van het milieueffect 'klimaatverandering'/ 'global warming potential' overnemen uit een MPG-berekening. " sqref="A274:A275" xr:uid="{3FF8A6CB-AC79-4B03-B7B7-AE25C325AECC}"/>
    <dataValidation allowBlank="1" showInputMessage="1" showErrorMessage="1" promptTitle="Duurzaamheidsprestatie Gebouw" prompt="De DuurzaamheidsPrestatie Gebouw (DPG) is een integrale evaluatie van de energieprestatie (subthema 1.1) en milieuprestatie (subthema 2.1/2.1.1). Hiertoe zijn op zowel het energie- als het materiaalgebruik de levensloopbeoordeling (LCA) toegepast." sqref="AD212 AD259" xr:uid="{140E37F3-4B19-4082-B08C-11A94BD18D22}"/>
    <dataValidation allowBlank="1" showInputMessage="1" showErrorMessage="1" promptTitle="DPG-index" prompt="De DPG-index is de som van de mileu-effecten (in euro/m2 BVO) van energie-gebruik (EP2*) en materiaal-gebruik (MPG)." sqref="AD218 AD265" xr:uid="{DFD729F2-1FCE-4FE1-ABD7-37C266A2782F}"/>
    <dataValidation allowBlank="1" showInputMessage="1" showErrorMessage="1" promptTitle="Grenswaarde DPG = 10" prompt="Grenswaarde wordt bepaald door het energie- en materiaalgebruik bij GPR score van 10 op de subthema's energieprestatie en materiaalprestatie." sqref="AD214 AD261" xr:uid="{192483B8-C469-4F12-8222-7A737F8CBE1A}"/>
    <dataValidation allowBlank="1" showInputMessage="1" showErrorMessage="1" promptTitle="Grenswaarde DPG = 6" prompt="Grenswaarde wordt bepaald door het energie- en materiaalgebruik bij GPR score van 6 op de subthema's energieprestatie en materiaalprestatie." sqref="AD213 AD260" xr:uid="{25980070-E4E5-4D50-A733-40A07B16610A}"/>
    <dataValidation allowBlank="1" showInputMessage="1" showErrorMessage="1" promptTitle="DPG-score" prompt="Dit is de resulterende DPG-score." sqref="AD220 AD267 AD269" xr:uid="{FB6BAE50-EA01-4908-B4FE-293681BF909E}"/>
    <dataValidation allowBlank="1" showInputMessage="1" showErrorMessage="1" promptTitle="Milieuprestatie Gebouw (MPG)" prompt="Voor een correcte berekening van de DPG-score moet de MPG van het gebouw worden ingevuld. _x000a_Daaronder wordt ook de score uitgerekend op subthema '2.1 Milieuprestatie (MPG)' voor GPR Gebouw 4.3 / subthema '2.1.1 Bescherming milieu' voor GPR Gebouw 4.4" sqref="A271" xr:uid="{4B7F917A-C74E-499C-B30D-2E6F3E5CBA34}"/>
    <dataValidation allowBlank="1" showInputMessage="1" showErrorMessage="1" promptTitle="Niet-gebouwgebonden" prompt="Het energiegebruik voor niet-gebouwgebonden elektrische installaties (televisie, beeldschermen e.d.) wordt in het Bouwbesluit en in GPR Gebouw buiten beschouwing gelaten." sqref="A66" xr:uid="{C3BEEF1E-C313-4A8F-BBB6-CC76339F1FED}"/>
    <dataValidation allowBlank="1" showInputMessage="1" showErrorMessage="1" promptTitle="Bronmethode" prompt="Bronmethode legt de grenzen van de inijking vast. _x000a_GPR 4.3: nieuwbouw 2006 en EPC/EP2=0_x000a_GPR 4.4: nieuwbouw 2006 en NOM_x000a_" sqref="E303" xr:uid="{8B0EAD24-DE6F-46BD-A336-4A9E32716EF4}"/>
    <dataValidation allowBlank="1" showInputMessage="1" showErrorMessage="1" promptTitle="Zon, WKK of wind" prompt="Het onderscheid tussen opgewekte stroom door PV, wind of WKK is niet eenvoudig uit de berekeningen te halen en daarom samengevoegd bij: opwekking pv / wkk." sqref="J204:J207 J224 J226:K229 S204:S207" xr:uid="{022BCFC6-E56D-48A6-B191-27C9BBBC2967}"/>
    <dataValidation type="decimal" allowBlank="1" showInputMessage="1" showErrorMessage="1" sqref="M155:M156 J44:J56 M70 M114" xr:uid="{0952E5A0-B7F3-4580-A5B6-88E24BA42BF8}">
      <formula1>0</formula1>
      <formula2>1000000</formula2>
    </dataValidation>
    <dataValidation allowBlank="1" showInputMessage="1" showErrorMessage="1" promptTitle="Grenswaarde bij GPR = 10" prompt="Deze grenswaarde is het naar gebruiksoppervlakte gewogen gemiddelde van de grenswaarde bij GPR = 10 voor de verschillende gebruiksfuncties. In GPR 4.3 is dat EP2=0, in GPR 4.4 niveau nul-op-de-meter." sqref="AD34" xr:uid="{1F09C846-38E4-4185-8F18-594B76C6E8AB}"/>
    <dataValidation allowBlank="1" showInputMessage="1" showErrorMessage="1" promptTitle="Grenswaarde bij GPR = 6" prompt="Deze grenswaarde is het naar gebruiksoppervlakte gewogen gemiddelde van de grenswaarde bij GPR = 6 voor de verschillende gebruiksfuncties. Waarde wordt bepaald door niveau nieuwbouw 2006 (GPR 4.3 en GPR 4.4)." sqref="AD33" xr:uid="{B32A73CA-F6F8-41D7-A360-0BFB00762CFD}"/>
    <dataValidation allowBlank="1" showInputMessage="1" showErrorMessage="1" promptTitle="Score op subthema 1.1" prompt="Dit is de resulterende score op subthema 1.1. _x000a__x000a_Als onderstaande energiegebruiken en gebruiksoppervlakten worden overgenomen voor de desbetreffende functie, volgt in GPR Gebouw deze score. " sqref="AD35:AD36" xr:uid="{A93AC2BB-1287-4C8F-8231-FDF703A5DDF3}"/>
    <dataValidation allowBlank="1" showInputMessage="1" showErrorMessage="1" promptTitle="Geen DPG" prompt="Deze functie komt niet voor in GPR Gebouw. Er is geen MPG-referentie voor beschikbaar en er kan daarom geen DPG-score van worden bepaald. " sqref="A55 A50:A51" xr:uid="{42D2E55F-6E21-43F9-A9BB-3C8989FFC06F}"/>
    <dataValidation allowBlank="1" showInputMessage="1" showErrorMessage="1" promptTitle="Finaal energiegebruik" prompt="Het finaal energiegebruik / 'meterstanden' wordt gebruikt voor het berekenen van de DPG. Hier worden de milieueffecten van het energiegebruik in meegenomen._x000a__x000a_Dit invoerblok is alleen nodig als er een DPG berekend moet worden. " sqref="A64 A73" xr:uid="{6466B08B-8D4B-48ED-ABBB-D793871A78B1}"/>
    <dataValidation allowBlank="1" showInputMessage="1" showErrorMessage="1" promptTitle="Softwarepakket" prompt="Kies hier met welk software pakket de EP-berekening is gemaakt. De invoer sluit zo goed mogelijk aan bij het gekozen pakket. De keuze voor het pakket heeft geen gevolgen voor de GPR-score. " sqref="L23" xr:uid="{FA4C034E-2ED6-4595-87EA-41DEC49C2A7C}"/>
    <dataValidation allowBlank="1" showInputMessage="1" showErrorMessage="1" promptTitle="Bepalingsmethode - doel" prompt="Kies hier de uitvoer van dit rekensheet. Afhankelijk van de versie van GPR Gebouw zijn één of meer EP-methoden te kiezen. Deze keuze heeft geen gevolgen voor de score in GPR Gebouw." sqref="L27" xr:uid="{24DC756A-BEAE-48D2-8633-9CA7FDF79887}"/>
    <dataValidation allowBlank="1" showErrorMessage="1" sqref="L25:L26" xr:uid="{C4828751-A403-4210-AD06-8CBA9140D662}"/>
    <dataValidation allowBlank="1" showInputMessage="1" showErrorMessage="1" promptTitle="CO2-emissiereductie" prompt="Hier wordt de CO2-emissiereductie berekend die in subthema 1.2 moet worden aangevinkt. In het invoerveld 'totale CO2-emissie (kg/jaar)' bij het overnemen van resultaten uit een externe berekening moet '0' worden ingevuld." sqref="AD207 AD224:AE224" xr:uid="{6C1DC38E-1C37-47F8-8DE4-0FB4DF3B8212}"/>
    <dataValidation allowBlank="1" showInputMessage="1" showErrorMessage="1" promptTitle="Grenswaarde" prompt="Grenswaarde wordt bepaald door het energiegebruik bij GPR score van 6 en de emissiekentallen uit NTA8800." sqref="AD39 AD208 AD272 AD233:AR255 AD225:AE225 AD227:AR230" xr:uid="{8D0863D4-A601-4729-8837-E57363F675C6}"/>
    <dataValidation allowBlank="1" showInputMessage="1" showErrorMessage="1" promptTitle="Reductie" prompt="Reductie wordt berekend tov de grenswaarde. Negatieve reductie betekent een hogere emissie dan de grenswaarde (gebouwen die slechter scoren dan nieuwbouw 2006)." sqref="AD209 AD256 AD274" xr:uid="{867C6BFA-D2EA-495C-9054-C721181A6A72}"/>
    <dataValidation allowBlank="1" showInputMessage="1" showErrorMessage="1" error="_x000a__x000a_" sqref="J39 J33:J34 J275:K275 J272:K272 M273 J274:J275" xr:uid="{9ACD3245-1199-4BF7-85C1-2D3DBE998CA2}"/>
    <dataValidation type="list" allowBlank="1" showInputMessage="1" showErrorMessage="1" sqref="P22" xr:uid="{4F9820B3-0F2D-49E3-9504-9509A53F6319}">
      <formula1>EP_methode</formula1>
    </dataValidation>
    <dataValidation allowBlank="1" showInputMessage="1" showErrorMessage="1" promptTitle="VABI maatwerkrapportage" prompt="Let op: Getallen uit een VABI-rapportage (word- of pdf-document) hebben meestal betrekking op een maatwerkadvies. Omdat daarbij is gerekend met niet-standaard uitgangspunten kunnen deze getallen niet gebruikt worden voor GPR Gebouw." sqref="A63 A107" xr:uid="{C5C4BDA0-7867-4264-B6B5-78CD6E0DBB8D}"/>
    <dataValidation allowBlank="1" showInputMessage="1" showErrorMessage="1" promptTitle="CO2-emissie" prompt="Neem de berekende CO2-emissie uit de energieprestatieberekening hier over. Let op: Er is geen automatische koppeling met de hieronder in te voeren niet-primaire gebruiken / meterstanden tbv de DPG/Klimaatmonitor._x000a_" sqref="A39" xr:uid="{325D5D76-45A2-4EC9-A57F-5FB2A268DB5C}"/>
    <dataValidation allowBlank="1" showInputMessage="1" showErrorMessage="1" promptTitle="Reductie van CO2-emissie" prompt="Reductie wordt berekend ten opzichte van het referntieniveau dat correspondeert met de nieuwbouweisen 2006. In GPR Gebouw geeft dat een score van 6,0. _x000a_Let op: een negatief geatl hier betekent een reductie van CO2-emissie." sqref="A40" xr:uid="{2B0A7DD2-EFDE-45A4-A936-8E3CA270769F}"/>
    <dataValidation type="list" allowBlank="1" showInputMessage="1" showErrorMessage="1" sqref="J65:K67 J109:K109 J111:K111 J113:K113 J139:K141 J157:K157 J155:K155 J153:K153 J68:J74 J80:J82 J91 J100 J102:J103 J110 J112 J114:J120 J93:J98 J138 J142:J147 J171 J163:J165 J173:J177 J154:J156 J128:J132 J158:J161 J88:K88 J92:K92 J90:K90 J89 J126 J195:J199" xr:uid="{57A16121-EE5C-426B-AA69-77F657D39E22}">
      <formula1>energiedragers_EP_lijst</formula1>
    </dataValidation>
    <dataValidation type="list" allowBlank="1" showInputMessage="1" showErrorMessage="1" sqref="AG273" xr:uid="{1C97C430-63BF-4855-9F35-BB63AD217B7B}">
      <formula1>Gebruiksfuncties</formula1>
    </dataValidation>
    <dataValidation allowBlank="1" showInputMessage="1" showErrorMessage="1" promptTitle="Specifieke energieprestatie" prompt="In NEN 7120 moet de specifieke energieprestatie in MJ/m2 naar boven worden afgerond om hele getallen. Dat is hier niet gedaan, waardoor er een klein verschil kan optreden." sqref="A105" xr:uid="{9768B6CD-3E51-4D46-9517-8112434EC6B3}"/>
    <dataValidation allowBlank="1" showInputMessage="1" showErrorMessage="1" promptTitle="NEN7120, eerste en tweede trap" prompt="Bij warmte: eerste trap is met forfaitair rendement van 100%, tweede trap met werkelijk rendement. Uniec2 laat in 2e trap berekening een extern warmtegebruik zien dat correspondeert met een EOR van 100%." sqref="O109" xr:uid="{CDEA4E4A-E212-4E58-BB1B-8434CF1614A4}"/>
    <dataValidation allowBlank="1" showInputMessage="1" showErrorMessage="1" promptTitle="Eenheid" prompt="Let op de eenheid: Hier in kg/GJ. In Uniec3 gegeven in kg/kWh." sqref="U153" xr:uid="{3EBAC7F9-6AF2-4998-8B70-5006D1B45164}"/>
    <dataValidation allowBlank="1" showInputMessage="1" showErrorMessage="1" promptTitle="Specifieke energieprestatie" prompt="In NEN 7120 moet de specifieke energieprestatie in MJ/m2 naar boven worden afgerond om hele getallen. _x000a_In NTA 800 naar boven op 0,01 kWh/m2. Dat is hier niet gedaan, waardoor er een klein verschil kan optreden." sqref="A35" xr:uid="{900A0FDA-796E-4BC7-B632-2346625D0BD7}"/>
    <dataValidation allowBlank="1" showInputMessage="1" showErrorMessage="1" promptTitle="Uniec2, externe koudelevering" prompt="Uniec2 geeft geen finaal energiegebruik voor externe koudelevering. Controleer dus goed of deze wel of niet aanwezig is. " sqref="A132" xr:uid="{F7D34B76-73D9-4662-9D2C-A6B75F48E5DB}"/>
    <dataValidation allowBlank="1" showInputMessage="1" showErrorMessage="1" promptTitle="Uniec2, externe warmtelevering" prompt="Uniec2 rekent voor externe warmtelevering de CO2-uitstoot uit met een PEF van 1, en met 87,7 kg/GJ. Als gegevens van het net bekend zijn, moeten die gebruikt worden." sqref="A131" xr:uid="{0E3113ED-18C2-45C5-B837-23C8B849DA32}"/>
    <dataValidation allowBlank="1" showInputMessage="1" showErrorMessage="1" promptTitle="Uniec2, biomassa" prompt="NEN 7120 kent vanaf NEN 7120+C2:2012/A1:2017 onderscheid in soorten biomassa: voldoet aan activiteitenbesluit (CO2 = 0), voldoet aan Bijlage O (CO2 = 0,5*0,109 kg/MJ) en overig (CO2 = 0,109 kg/MJ). De PEF is dan 0 / 0,5 / 1." sqref="A130" xr:uid="{A4F0A271-C757-46DF-87D0-7437F9735071}"/>
  </dataValidations>
  <hyperlinks>
    <hyperlink ref="A1" location="'Overzicht GPR Hulpmiddelen'!A1" tooltip="naar startscherm" display="&lt;" xr:uid="{2021F13F-52CB-42D5-A921-CB2EDB832486}"/>
  </hyperlinks>
  <printOptions horizontalCentered="1"/>
  <pageMargins left="0.70866141732283472" right="0.70866141732283472" top="0.74803149606299213" bottom="0.74803149606299213" header="0.31496062992125984" footer="0.31496062992125984"/>
  <pageSetup paperSize="9" scale="21" orientation="portrait" horizontalDpi="4294967293" r:id="rId1"/>
  <headerFooter>
    <oddFooter>&amp;L&amp;Z&amp;F&amp;RDatum afdruk &amp;D &amp;T</oddFooter>
  </headerFooter>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65D2DABE-5FAA-478B-B358-8A49D21746F4}">
          <x14:formula1>
            <xm:f>tabellen_EMD!$C$252:$C$256</xm:f>
          </x14:formula1>
          <xm:sqref>J183:K189</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B0B37-0337-44E5-9FC1-8FE86D2AE4F9}">
  <sheetPr codeName="Blad13">
    <tabColor rgb="FFFF0000"/>
    <pageSetUpPr autoPageBreaks="0" fitToPage="1"/>
  </sheetPr>
  <dimension ref="A1:BI424"/>
  <sheetViews>
    <sheetView showGridLines="0" showRowColHeaders="0" zoomScale="90" zoomScaleNormal="90" zoomScaleSheetLayoutView="90" workbookViewId="0">
      <selection sqref="A1:XFD1048576"/>
    </sheetView>
  </sheetViews>
  <sheetFormatPr defaultColWidth="10.7265625" defaultRowHeight="17.5"/>
  <cols>
    <col min="1" max="1" width="10.7265625" style="29" customWidth="1"/>
    <col min="2" max="3" width="23.1796875" style="30" customWidth="1"/>
    <col min="4" max="4" width="2.7265625" style="30" customWidth="1"/>
    <col min="5" max="5" width="2.7265625" style="29" customWidth="1"/>
    <col min="6" max="6" width="35.54296875" style="30" customWidth="1"/>
    <col min="7" max="8" width="13.26953125" style="29" customWidth="1"/>
    <col min="9" max="9" width="2.7265625" style="29" customWidth="1"/>
    <col min="10" max="10" width="13.26953125" style="30" customWidth="1"/>
    <col min="11" max="11" width="13.26953125" style="29" customWidth="1"/>
    <col min="12" max="12" width="3.7265625" style="29" customWidth="1"/>
    <col min="13" max="14" width="13.26953125" style="29" customWidth="1"/>
    <col min="15" max="15" width="3.7265625" style="29" customWidth="1"/>
    <col min="16" max="17" width="13.26953125" style="29" customWidth="1"/>
    <col min="18" max="18" width="3.7265625" style="29" customWidth="1"/>
    <col min="19" max="20" width="13.26953125" style="29" customWidth="1"/>
    <col min="21" max="21" width="3.7265625" style="29" customWidth="1"/>
    <col min="22" max="24" width="13.26953125" style="29" customWidth="1"/>
    <col min="25" max="25" width="3.7265625" style="29" customWidth="1"/>
    <col min="26" max="27" width="13.26953125" style="29" customWidth="1"/>
    <col min="28" max="28" width="2.7265625" style="230" customWidth="1"/>
    <col min="29" max="29" width="5.26953125" style="29" customWidth="1"/>
    <col min="30" max="30" width="5.26953125" style="1431" customWidth="1"/>
    <col min="31" max="31" width="36.54296875" style="1403" customWidth="1"/>
    <col min="32" max="34" width="13.26953125" style="1403" customWidth="1"/>
    <col min="35" max="35" width="2.7265625" style="1403" customWidth="1"/>
    <col min="36" max="37" width="13.26953125" style="1403" customWidth="1"/>
    <col min="38" max="38" width="13.26953125" style="1404" customWidth="1"/>
    <col min="39" max="39" width="2.7265625" style="1404" customWidth="1"/>
    <col min="40" max="42" width="13.26953125" style="29" customWidth="1"/>
    <col min="43" max="43" width="2.7265625" style="29" customWidth="1"/>
    <col min="44" max="44" width="8.453125" style="29" customWidth="1"/>
    <col min="45" max="45" width="2.7265625" style="230" customWidth="1"/>
    <col min="46" max="46" width="8.453125" style="29" customWidth="1"/>
    <col min="47" max="53" width="10.7265625" style="29" customWidth="1"/>
    <col min="54" max="54" width="14.54296875" style="29" customWidth="1"/>
    <col min="55" max="55" width="14.7265625" style="29" customWidth="1"/>
    <col min="56" max="61" width="10.7265625" style="29" customWidth="1"/>
    <col min="62" max="16384" width="10.7265625" style="29"/>
  </cols>
  <sheetData>
    <row r="1" spans="1:61" s="18" customFormat="1" ht="33" customHeight="1">
      <c r="A1" s="192" t="s">
        <v>12</v>
      </c>
      <c r="B1" s="212" t="s">
        <v>493</v>
      </c>
      <c r="C1" s="212" t="s">
        <v>493</v>
      </c>
      <c r="D1" s="941"/>
      <c r="E1" s="177"/>
      <c r="F1" s="175"/>
      <c r="G1" s="31"/>
      <c r="H1" s="31"/>
      <c r="I1" s="21"/>
      <c r="J1" s="21"/>
      <c r="K1" s="21"/>
      <c r="L1" s="21"/>
      <c r="M1" s="507"/>
      <c r="N1" s="21"/>
      <c r="O1" s="21"/>
      <c r="P1" s="21"/>
      <c r="AB1" s="177"/>
      <c r="AC1" s="177"/>
      <c r="AD1" s="1430"/>
      <c r="AE1" s="1401"/>
      <c r="AF1" s="1401"/>
      <c r="AG1" s="1401"/>
      <c r="AH1" s="1401"/>
      <c r="AI1" s="1401"/>
      <c r="AJ1" s="1401"/>
      <c r="AK1" s="1401"/>
      <c r="AL1" s="1401"/>
      <c r="AM1" s="1401"/>
      <c r="AN1" s="1380"/>
      <c r="AO1" s="1380"/>
      <c r="AP1" s="1380"/>
      <c r="AQ1" s="1380"/>
      <c r="AR1" s="1380"/>
      <c r="AS1" s="177"/>
      <c r="AT1" s="1380"/>
    </row>
    <row r="2" spans="1:61" s="19" customFormat="1" ht="21">
      <c r="A2" s="87"/>
      <c r="B2" s="942"/>
      <c r="C2" s="942"/>
      <c r="D2" s="942"/>
      <c r="E2" s="28" t="str">
        <f>_xlfn.CONCAT("Van ",P22," naar GPR 4")</f>
        <v>Van NTA 8800 naar GPR 4</v>
      </c>
      <c r="F2" s="32"/>
      <c r="G2" s="180" t="str">
        <f>"Van "&amp;$P$23&amp;" naar "&amp; AY23</f>
        <v>Van VABI NTA 8800 naar GPR 4.4 | NTA 8800</v>
      </c>
      <c r="H2" s="181"/>
      <c r="I2" s="182"/>
      <c r="J2" s="180"/>
      <c r="K2" s="32"/>
      <c r="L2" s="27"/>
      <c r="M2" s="28"/>
      <c r="N2" s="28"/>
      <c r="O2" s="27"/>
      <c r="P2" s="27"/>
      <c r="Q2" s="28"/>
      <c r="R2" s="33"/>
      <c r="S2" s="33"/>
      <c r="T2" s="33"/>
      <c r="U2" s="28"/>
      <c r="V2" s="28"/>
      <c r="W2" s="28"/>
      <c r="X2" s="28"/>
      <c r="Y2" s="28"/>
      <c r="Z2" s="28"/>
      <c r="AA2" s="28"/>
      <c r="AB2" s="28"/>
      <c r="AC2" s="994"/>
      <c r="AD2" s="28" t="s">
        <v>1708</v>
      </c>
      <c r="AE2" s="1402"/>
      <c r="AF2" s="1402"/>
      <c r="AG2" s="1402"/>
      <c r="AH2" s="1402"/>
      <c r="AI2" s="1402"/>
      <c r="AJ2" s="1402"/>
      <c r="AK2" s="1402"/>
      <c r="AL2" s="1402"/>
      <c r="AM2" s="1402"/>
      <c r="AN2" s="1402"/>
      <c r="AO2" s="1402"/>
      <c r="AP2" s="1402"/>
      <c r="AQ2" s="1402"/>
      <c r="AR2" s="1402"/>
      <c r="AS2" s="28"/>
      <c r="AT2" s="994"/>
      <c r="AU2" s="28"/>
      <c r="AV2" s="28"/>
      <c r="AW2" s="28"/>
      <c r="AX2" s="28"/>
      <c r="AY2" s="28"/>
      <c r="AZ2" s="28"/>
      <c r="BA2" s="28"/>
      <c r="BB2" s="28"/>
      <c r="BC2" s="28"/>
      <c r="BD2" s="28"/>
      <c r="BE2" s="28"/>
      <c r="BF2" s="28"/>
      <c r="BG2" s="28"/>
      <c r="BH2" s="28"/>
      <c r="BI2" s="28"/>
    </row>
    <row r="3" spans="1:61">
      <c r="E3" s="1687">
        <v>45363</v>
      </c>
      <c r="F3" s="1688"/>
      <c r="G3" s="30"/>
      <c r="J3" s="29"/>
      <c r="AV3" s="898" t="s">
        <v>1400</v>
      </c>
    </row>
    <row r="4" spans="1:61" s="18" customFormat="1" ht="5.25" customHeight="1">
      <c r="B4" s="763"/>
      <c r="C4" s="763"/>
      <c r="D4" s="763"/>
      <c r="E4" s="14"/>
      <c r="F4" s="67"/>
      <c r="G4" s="67"/>
      <c r="H4" s="67"/>
      <c r="I4" s="14"/>
      <c r="J4" s="67"/>
      <c r="K4" s="14"/>
      <c r="L4" s="14"/>
      <c r="M4" s="14"/>
      <c r="N4" s="14"/>
      <c r="O4" s="14"/>
      <c r="P4" s="14"/>
      <c r="Q4" s="14"/>
      <c r="R4" s="14"/>
      <c r="S4" s="14"/>
      <c r="T4" s="14"/>
      <c r="U4" s="14"/>
      <c r="V4" s="14"/>
      <c r="W4" s="14"/>
      <c r="X4" s="14"/>
      <c r="Y4" s="14"/>
      <c r="Z4" s="14"/>
      <c r="AA4" s="14"/>
      <c r="AB4" s="67"/>
      <c r="AC4" s="995"/>
      <c r="AD4" s="1405"/>
      <c r="AE4" s="1405"/>
      <c r="AF4" s="1405"/>
      <c r="AG4" s="1405"/>
      <c r="AH4" s="1405"/>
      <c r="AI4" s="1405"/>
      <c r="AJ4" s="1405"/>
      <c r="AK4" s="1405"/>
      <c r="AL4" s="1405"/>
      <c r="AM4" s="1405"/>
      <c r="AN4" s="1405"/>
      <c r="AO4" s="1405"/>
      <c r="AP4" s="1405"/>
      <c r="AQ4" s="1405"/>
      <c r="AR4" s="1405"/>
      <c r="AS4" s="67"/>
      <c r="AT4" s="995"/>
      <c r="AU4" s="14"/>
      <c r="AV4" s="14"/>
      <c r="AW4" s="14"/>
      <c r="AX4" s="14"/>
      <c r="AY4" s="14"/>
      <c r="AZ4" s="14"/>
      <c r="BA4" s="14"/>
      <c r="BB4" s="14"/>
      <c r="BC4" s="14"/>
      <c r="BD4" s="14"/>
      <c r="BE4" s="14"/>
      <c r="BF4" s="14"/>
      <c r="BG4" s="14"/>
      <c r="BH4" s="14"/>
      <c r="BI4" s="14"/>
    </row>
    <row r="5" spans="1:61">
      <c r="A5" s="212" t="s">
        <v>493</v>
      </c>
      <c r="B5" s="898"/>
      <c r="C5" s="898"/>
      <c r="D5" s="898"/>
      <c r="E5" s="891"/>
      <c r="F5" s="987" t="s">
        <v>1615</v>
      </c>
      <c r="G5" s="1382"/>
      <c r="H5" s="1391" t="s">
        <v>1619</v>
      </c>
      <c r="I5" s="1382"/>
      <c r="J5" s="1382"/>
      <c r="K5" s="1382"/>
      <c r="L5" s="1382"/>
      <c r="M5" s="987"/>
      <c r="N5" s="987"/>
      <c r="O5" s="987"/>
      <c r="P5" s="1391" t="s">
        <v>1617</v>
      </c>
      <c r="Q5" s="1391" t="s">
        <v>1619</v>
      </c>
      <c r="R5" s="12"/>
      <c r="S5" s="12"/>
      <c r="T5" s="12"/>
      <c r="U5" s="12"/>
      <c r="V5" s="12"/>
      <c r="W5" s="12"/>
      <c r="X5" s="12"/>
      <c r="Y5" s="12"/>
      <c r="Z5" s="12"/>
      <c r="AA5" s="12"/>
      <c r="AB5" s="891"/>
      <c r="AC5" s="996"/>
      <c r="AD5" s="1405"/>
      <c r="AE5" s="1405"/>
      <c r="AF5" s="1405"/>
      <c r="AG5" s="1405"/>
      <c r="AH5" s="1405"/>
      <c r="AI5" s="1405"/>
      <c r="AJ5" s="1405"/>
      <c r="AK5" s="1405"/>
      <c r="AL5" s="1405"/>
      <c r="AM5" s="1405"/>
      <c r="AN5" s="1405"/>
      <c r="AO5" s="1405"/>
      <c r="AP5" s="1405"/>
      <c r="AQ5" s="1405"/>
      <c r="AR5" s="1405"/>
      <c r="AS5" s="67"/>
      <c r="AT5" s="996"/>
      <c r="AU5" s="12"/>
      <c r="AV5" s="12"/>
      <c r="AW5" s="12"/>
      <c r="AX5" s="12"/>
      <c r="AY5" s="14"/>
      <c r="AZ5" s="14"/>
      <c r="BA5" s="14"/>
      <c r="BB5" s="14"/>
      <c r="BC5" s="14"/>
      <c r="BD5" s="14"/>
      <c r="BE5" s="14"/>
      <c r="BF5" s="14"/>
      <c r="BG5" s="14"/>
      <c r="BH5" s="14"/>
      <c r="BI5" s="14"/>
    </row>
    <row r="6" spans="1:61">
      <c r="A6" s="212" t="s">
        <v>493</v>
      </c>
      <c r="B6" s="898"/>
      <c r="C6" s="898"/>
      <c r="D6" s="898"/>
      <c r="E6" s="891"/>
      <c r="F6" s="1383" t="s">
        <v>1620</v>
      </c>
      <c r="G6" s="1384">
        <f>AG35</f>
        <v>8.5588799964651958</v>
      </c>
      <c r="H6" s="1384"/>
      <c r="I6" s="1382"/>
      <c r="J6" s="1382"/>
      <c r="K6" s="1382"/>
      <c r="L6" s="1382"/>
      <c r="M6" s="1387" t="str">
        <f>F183</f>
        <v>aardgas</v>
      </c>
      <c r="N6" s="1387"/>
      <c r="O6" s="1387"/>
      <c r="P6" s="1384" t="str">
        <f>_xlfn.CONCAT(FIXED(W183,0)," ",X183)</f>
        <v>0 m3</v>
      </c>
      <c r="Q6" s="1384" t="str">
        <f>_xlfn.CONCAT(FIXED($G$269,0)," ",$G$225)</f>
        <v>0 m3</v>
      </c>
      <c r="R6" s="12"/>
      <c r="S6" s="12"/>
      <c r="T6" s="12"/>
      <c r="U6" s="12"/>
      <c r="V6" s="12"/>
      <c r="W6" s="12"/>
      <c r="X6" s="12"/>
      <c r="Y6" s="12"/>
      <c r="Z6" s="12"/>
      <c r="AA6" s="12"/>
      <c r="AB6" s="891"/>
      <c r="AC6" s="996"/>
      <c r="AD6" s="1405"/>
      <c r="AE6" s="1405"/>
      <c r="AF6" s="1405"/>
      <c r="AG6" s="1405"/>
      <c r="AH6" s="1405"/>
      <c r="AI6" s="1405"/>
      <c r="AJ6" s="1405"/>
      <c r="AK6" s="1405"/>
      <c r="AL6" s="1405"/>
      <c r="AM6" s="1405"/>
      <c r="AN6" s="1405"/>
      <c r="AO6" s="1405"/>
      <c r="AP6" s="1405"/>
      <c r="AQ6" s="1405"/>
      <c r="AR6" s="1405"/>
      <c r="AS6" s="67"/>
      <c r="AT6" s="996"/>
      <c r="AU6" s="12"/>
      <c r="AV6" s="12"/>
      <c r="AW6" s="12"/>
      <c r="AX6" s="12"/>
      <c r="AY6" s="14"/>
      <c r="AZ6" s="14"/>
      <c r="BA6" s="14"/>
      <c r="BB6" s="14"/>
      <c r="BC6" s="14"/>
      <c r="BD6" s="14"/>
      <c r="BE6" s="14"/>
      <c r="BF6" s="14"/>
      <c r="BG6" s="14"/>
      <c r="BH6" s="14"/>
      <c r="BI6" s="14"/>
    </row>
    <row r="7" spans="1:61">
      <c r="A7" s="212" t="s">
        <v>493</v>
      </c>
      <c r="B7" s="898"/>
      <c r="C7" s="898"/>
      <c r="D7" s="898"/>
      <c r="E7" s="891"/>
      <c r="F7" s="1383" t="s">
        <v>1397</v>
      </c>
      <c r="G7" s="1385" t="str">
        <f>_xlfn.CONCAT(FIXED(J35,0)," ",K35)</f>
        <v>50 kWh/m2 Ag</v>
      </c>
      <c r="H7" s="1385" t="str">
        <f>_xlfn.CONCAT(FIXED(SUM(P44:P55),0)," ",Q44)</f>
        <v>15,000 kWh</v>
      </c>
      <c r="I7" s="1382"/>
      <c r="J7" s="1382"/>
      <c r="K7" s="1382"/>
      <c r="L7" s="1382"/>
      <c r="M7" s="1389" t="str">
        <f>F184</f>
        <v>elektriciteit</v>
      </c>
      <c r="N7" s="1389"/>
      <c r="O7" s="1389"/>
      <c r="P7" s="1385" t="str">
        <f>_xlfn.CONCAT(FIXED(W184,0)," ",X184)</f>
        <v>0 kWh</v>
      </c>
      <c r="Q7" s="1385" t="str">
        <f>_xlfn.CONCAT(FIXED($H$269,0)," ",$H$225)</f>
        <v>0 kWh</v>
      </c>
      <c r="R7" s="12"/>
      <c r="S7" s="12"/>
      <c r="T7" s="12"/>
      <c r="U7" s="12"/>
      <c r="V7" s="12"/>
      <c r="W7" s="12"/>
      <c r="X7" s="12"/>
      <c r="Y7" s="12"/>
      <c r="Z7" s="12"/>
      <c r="AA7" s="12"/>
      <c r="AB7" s="891"/>
      <c r="AC7" s="996"/>
      <c r="AD7" s="1405"/>
      <c r="AE7" s="1405"/>
      <c r="AF7" s="1405"/>
      <c r="AG7" s="1405"/>
      <c r="AH7" s="1405"/>
      <c r="AI7" s="1405"/>
      <c r="AJ7" s="1405"/>
      <c r="AK7" s="1405"/>
      <c r="AL7" s="1405"/>
      <c r="AM7" s="1405"/>
      <c r="AN7" s="1405"/>
      <c r="AO7" s="1405"/>
      <c r="AP7" s="1405"/>
      <c r="AQ7" s="1405"/>
      <c r="AR7" s="1405"/>
      <c r="AS7" s="67"/>
      <c r="AT7" s="996"/>
      <c r="AU7" s="12"/>
      <c r="AV7" s="12"/>
      <c r="AW7" s="12"/>
      <c r="AX7" s="12"/>
      <c r="AY7" s="14"/>
      <c r="AZ7" s="14"/>
      <c r="BA7" s="14"/>
      <c r="BB7" s="14"/>
      <c r="BC7" s="14"/>
      <c r="BD7" s="14"/>
      <c r="BE7" s="14"/>
      <c r="BF7" s="14"/>
      <c r="BG7" s="14"/>
      <c r="BH7" s="14"/>
      <c r="BI7" s="14"/>
    </row>
    <row r="8" spans="1:61">
      <c r="A8" s="212" t="s">
        <v>493</v>
      </c>
      <c r="B8" s="898"/>
      <c r="C8" s="898"/>
      <c r="D8" s="898"/>
      <c r="E8" s="891"/>
      <c r="F8" s="1383" t="s">
        <v>543</v>
      </c>
      <c r="G8" s="1386">
        <f>J40</f>
        <v>1</v>
      </c>
      <c r="H8" s="1385" t="str">
        <f>_xlfn.CONCAT(FIXED(SUM(S44:S55),0)," ",T44)</f>
        <v>0 kg</v>
      </c>
      <c r="I8" s="1382"/>
      <c r="J8" s="1382"/>
      <c r="K8" s="1382"/>
      <c r="L8" s="1382"/>
      <c r="M8" s="1390" t="str">
        <f>F185</f>
        <v>elektriciteit opgewekt</v>
      </c>
      <c r="N8" s="1390"/>
      <c r="O8" s="1390"/>
      <c r="P8" s="1386" t="str">
        <f>_xlfn.CONCAT(FIXED(W185,0)," ",X185)</f>
        <v>0 kWh</v>
      </c>
      <c r="Q8" s="1386" t="str">
        <f>_xlfn.CONCAT(FIXED($J$269,0)," ",$J$225)</f>
        <v>0 kWh</v>
      </c>
      <c r="R8" s="12"/>
      <c r="S8" s="12"/>
      <c r="T8" s="12"/>
      <c r="U8" s="12"/>
      <c r="V8" s="12"/>
      <c r="W8" s="12"/>
      <c r="X8" s="12"/>
      <c r="Y8" s="12"/>
      <c r="Z8" s="12"/>
      <c r="AA8" s="12"/>
      <c r="AB8" s="891"/>
      <c r="AC8" s="996"/>
      <c r="AD8" s="1405"/>
      <c r="AE8" s="1405"/>
      <c r="AF8" s="1405"/>
      <c r="AG8" s="1405"/>
      <c r="AH8" s="1405"/>
      <c r="AI8" s="1405"/>
      <c r="AJ8" s="1405"/>
      <c r="AK8" s="1405"/>
      <c r="AL8" s="1405"/>
      <c r="AM8" s="1405"/>
      <c r="AN8" s="1405"/>
      <c r="AO8" s="1405"/>
      <c r="AP8" s="1405"/>
      <c r="AQ8" s="1405"/>
      <c r="AR8" s="1405"/>
      <c r="AS8" s="67"/>
      <c r="AT8" s="996"/>
      <c r="AU8" s="12"/>
      <c r="AV8" s="12"/>
      <c r="AW8" s="12"/>
      <c r="AX8" s="12"/>
      <c r="AY8" s="14"/>
      <c r="AZ8" s="14"/>
      <c r="BA8" s="14"/>
      <c r="BB8" s="14"/>
      <c r="BC8" s="14"/>
      <c r="BD8" s="14"/>
      <c r="BE8" s="14"/>
      <c r="BF8" s="14"/>
      <c r="BG8" s="14"/>
      <c r="BH8" s="14"/>
      <c r="BI8" s="14"/>
    </row>
    <row r="9" spans="1:61">
      <c r="A9" s="212" t="s">
        <v>493</v>
      </c>
      <c r="B9" s="898"/>
      <c r="C9" s="898"/>
      <c r="D9" s="898"/>
      <c r="E9" s="891"/>
      <c r="F9" s="1383" t="s">
        <v>1618</v>
      </c>
      <c r="G9" s="1385" t="str">
        <f>_xlfn.CONCAT(FIXED(AH272,2)," | ",FIXED(AH274,0)," pnt")</f>
        <v>0.00 | -210 pnt</v>
      </c>
      <c r="H9" s="1384">
        <f>AH219</f>
        <v>0</v>
      </c>
      <c r="I9" s="1382"/>
      <c r="J9" s="1382"/>
      <c r="K9" s="1382"/>
      <c r="L9" s="1382"/>
      <c r="M9" s="1387" t="str">
        <f>F186</f>
        <v>elektriciteit geëxporteerd</v>
      </c>
      <c r="N9" s="1387"/>
      <c r="O9" s="1387"/>
      <c r="P9" s="1384" t="str">
        <f>_xlfn.CONCAT(FIXED(W186,0)," ",X186)</f>
        <v>0 kWh</v>
      </c>
      <c r="Q9" s="1384" t="str">
        <f>_xlfn.CONCAT(FIXED($K$269,0)," ",$K$225)</f>
        <v>0 GJ</v>
      </c>
      <c r="R9" s="12"/>
      <c r="S9" s="12"/>
      <c r="T9" s="12"/>
      <c r="U9" s="12"/>
      <c r="V9" s="12"/>
      <c r="W9" s="12"/>
      <c r="X9" s="12"/>
      <c r="Y9" s="12"/>
      <c r="Z9" s="12"/>
      <c r="AA9" s="12"/>
      <c r="AB9" s="891"/>
      <c r="AC9" s="996"/>
      <c r="AD9" s="1405"/>
      <c r="AE9" s="1405"/>
      <c r="AF9" s="1405"/>
      <c r="AG9" s="1405"/>
      <c r="AH9" s="1405"/>
      <c r="AI9" s="1405"/>
      <c r="AJ9" s="1405"/>
      <c r="AK9" s="1405"/>
      <c r="AL9" s="1405"/>
      <c r="AM9" s="1405"/>
      <c r="AN9" s="1405"/>
      <c r="AO9" s="1405"/>
      <c r="AP9" s="1405"/>
      <c r="AQ9" s="1405"/>
      <c r="AR9" s="1405"/>
      <c r="AS9" s="67"/>
      <c r="AT9" s="996"/>
      <c r="AU9" s="12"/>
      <c r="AV9" s="12"/>
      <c r="AW9" s="12"/>
      <c r="AX9" s="12"/>
      <c r="AY9" s="14"/>
      <c r="AZ9" s="14"/>
      <c r="BA9" s="14"/>
      <c r="BB9" s="14"/>
      <c r="BC9" s="14"/>
      <c r="BD9" s="14"/>
      <c r="BE9" s="14"/>
      <c r="BF9" s="14"/>
      <c r="BG9" s="14"/>
      <c r="BH9" s="14"/>
      <c r="BI9" s="14"/>
    </row>
    <row r="10" spans="1:61">
      <c r="A10" s="212" t="s">
        <v>493</v>
      </c>
      <c r="B10" s="898"/>
      <c r="C10" s="898"/>
      <c r="D10" s="898"/>
      <c r="E10" s="891"/>
      <c r="F10" s="1383" t="s">
        <v>1616</v>
      </c>
      <c r="G10" s="1384">
        <f>AG220</f>
        <v>9.9532093528295782</v>
      </c>
      <c r="H10" s="1384"/>
      <c r="I10" s="1382"/>
      <c r="J10" s="1382"/>
      <c r="K10" s="1382"/>
      <c r="L10" s="1382"/>
      <c r="M10" s="1387" t="str">
        <f>F187</f>
        <v>externe warmte</v>
      </c>
      <c r="N10" s="1387"/>
      <c r="O10" s="1387"/>
      <c r="P10" s="1384" t="str">
        <f>_xlfn.CONCAT(FIXED(W187,0)," ",X187)</f>
        <v>0 GJ</v>
      </c>
      <c r="Q10" s="1384" t="str">
        <f>_xlfn.CONCAT(FIXED($M$269,0)," ",$M$225)</f>
        <v>0 kWh</v>
      </c>
      <c r="R10" s="12"/>
      <c r="S10" s="12"/>
      <c r="T10" s="12"/>
      <c r="U10" s="12"/>
      <c r="V10" s="12"/>
      <c r="W10" s="12"/>
      <c r="X10" s="12"/>
      <c r="Y10" s="12"/>
      <c r="Z10" s="12"/>
      <c r="AA10" s="12"/>
      <c r="AB10" s="891"/>
      <c r="AC10" s="996"/>
      <c r="AD10" s="1405"/>
      <c r="AE10" s="1405"/>
      <c r="AF10" s="1405"/>
      <c r="AG10" s="1405"/>
      <c r="AH10" s="1405"/>
      <c r="AI10" s="1405"/>
      <c r="AJ10" s="1405"/>
      <c r="AK10" s="1405"/>
      <c r="AL10" s="1405"/>
      <c r="AM10" s="1405"/>
      <c r="AN10" s="1405"/>
      <c r="AO10" s="1405"/>
      <c r="AP10" s="1405"/>
      <c r="AQ10" s="1405"/>
      <c r="AR10" s="1405"/>
      <c r="AS10" s="67"/>
      <c r="AT10" s="996"/>
      <c r="AU10" s="12"/>
      <c r="AV10" s="12"/>
      <c r="AW10" s="12"/>
      <c r="AX10" s="12"/>
      <c r="AY10" s="14"/>
      <c r="AZ10" s="14"/>
      <c r="BA10" s="14"/>
      <c r="BB10" s="14"/>
      <c r="BC10" s="14"/>
      <c r="BD10" s="14"/>
      <c r="BE10" s="14"/>
      <c r="BF10" s="14"/>
      <c r="BG10" s="14"/>
      <c r="BH10" s="14"/>
      <c r="BI10" s="14"/>
    </row>
    <row r="11" spans="1:61">
      <c r="A11" s="212" t="s">
        <v>493</v>
      </c>
      <c r="B11" s="898"/>
      <c r="C11" s="898"/>
      <c r="D11" s="898"/>
      <c r="E11" s="891"/>
      <c r="F11" s="1383" t="s">
        <v>484</v>
      </c>
      <c r="G11" s="1387" t="str">
        <f>_xlfn.CONCAT("E:",FIXED(AG216,2),"+M:",FIXED(AG217,2),"=",FIXED(AG218,2)," euro/m2")</f>
        <v>E:0.00+M:0.00=0.00 euro/m2</v>
      </c>
      <c r="H11" s="1387"/>
      <c r="I11" s="1382"/>
      <c r="J11" s="1382"/>
      <c r="K11" s="1382"/>
      <c r="L11" s="1382"/>
      <c r="M11" s="1387" t="str">
        <f>F189</f>
        <v>hout / biomassa</v>
      </c>
      <c r="N11" s="1387"/>
      <c r="O11" s="1387"/>
      <c r="P11" s="1384" t="str">
        <f>_xlfn.CONCAT(FIXED(W189,0)," ",X189)</f>
        <v>0 kg</v>
      </c>
      <c r="Q11" s="1384" t="str">
        <f>_xlfn.CONCAT(FIXED($M$269,0)," ",$M$225)</f>
        <v>0 kWh</v>
      </c>
      <c r="R11" s="12"/>
      <c r="S11" s="12"/>
      <c r="T11" s="12"/>
      <c r="U11" s="12"/>
      <c r="V11" s="12"/>
      <c r="W11" s="12"/>
      <c r="X11" s="12"/>
      <c r="Y11" s="12"/>
      <c r="Z11" s="12"/>
      <c r="AA11" s="12"/>
      <c r="AB11" s="891"/>
      <c r="AC11" s="996"/>
      <c r="AD11" s="1405"/>
      <c r="AE11" s="1405"/>
      <c r="AF11" s="1405"/>
      <c r="AG11" s="1405"/>
      <c r="AH11" s="1405"/>
      <c r="AI11" s="1405"/>
      <c r="AJ11" s="1405"/>
      <c r="AK11" s="1405"/>
      <c r="AL11" s="1405"/>
      <c r="AM11" s="1405"/>
      <c r="AN11" s="1405"/>
      <c r="AO11" s="1405"/>
      <c r="AP11" s="1405"/>
      <c r="AQ11" s="1405"/>
      <c r="AR11" s="1405"/>
      <c r="AS11" s="67"/>
      <c r="AT11" s="996"/>
      <c r="AU11" s="12"/>
      <c r="AV11" s="12"/>
      <c r="AW11" s="12"/>
      <c r="AX11" s="12"/>
      <c r="AY11" s="14"/>
      <c r="AZ11" s="14"/>
      <c r="BA11" s="14"/>
      <c r="BB11" s="14"/>
      <c r="BC11" s="14"/>
      <c r="BD11" s="14"/>
      <c r="BE11" s="14"/>
      <c r="BF11" s="14"/>
      <c r="BG11" s="14"/>
      <c r="BH11" s="14"/>
      <c r="BI11" s="14"/>
    </row>
    <row r="12" spans="1:61">
      <c r="A12" s="212" t="s">
        <v>493</v>
      </c>
      <c r="B12" s="898"/>
      <c r="C12" s="898"/>
      <c r="D12" s="898"/>
      <c r="E12" s="891"/>
      <c r="F12" s="1383" t="s">
        <v>510</v>
      </c>
      <c r="G12" s="1387" t="str">
        <f>_xlfn.CONCAT("E:",FIXED(AG208,2),"+M:",FIXED(AG209,2),"=",FIXED(AG210,2)," kg/m2")</f>
        <v>E:0.00+M:0.00=0.00 kg/m2</v>
      </c>
      <c r="H12" s="1387"/>
      <c r="I12" s="1388"/>
      <c r="J12" s="1388"/>
      <c r="K12" s="1388"/>
      <c r="L12" s="1388"/>
      <c r="M12" s="1388"/>
      <c r="N12" s="14"/>
      <c r="O12" s="14"/>
      <c r="P12" s="155"/>
      <c r="Q12" s="12"/>
      <c r="R12" s="12"/>
      <c r="S12" s="12"/>
      <c r="T12" s="12"/>
      <c r="U12" s="12"/>
      <c r="V12" s="12"/>
      <c r="W12" s="12"/>
      <c r="X12" s="12"/>
      <c r="Y12" s="12"/>
      <c r="Z12" s="12"/>
      <c r="AA12" s="12"/>
      <c r="AB12" s="891"/>
      <c r="AC12" s="996"/>
      <c r="AD12" s="1405"/>
      <c r="AE12" s="1405"/>
      <c r="AF12" s="1405"/>
      <c r="AG12" s="1405"/>
      <c r="AH12" s="1405"/>
      <c r="AI12" s="1405"/>
      <c r="AJ12" s="1405"/>
      <c r="AK12" s="1405"/>
      <c r="AL12" s="1405"/>
      <c r="AM12" s="1405"/>
      <c r="AN12" s="1405"/>
      <c r="AO12" s="1405"/>
      <c r="AP12" s="1405"/>
      <c r="AQ12" s="1405"/>
      <c r="AR12" s="1405"/>
      <c r="AS12" s="67"/>
      <c r="AT12" s="996"/>
      <c r="AU12" s="12"/>
      <c r="AV12" s="12"/>
      <c r="AW12" s="12"/>
      <c r="AX12" s="12"/>
      <c r="AY12" s="14"/>
      <c r="AZ12" s="14"/>
      <c r="BA12" s="14"/>
      <c r="BB12" s="14"/>
      <c r="BC12" s="14"/>
      <c r="BD12" s="14"/>
      <c r="BE12" s="14"/>
      <c r="BF12" s="14"/>
      <c r="BG12" s="14"/>
      <c r="BH12" s="14"/>
      <c r="BI12" s="14"/>
    </row>
    <row r="13" spans="1:61">
      <c r="A13" s="212" t="s">
        <v>493</v>
      </c>
      <c r="B13" s="898"/>
      <c r="C13" s="898"/>
      <c r="D13" s="898"/>
      <c r="E13" s="891"/>
      <c r="F13" s="891"/>
      <c r="G13" s="891"/>
      <c r="H13" s="891"/>
      <c r="I13" s="891"/>
      <c r="J13" s="891"/>
      <c r="K13" s="891"/>
      <c r="L13" s="891"/>
      <c r="M13" s="14"/>
      <c r="N13" s="14"/>
      <c r="O13" s="14"/>
      <c r="P13" s="155"/>
      <c r="Q13" s="12"/>
      <c r="R13" s="12"/>
      <c r="S13" s="12"/>
      <c r="T13" s="12"/>
      <c r="U13" s="12"/>
      <c r="V13" s="12"/>
      <c r="W13" s="12"/>
      <c r="X13" s="12"/>
      <c r="Y13" s="12"/>
      <c r="Z13" s="12"/>
      <c r="AA13" s="12"/>
      <c r="AB13" s="891"/>
      <c r="AC13" s="996"/>
      <c r="AD13" s="1405"/>
      <c r="AE13" s="1405"/>
      <c r="AF13" s="1405"/>
      <c r="AG13" s="1405"/>
      <c r="AH13" s="1405"/>
      <c r="AI13" s="1405"/>
      <c r="AJ13" s="1405"/>
      <c r="AK13" s="1405"/>
      <c r="AL13" s="1405"/>
      <c r="AM13" s="1405"/>
      <c r="AN13" s="1405"/>
      <c r="AO13" s="1405"/>
      <c r="AP13" s="1405"/>
      <c r="AQ13" s="1405"/>
      <c r="AR13" s="1405"/>
      <c r="AS13" s="67"/>
      <c r="AT13" s="996"/>
      <c r="AU13" s="12"/>
      <c r="AV13" s="12"/>
      <c r="AW13" s="12"/>
      <c r="AX13" s="12"/>
      <c r="AY13" s="14"/>
      <c r="AZ13" s="14"/>
      <c r="BA13" s="14"/>
      <c r="BB13" s="14"/>
      <c r="BC13" s="14"/>
      <c r="BD13" s="14"/>
      <c r="BE13" s="14"/>
      <c r="BF13" s="14"/>
      <c r="BG13" s="14"/>
      <c r="BH13" s="14"/>
      <c r="BI13" s="14"/>
    </row>
    <row r="14" spans="1:61">
      <c r="A14" s="212"/>
      <c r="B14" s="898"/>
      <c r="C14" s="898"/>
      <c r="D14" s="898"/>
      <c r="E14" s="891"/>
      <c r="F14" s="1455" t="s">
        <v>1713</v>
      </c>
      <c r="G14" s="1456"/>
      <c r="H14" s="1456"/>
      <c r="I14" s="1456"/>
      <c r="J14" s="1456"/>
      <c r="K14" s="1456"/>
      <c r="L14" s="1456"/>
      <c r="M14" s="1457"/>
      <c r="N14" s="1457"/>
      <c r="O14" s="1457"/>
      <c r="P14" s="1458"/>
      <c r="Q14" s="1459"/>
      <c r="R14" s="12"/>
      <c r="S14" s="12"/>
      <c r="T14" s="12"/>
      <c r="U14" s="12"/>
      <c r="V14" s="12"/>
      <c r="W14" s="12"/>
      <c r="X14" s="12"/>
      <c r="Y14" s="12"/>
      <c r="Z14" s="12"/>
      <c r="AA14" s="12"/>
      <c r="AB14" s="891"/>
      <c r="AC14" s="996"/>
      <c r="AD14" s="1405"/>
      <c r="AE14" s="1405"/>
      <c r="AF14" s="1405"/>
      <c r="AG14" s="1405"/>
      <c r="AH14" s="1405"/>
      <c r="AI14" s="1405"/>
      <c r="AJ14" s="1405"/>
      <c r="AK14" s="1405"/>
      <c r="AL14" s="1405"/>
      <c r="AM14" s="1405"/>
      <c r="AN14" s="1405"/>
      <c r="AO14" s="1405"/>
      <c r="AP14" s="1405"/>
      <c r="AQ14" s="1405"/>
      <c r="AR14" s="1405"/>
      <c r="AS14" s="67"/>
      <c r="AT14" s="996"/>
      <c r="AU14" s="12"/>
      <c r="AV14" s="12"/>
      <c r="AW14" s="12"/>
      <c r="AX14" s="12"/>
      <c r="AY14" s="14"/>
      <c r="AZ14" s="14"/>
      <c r="BA14" s="14"/>
      <c r="BB14" s="14"/>
      <c r="BC14" s="14"/>
      <c r="BD14" s="14"/>
      <c r="BE14" s="14"/>
      <c r="BF14" s="14"/>
      <c r="BG14" s="14"/>
      <c r="BH14" s="14"/>
      <c r="BI14" s="14"/>
    </row>
    <row r="15" spans="1:61">
      <c r="A15" s="212"/>
      <c r="B15" s="898"/>
      <c r="C15" s="898"/>
      <c r="D15" s="898"/>
      <c r="E15" s="891"/>
      <c r="F15" s="1460" t="s">
        <v>1715</v>
      </c>
      <c r="G15" s="1461"/>
      <c r="H15" s="1461"/>
      <c r="I15" s="1461"/>
      <c r="J15" s="1461"/>
      <c r="K15" s="1461"/>
      <c r="L15" s="1461"/>
      <c r="M15" s="1462"/>
      <c r="N15" s="1462"/>
      <c r="O15" s="1462"/>
      <c r="P15" s="1463"/>
      <c r="Q15" s="1464"/>
      <c r="R15" s="12"/>
      <c r="S15" s="12"/>
      <c r="T15" s="12"/>
      <c r="U15" s="12"/>
      <c r="V15" s="12"/>
      <c r="W15" s="12"/>
      <c r="X15" s="12"/>
      <c r="Y15" s="12"/>
      <c r="Z15" s="12"/>
      <c r="AA15" s="12"/>
      <c r="AB15" s="891"/>
      <c r="AC15" s="996"/>
      <c r="AD15" s="1405"/>
      <c r="AE15" s="1405"/>
      <c r="AF15" s="1405"/>
      <c r="AG15" s="1405"/>
      <c r="AH15" s="1405"/>
      <c r="AI15" s="1405"/>
      <c r="AJ15" s="1405"/>
      <c r="AK15" s="1405"/>
      <c r="AL15" s="1405"/>
      <c r="AM15" s="1405"/>
      <c r="AN15" s="1405"/>
      <c r="AO15" s="1405"/>
      <c r="AP15" s="1405"/>
      <c r="AQ15" s="1405"/>
      <c r="AR15" s="1405"/>
      <c r="AS15" s="67"/>
      <c r="AT15" s="996"/>
      <c r="AU15" s="12"/>
      <c r="AV15" s="12"/>
      <c r="AW15" s="12"/>
      <c r="AX15" s="12"/>
      <c r="AY15" s="14"/>
      <c r="AZ15" s="14"/>
      <c r="BA15" s="14"/>
      <c r="BB15" s="14"/>
      <c r="BC15" s="14"/>
      <c r="BD15" s="14"/>
      <c r="BE15" s="14"/>
      <c r="BF15" s="14"/>
      <c r="BG15" s="14"/>
      <c r="BH15" s="14"/>
      <c r="BI15" s="14"/>
    </row>
    <row r="16" spans="1:61">
      <c r="A16" s="212"/>
      <c r="B16" s="898"/>
      <c r="C16" s="898"/>
      <c r="D16" s="898"/>
      <c r="E16" s="891"/>
      <c r="F16" s="1460" t="str">
        <f>_xlfn.CONCAT("2. EP-berekeningen omzetten naar een andere EP-methode die wél ingevoerd kan worden in ",P24,".")</f>
        <v>2. EP-berekeningen omzetten naar een andere EP-methode die wél ingevoerd kan worden in GPR 4.4.</v>
      </c>
      <c r="G16" s="1461"/>
      <c r="H16" s="1461"/>
      <c r="I16" s="1461"/>
      <c r="J16" s="1461"/>
      <c r="K16" s="1461"/>
      <c r="L16" s="1461"/>
      <c r="M16" s="1462"/>
      <c r="N16" s="1462"/>
      <c r="O16" s="1462"/>
      <c r="P16" s="1463"/>
      <c r="Q16" s="1464"/>
      <c r="R16" s="12"/>
      <c r="S16" s="12"/>
      <c r="T16" s="12"/>
      <c r="U16" s="12"/>
      <c r="V16" s="12"/>
      <c r="W16" s="12"/>
      <c r="X16" s="12"/>
      <c r="Y16" s="12"/>
      <c r="Z16" s="12"/>
      <c r="AA16" s="12"/>
      <c r="AB16" s="891"/>
      <c r="AC16" s="996"/>
      <c r="AD16" s="1405"/>
      <c r="AE16" s="1405"/>
      <c r="AF16" s="1405"/>
      <c r="AG16" s="1405"/>
      <c r="AH16" s="1405"/>
      <c r="AI16" s="1405"/>
      <c r="AJ16" s="1405"/>
      <c r="AK16" s="1405"/>
      <c r="AL16" s="1405"/>
      <c r="AM16" s="1405"/>
      <c r="AN16" s="1405"/>
      <c r="AO16" s="1405"/>
      <c r="AP16" s="1405"/>
      <c r="AQ16" s="1405"/>
      <c r="AR16" s="1405"/>
      <c r="AS16" s="67"/>
      <c r="AT16" s="996"/>
      <c r="AU16" s="12"/>
      <c r="AV16" s="12"/>
      <c r="AW16" s="12"/>
      <c r="AX16" s="12"/>
      <c r="AY16" s="14"/>
      <c r="AZ16" s="14"/>
      <c r="BA16" s="14"/>
      <c r="BB16" s="14"/>
      <c r="BC16" s="14"/>
      <c r="BD16" s="14"/>
      <c r="BE16" s="14"/>
      <c r="BF16" s="14"/>
      <c r="BG16" s="14"/>
      <c r="BH16" s="14"/>
      <c r="BI16" s="14"/>
    </row>
    <row r="17" spans="1:61">
      <c r="A17" s="212"/>
      <c r="B17" s="898"/>
      <c r="C17" s="898"/>
      <c r="D17" s="898"/>
      <c r="E17" s="891"/>
      <c r="F17" s="1465" t="s">
        <v>1714</v>
      </c>
      <c r="G17" s="1466"/>
      <c r="H17" s="1466"/>
      <c r="I17" s="1466"/>
      <c r="J17" s="1466"/>
      <c r="K17" s="1466"/>
      <c r="L17" s="1466"/>
      <c r="M17" s="1467"/>
      <c r="N17" s="1467"/>
      <c r="O17" s="1467"/>
      <c r="P17" s="1468"/>
      <c r="Q17" s="1469"/>
      <c r="R17" s="12"/>
      <c r="S17" s="12"/>
      <c r="T17" s="12"/>
      <c r="U17" s="12"/>
      <c r="V17" s="12"/>
      <c r="W17" s="12"/>
      <c r="X17" s="12"/>
      <c r="Y17" s="12"/>
      <c r="Z17" s="12"/>
      <c r="AA17" s="12"/>
      <c r="AB17" s="891"/>
      <c r="AC17" s="996"/>
      <c r="AD17" s="1405"/>
      <c r="AE17" s="1405"/>
      <c r="AF17" s="1405"/>
      <c r="AG17" s="1405"/>
      <c r="AH17" s="1405"/>
      <c r="AI17" s="1405"/>
      <c r="AJ17" s="1405"/>
      <c r="AK17" s="1405"/>
      <c r="AL17" s="1405"/>
      <c r="AM17" s="1405"/>
      <c r="AN17" s="1405"/>
      <c r="AO17" s="1405"/>
      <c r="AP17" s="1405"/>
      <c r="AQ17" s="1405"/>
      <c r="AR17" s="1405"/>
      <c r="AS17" s="67"/>
      <c r="AT17" s="996"/>
      <c r="AU17" s="12"/>
      <c r="AV17" s="12"/>
      <c r="AW17" s="12"/>
      <c r="AX17" s="12"/>
      <c r="AY17" s="14"/>
      <c r="AZ17" s="14"/>
      <c r="BA17" s="14"/>
      <c r="BB17" s="14"/>
      <c r="BC17" s="14"/>
      <c r="BD17" s="14"/>
      <c r="BE17" s="14"/>
      <c r="BF17" s="14"/>
      <c r="BG17" s="14"/>
      <c r="BH17" s="14"/>
      <c r="BI17" s="14"/>
    </row>
    <row r="18" spans="1:61" ht="5.25" customHeight="1">
      <c r="A18" s="212"/>
      <c r="B18" s="898"/>
      <c r="C18" s="898"/>
      <c r="D18" s="898"/>
      <c r="E18" s="891"/>
      <c r="F18" s="891"/>
      <c r="G18" s="891"/>
      <c r="H18" s="891"/>
      <c r="I18" s="891"/>
      <c r="J18" s="891"/>
      <c r="K18" s="891"/>
      <c r="L18" s="891"/>
      <c r="M18" s="14"/>
      <c r="N18" s="14"/>
      <c r="O18" s="14"/>
      <c r="P18" s="155"/>
      <c r="Q18" s="12"/>
      <c r="R18" s="12"/>
      <c r="S18" s="12"/>
      <c r="T18" s="12"/>
      <c r="U18" s="12"/>
      <c r="V18" s="12"/>
      <c r="W18" s="12"/>
      <c r="X18" s="12"/>
      <c r="Y18" s="12"/>
      <c r="Z18" s="12"/>
      <c r="AA18" s="12"/>
      <c r="AB18" s="891"/>
      <c r="AC18" s="996"/>
      <c r="AD18" s="1405"/>
      <c r="AE18" s="1405"/>
      <c r="AF18" s="1405"/>
      <c r="AG18" s="1405"/>
      <c r="AH18" s="1405"/>
      <c r="AI18" s="1405"/>
      <c r="AJ18" s="1405"/>
      <c r="AK18" s="1405"/>
      <c r="AL18" s="1405"/>
      <c r="AM18" s="1405"/>
      <c r="AN18" s="1405"/>
      <c r="AO18" s="1405"/>
      <c r="AP18" s="1405"/>
      <c r="AQ18" s="1405"/>
      <c r="AR18" s="1405"/>
      <c r="AS18" s="67"/>
      <c r="AT18" s="996"/>
      <c r="AU18" s="12"/>
      <c r="AV18" s="12"/>
      <c r="AW18" s="12"/>
      <c r="AX18" s="12"/>
      <c r="AY18" s="14"/>
      <c r="AZ18" s="14"/>
      <c r="BA18" s="14"/>
      <c r="BB18" s="14"/>
      <c r="BC18" s="14"/>
      <c r="BD18" s="14"/>
      <c r="BE18" s="14"/>
      <c r="BF18" s="14"/>
      <c r="BG18" s="14"/>
      <c r="BH18" s="14"/>
      <c r="BI18" s="14"/>
    </row>
    <row r="19" spans="1:61">
      <c r="A19" s="212"/>
      <c r="B19" s="898"/>
      <c r="C19" s="898"/>
      <c r="D19" s="898"/>
      <c r="E19" s="891"/>
      <c r="F19" s="1455" t="s">
        <v>1716</v>
      </c>
      <c r="G19" s="1456"/>
      <c r="H19" s="1456"/>
      <c r="I19" s="1456"/>
      <c r="J19" s="1456"/>
      <c r="K19" s="1456"/>
      <c r="L19" s="1456"/>
      <c r="M19" s="1457"/>
      <c r="N19" s="1457"/>
      <c r="O19" s="1457"/>
      <c r="P19" s="1458"/>
      <c r="Q19" s="1459"/>
      <c r="R19" s="12"/>
      <c r="S19" s="12"/>
      <c r="T19" s="12"/>
      <c r="U19" s="12"/>
      <c r="V19" s="12"/>
      <c r="W19" s="12"/>
      <c r="X19" s="12"/>
      <c r="Y19" s="12"/>
      <c r="Z19" s="12"/>
      <c r="AA19" s="12"/>
      <c r="AB19" s="891"/>
      <c r="AC19" s="996"/>
      <c r="AD19" s="1405"/>
      <c r="AE19" s="1405"/>
      <c r="AF19" s="1405"/>
      <c r="AG19" s="1405"/>
      <c r="AH19" s="1405"/>
      <c r="AI19" s="1405"/>
      <c r="AJ19" s="1405"/>
      <c r="AK19" s="1405"/>
      <c r="AL19" s="1405"/>
      <c r="AM19" s="1405"/>
      <c r="AN19" s="1405"/>
      <c r="AO19" s="1405"/>
      <c r="AP19" s="1405"/>
      <c r="AQ19" s="1405"/>
      <c r="AR19" s="1405"/>
      <c r="AS19" s="67"/>
      <c r="AT19" s="996"/>
      <c r="AU19" s="12"/>
      <c r="AV19" s="12"/>
      <c r="AW19" s="12"/>
      <c r="AX19" s="12"/>
      <c r="AY19" s="14"/>
      <c r="AZ19" s="14"/>
      <c r="BA19" s="14"/>
      <c r="BB19" s="14"/>
      <c r="BC19" s="14"/>
      <c r="BD19" s="14"/>
      <c r="BE19" s="14"/>
      <c r="BF19" s="14"/>
      <c r="BG19" s="14"/>
      <c r="BH19" s="14"/>
      <c r="BI19" s="14"/>
    </row>
    <row r="20" spans="1:61">
      <c r="A20" s="212"/>
      <c r="B20" s="898"/>
      <c r="C20" s="898"/>
      <c r="D20" s="898"/>
      <c r="E20" s="891"/>
      <c r="F20" s="891"/>
      <c r="G20" s="891"/>
      <c r="H20" s="891"/>
      <c r="I20" s="891"/>
      <c r="J20" s="891"/>
      <c r="K20" s="891"/>
      <c r="L20" s="891"/>
      <c r="M20" s="14"/>
      <c r="N20" s="14"/>
      <c r="O20" s="14"/>
      <c r="P20" s="155"/>
      <c r="Q20" s="12"/>
      <c r="R20" s="12"/>
      <c r="S20" s="12"/>
      <c r="T20" s="12"/>
      <c r="U20" s="12"/>
      <c r="V20" s="12"/>
      <c r="W20" s="12"/>
      <c r="X20" s="12"/>
      <c r="Y20" s="12"/>
      <c r="Z20" s="12"/>
      <c r="AA20" s="12"/>
      <c r="AB20" s="891"/>
      <c r="AC20" s="996"/>
      <c r="AD20" s="1405"/>
      <c r="AE20" s="1405"/>
      <c r="AF20" s="1405"/>
      <c r="AG20" s="1405"/>
      <c r="AH20" s="1405"/>
      <c r="AI20" s="1405"/>
      <c r="AJ20" s="1405"/>
      <c r="AK20" s="1405"/>
      <c r="AL20" s="1405"/>
      <c r="AM20" s="1405"/>
      <c r="AN20" s="1405"/>
      <c r="AO20" s="1405"/>
      <c r="AP20" s="1405"/>
      <c r="AQ20" s="1405"/>
      <c r="AR20" s="1405"/>
      <c r="AS20" s="67"/>
      <c r="AT20" s="996"/>
      <c r="AU20" s="12"/>
      <c r="AV20" s="12"/>
      <c r="AW20" s="12"/>
      <c r="AX20" s="12"/>
      <c r="AY20" s="14"/>
      <c r="AZ20" s="14"/>
      <c r="BA20" s="14"/>
      <c r="BB20" s="14"/>
      <c r="BC20" s="14"/>
      <c r="BD20" s="14"/>
      <c r="BE20" s="14"/>
      <c r="BF20" s="14"/>
      <c r="BG20" s="14"/>
      <c r="BH20" s="14"/>
      <c r="BI20" s="14"/>
    </row>
    <row r="21" spans="1:61" s="19" customFormat="1">
      <c r="B21" s="30"/>
      <c r="C21" s="30"/>
      <c r="D21" s="30"/>
      <c r="E21" s="14"/>
      <c r="F21" s="68" t="s">
        <v>3</v>
      </c>
      <c r="G21" s="15"/>
      <c r="H21" s="15"/>
      <c r="I21" s="15"/>
      <c r="J21" s="15"/>
      <c r="K21" s="14"/>
      <c r="L21" s="14"/>
      <c r="M21" s="15" t="s">
        <v>489</v>
      </c>
      <c r="N21" s="15"/>
      <c r="O21" s="15"/>
      <c r="P21" s="14"/>
      <c r="Q21" s="14"/>
      <c r="R21" s="14"/>
      <c r="S21" s="14"/>
      <c r="T21" s="14"/>
      <c r="U21" s="14"/>
      <c r="V21" s="14"/>
      <c r="W21" s="14"/>
      <c r="X21" s="14"/>
      <c r="Y21" s="14"/>
      <c r="Z21" s="14"/>
      <c r="AA21" s="14"/>
      <c r="AB21" s="67"/>
      <c r="AC21" s="995"/>
      <c r="AD21" s="1405"/>
      <c r="AE21" s="1405"/>
      <c r="AF21" s="1405"/>
      <c r="AG21" s="1405"/>
      <c r="AH21" s="1405"/>
      <c r="AI21" s="1405"/>
      <c r="AJ21" s="1405"/>
      <c r="AK21" s="1405"/>
      <c r="AL21" s="1405"/>
      <c r="AM21" s="1405"/>
      <c r="AN21" s="1405"/>
      <c r="AO21" s="1405"/>
      <c r="AP21" s="1405"/>
      <c r="AQ21" s="1405"/>
      <c r="AR21" s="1405"/>
      <c r="AS21" s="67"/>
      <c r="AT21" s="995"/>
      <c r="AU21" s="14"/>
      <c r="AV21" s="14" t="s">
        <v>1403</v>
      </c>
      <c r="AW21" s="14"/>
      <c r="AX21" s="14"/>
      <c r="AY21" s="14"/>
      <c r="AZ21" s="14"/>
      <c r="BA21" s="14"/>
      <c r="BB21" s="14"/>
      <c r="BC21" s="14"/>
      <c r="BD21" s="14"/>
      <c r="BE21" s="14"/>
      <c r="BF21" s="14"/>
      <c r="BG21" s="14"/>
      <c r="BH21" s="14"/>
      <c r="BI21" s="14"/>
    </row>
    <row r="22" spans="1:61" s="19" customFormat="1" ht="17.25" customHeight="1">
      <c r="B22" s="30"/>
      <c r="C22" s="30"/>
      <c r="D22" s="30"/>
      <c r="E22" s="14"/>
      <c r="F22" s="22" t="s">
        <v>4</v>
      </c>
      <c r="G22" s="1691" t="str">
        <f>IF('Overzicht GPR Hulpmiddelen'!D6="","",'Overzicht GPR Hulpmiddelen'!D6)</f>
        <v/>
      </c>
      <c r="H22" s="1691"/>
      <c r="I22" s="1691"/>
      <c r="J22" s="1691"/>
      <c r="K22" s="1700"/>
      <c r="L22" s="213" t="s">
        <v>396</v>
      </c>
      <c r="M22" s="22" t="s">
        <v>492</v>
      </c>
      <c r="N22" s="22"/>
      <c r="O22" s="22"/>
      <c r="P22" s="1705" t="s">
        <v>401</v>
      </c>
      <c r="Q22" s="1698"/>
      <c r="R22" s="14"/>
      <c r="S22" s="14"/>
      <c r="T22" s="14"/>
      <c r="U22" s="14"/>
      <c r="V22" s="14"/>
      <c r="W22" s="14"/>
      <c r="X22" s="14"/>
      <c r="Y22" s="14"/>
      <c r="Z22" s="14"/>
      <c r="AA22" s="14"/>
      <c r="AB22" s="67"/>
      <c r="AC22" s="995"/>
      <c r="AD22" s="1405"/>
      <c r="AE22" s="1405"/>
      <c r="AF22" s="1405"/>
      <c r="AG22" s="1405"/>
      <c r="AH22" s="1405"/>
      <c r="AI22" s="1405"/>
      <c r="AJ22" s="1405"/>
      <c r="AK22" s="1405"/>
      <c r="AL22" s="1405"/>
      <c r="AM22" s="1405"/>
      <c r="AN22" s="1405"/>
      <c r="AO22" s="1405"/>
      <c r="AP22" s="1405"/>
      <c r="AQ22" s="1405"/>
      <c r="AR22" s="1405"/>
      <c r="AS22" s="67"/>
      <c r="AT22" s="995"/>
      <c r="AU22" s="14"/>
      <c r="AV22" s="1360" t="s">
        <v>494</v>
      </c>
      <c r="AW22" s="22"/>
      <c r="AX22" s="22"/>
      <c r="AY22" s="1335" t="str">
        <f>P24&amp;" | "&amp;P22</f>
        <v>GPR 4.4 | NTA 8800</v>
      </c>
      <c r="AZ22" s="1336"/>
      <c r="BA22" s="1336"/>
      <c r="BB22" s="1337"/>
      <c r="BC22" s="14"/>
      <c r="BD22" s="14"/>
      <c r="BE22" s="14"/>
      <c r="BF22" s="14"/>
      <c r="BG22" s="14"/>
      <c r="BH22" s="14"/>
      <c r="BI22" s="14"/>
    </row>
    <row r="23" spans="1:61" s="19" customFormat="1">
      <c r="B23" s="30"/>
      <c r="C23" s="30"/>
      <c r="D23" s="30"/>
      <c r="E23" s="14"/>
      <c r="F23" s="22" t="s">
        <v>5</v>
      </c>
      <c r="G23" s="1691" t="str">
        <f>IF('Overzicht GPR Hulpmiddelen'!D7="","",'Overzicht GPR Hulpmiddelen'!D7)</f>
        <v/>
      </c>
      <c r="H23" s="1691"/>
      <c r="I23" s="1691"/>
      <c r="J23" s="1691"/>
      <c r="K23" s="1700"/>
      <c r="L23" s="213" t="s">
        <v>396</v>
      </c>
      <c r="M23" s="22" t="s">
        <v>490</v>
      </c>
      <c r="N23" s="22"/>
      <c r="O23" s="22"/>
      <c r="P23" s="1702" t="s">
        <v>556</v>
      </c>
      <c r="Q23" s="1701"/>
      <c r="R23" s="916" t="s">
        <v>1458</v>
      </c>
      <c r="S23" s="14"/>
      <c r="T23" s="14"/>
      <c r="U23" s="14"/>
      <c r="V23" s="14"/>
      <c r="W23" s="14"/>
      <c r="X23" s="14"/>
      <c r="Y23" s="14"/>
      <c r="Z23" s="14"/>
      <c r="AA23" s="14"/>
      <c r="AB23" s="67"/>
      <c r="AC23" s="995"/>
      <c r="AD23" s="1405"/>
      <c r="AE23" s="1405"/>
      <c r="AF23" s="1405"/>
      <c r="AG23" s="1405"/>
      <c r="AH23" s="1405"/>
      <c r="AI23" s="1405"/>
      <c r="AJ23" s="1405"/>
      <c r="AK23" s="1405"/>
      <c r="AL23" s="1405"/>
      <c r="AM23" s="1405"/>
      <c r="AN23" s="1405"/>
      <c r="AO23" s="1405"/>
      <c r="AP23" s="1405"/>
      <c r="AQ23" s="1405"/>
      <c r="AR23" s="1405"/>
      <c r="AS23" s="67"/>
      <c r="AT23" s="995"/>
      <c r="AU23" s="14"/>
      <c r="AV23" s="1360" t="s">
        <v>495</v>
      </c>
      <c r="AW23" s="22"/>
      <c r="AX23" s="22"/>
      <c r="AY23" s="1335" t="str">
        <f>_xlfn.CONCAT(P24," | ",P27)</f>
        <v>GPR 4.4 | NTA 8800</v>
      </c>
      <c r="AZ23" s="1336"/>
      <c r="BA23" s="1336"/>
      <c r="BB23" s="1337"/>
      <c r="BC23" s="14"/>
      <c r="BD23" s="14"/>
      <c r="BE23" s="14"/>
      <c r="BF23" s="14"/>
      <c r="BG23" s="14"/>
      <c r="BH23" s="14"/>
      <c r="BI23" s="14"/>
    </row>
    <row r="24" spans="1:61" s="19" customFormat="1">
      <c r="D24" s="30"/>
      <c r="E24" s="14"/>
      <c r="F24" s="22" t="s">
        <v>6</v>
      </c>
      <c r="G24" s="1691" t="str">
        <f>IF('Overzicht GPR Hulpmiddelen'!D8="","",'Overzicht GPR Hulpmiddelen'!D8)</f>
        <v/>
      </c>
      <c r="H24" s="1691"/>
      <c r="I24" s="1691"/>
      <c r="J24" s="1691"/>
      <c r="K24" s="1700"/>
      <c r="L24" s="213" t="s">
        <v>396</v>
      </c>
      <c r="M24" s="22" t="s">
        <v>392</v>
      </c>
      <c r="N24" s="22"/>
      <c r="O24" s="22"/>
      <c r="P24" s="1685" t="s">
        <v>395</v>
      </c>
      <c r="Q24" s="1701"/>
      <c r="R24" s="916" t="s">
        <v>1455</v>
      </c>
      <c r="S24" s="14"/>
      <c r="T24" s="14"/>
      <c r="U24" s="14"/>
      <c r="V24" s="14"/>
      <c r="W24" s="14"/>
      <c r="X24" s="14"/>
      <c r="Y24" s="14"/>
      <c r="Z24" s="14"/>
      <c r="AA24" s="14"/>
      <c r="AB24" s="67"/>
      <c r="AC24" s="995"/>
      <c r="AD24" s="1405"/>
      <c r="AE24" s="1405"/>
      <c r="AF24" s="1405"/>
      <c r="AG24" s="1405"/>
      <c r="AH24" s="1405"/>
      <c r="AI24" s="1405"/>
      <c r="AJ24" s="1405"/>
      <c r="AK24" s="1405"/>
      <c r="AL24" s="1405"/>
      <c r="AM24" s="1405"/>
      <c r="AN24" s="1405"/>
      <c r="AO24" s="1405"/>
      <c r="AP24" s="1405"/>
      <c r="AQ24" s="1405"/>
      <c r="AR24" s="1405"/>
      <c r="AS24" s="67"/>
      <c r="AT24" s="995"/>
      <c r="AU24" s="14"/>
      <c r="AV24" s="1360" t="s">
        <v>1655</v>
      </c>
      <c r="AW24" s="22"/>
      <c r="AX24" s="22"/>
      <c r="AY24" s="1335" t="str">
        <f>_xlfn.CONCAT(P24," | ",P25," | ",P26)</f>
        <v>GPR 4.4 | nieuwbouw | woningbouw</v>
      </c>
      <c r="AZ24" s="1336"/>
      <c r="BA24" s="1336"/>
      <c r="BB24" s="1337"/>
      <c r="BC24" s="14"/>
      <c r="BD24" s="14"/>
      <c r="BE24" s="14"/>
      <c r="BF24" s="14"/>
      <c r="BG24" s="14"/>
      <c r="BH24" s="14"/>
      <c r="BI24" s="14"/>
    </row>
    <row r="25" spans="1:61" s="19" customFormat="1">
      <c r="D25" s="30"/>
      <c r="E25" s="14"/>
      <c r="F25" s="22" t="s">
        <v>7</v>
      </c>
      <c r="G25" s="1699" t="str">
        <f>IF('Overzicht GPR Hulpmiddelen'!D9="","",'Overzicht GPR Hulpmiddelen'!D9)</f>
        <v/>
      </c>
      <c r="H25" s="1699"/>
      <c r="I25" s="1699"/>
      <c r="J25" s="1699"/>
      <c r="K25" s="1700"/>
      <c r="L25" s="213"/>
      <c r="M25" s="22" t="s">
        <v>1386</v>
      </c>
      <c r="N25" s="22"/>
      <c r="O25" s="22"/>
      <c r="P25" s="1685" t="s">
        <v>1389</v>
      </c>
      <c r="Q25" s="1701"/>
      <c r="R25" s="14"/>
      <c r="S25" s="14"/>
      <c r="T25" s="14"/>
      <c r="U25" s="14"/>
      <c r="V25" s="14"/>
      <c r="W25" s="14"/>
      <c r="X25" s="14"/>
      <c r="Y25" s="14"/>
      <c r="Z25" s="14"/>
      <c r="AA25" s="14"/>
      <c r="AB25" s="67"/>
      <c r="AC25" s="995"/>
      <c r="AD25" s="1405"/>
      <c r="AE25" s="1405"/>
      <c r="AF25" s="1405"/>
      <c r="AG25" s="1405"/>
      <c r="AH25" s="1405"/>
      <c r="AI25" s="1405"/>
      <c r="AJ25" s="1405"/>
      <c r="AK25" s="1405"/>
      <c r="AL25" s="1405"/>
      <c r="AM25" s="1405"/>
      <c r="AN25" s="1405"/>
      <c r="AO25" s="1405"/>
      <c r="AP25" s="1405"/>
      <c r="AQ25" s="1405"/>
      <c r="AR25" s="1405"/>
      <c r="AS25" s="67"/>
      <c r="AT25" s="995"/>
      <c r="AU25" s="14"/>
      <c r="AV25" s="1360" t="s">
        <v>1634</v>
      </c>
      <c r="AW25" s="22"/>
      <c r="AX25" s="22"/>
      <c r="AY25" s="1335" t="str">
        <f>_xlfn.CONCAT(P24," | ",P25," | ",P26," | ",P27)</f>
        <v>GPR 4.4 | nieuwbouw | woningbouw | NTA 8800</v>
      </c>
      <c r="AZ25" s="1336"/>
      <c r="BA25" s="1336"/>
      <c r="BB25" s="1337"/>
      <c r="BC25" s="14"/>
      <c r="BD25" s="14"/>
      <c r="BE25" s="14"/>
      <c r="BF25" s="14"/>
      <c r="BG25" s="14"/>
      <c r="BH25" s="14"/>
      <c r="BI25" s="14"/>
    </row>
    <row r="26" spans="1:61" s="19" customFormat="1">
      <c r="D26" s="30"/>
      <c r="E26" s="14"/>
      <c r="F26" s="22" t="s">
        <v>488</v>
      </c>
      <c r="G26" s="1685"/>
      <c r="H26" s="1685"/>
      <c r="I26" s="1685"/>
      <c r="J26" s="1685"/>
      <c r="K26" s="1700"/>
      <c r="L26" s="213"/>
      <c r="M26" s="22" t="s">
        <v>1665</v>
      </c>
      <c r="N26" s="22"/>
      <c r="O26" s="22"/>
      <c r="P26" s="1702" t="s">
        <v>486</v>
      </c>
      <c r="Q26" s="1701"/>
      <c r="R26" s="14"/>
      <c r="S26" s="14"/>
      <c r="T26" s="14"/>
      <c r="U26" s="14"/>
      <c r="V26" s="14"/>
      <c r="W26" s="14"/>
      <c r="X26" s="14"/>
      <c r="Y26" s="14"/>
      <c r="Z26" s="14"/>
      <c r="AA26" s="14"/>
      <c r="AB26" s="67"/>
      <c r="AC26" s="995"/>
      <c r="AD26" s="1405"/>
      <c r="AE26" s="1405"/>
      <c r="AF26" s="1405"/>
      <c r="AG26" s="1405"/>
      <c r="AH26" s="1405"/>
      <c r="AI26" s="1405"/>
      <c r="AJ26" s="1405"/>
      <c r="AK26" s="1405"/>
      <c r="AL26" s="1405"/>
      <c r="AM26" s="1405"/>
      <c r="AN26" s="1405"/>
      <c r="AO26" s="1405"/>
      <c r="AP26" s="1405"/>
      <c r="AQ26" s="1405"/>
      <c r="AR26" s="1405"/>
      <c r="AS26" s="67"/>
      <c r="AT26" s="995"/>
      <c r="AU26" s="14"/>
      <c r="AV26" s="14"/>
      <c r="AW26" s="14"/>
      <c r="AX26" s="14"/>
      <c r="AY26" s="14"/>
      <c r="AZ26" s="14"/>
      <c r="BA26" s="14"/>
      <c r="BB26" s="14"/>
      <c r="BC26" s="14"/>
      <c r="BD26" s="14"/>
      <c r="BE26" s="14"/>
      <c r="BF26" s="14"/>
      <c r="BG26" s="14"/>
      <c r="BH26" s="14"/>
      <c r="BI26" s="14"/>
    </row>
    <row r="27" spans="1:61" s="19" customFormat="1">
      <c r="D27" s="30"/>
      <c r="E27" s="14"/>
      <c r="F27" s="22" t="s">
        <v>1525</v>
      </c>
      <c r="G27" s="1685"/>
      <c r="H27" s="1685"/>
      <c r="I27" s="1685"/>
      <c r="J27" s="1685"/>
      <c r="K27" s="1700"/>
      <c r="L27" s="213" t="s">
        <v>396</v>
      </c>
      <c r="M27" s="22" t="s">
        <v>1526</v>
      </c>
      <c r="N27" s="22"/>
      <c r="O27" s="22"/>
      <c r="P27" s="1703" t="s">
        <v>401</v>
      </c>
      <c r="Q27" s="1704"/>
      <c r="R27" s="983" t="str">
        <f>_xlfn.CONCAT("Kies een passende bepalingsmethode, die beschikbaar is in ",P24)</f>
        <v>Kies een passende bepalingsmethode, die beschikbaar is in GPR 4.4</v>
      </c>
      <c r="S27" s="14"/>
      <c r="T27" s="14"/>
      <c r="U27" s="14"/>
      <c r="V27" s="14"/>
      <c r="W27" s="14"/>
      <c r="X27" s="14"/>
      <c r="Y27" s="14"/>
      <c r="Z27" s="14"/>
      <c r="AA27" s="14"/>
      <c r="AB27" s="67"/>
      <c r="AC27" s="995"/>
      <c r="AD27" s="1405"/>
      <c r="AE27" s="1405"/>
      <c r="AF27" s="1405"/>
      <c r="AG27" s="1405"/>
      <c r="AH27" s="1405"/>
      <c r="AI27" s="1405"/>
      <c r="AJ27" s="1405"/>
      <c r="AK27" s="1405"/>
      <c r="AL27" s="1405"/>
      <c r="AM27" s="1405"/>
      <c r="AN27" s="1405"/>
      <c r="AO27" s="1405"/>
      <c r="AP27" s="1405"/>
      <c r="AQ27" s="1405"/>
      <c r="AR27" s="1405"/>
      <c r="AS27" s="67"/>
      <c r="AT27" s="995"/>
      <c r="AU27" s="14"/>
      <c r="AV27" s="14"/>
      <c r="AW27" s="14"/>
      <c r="AX27" s="14"/>
      <c r="AY27" s="14"/>
      <c r="AZ27" s="14"/>
      <c r="BA27" s="14"/>
      <c r="BB27" s="14"/>
      <c r="BC27" s="14"/>
      <c r="BD27" s="14"/>
      <c r="BE27" s="14"/>
      <c r="BF27" s="14"/>
      <c r="BG27" s="14"/>
      <c r="BH27" s="14"/>
      <c r="BI27" s="14"/>
    </row>
    <row r="28" spans="1:61">
      <c r="A28" s="212"/>
      <c r="B28" s="898"/>
      <c r="C28" s="898"/>
      <c r="D28" s="898"/>
      <c r="E28" s="891"/>
      <c r="F28" s="891"/>
      <c r="G28" s="891"/>
      <c r="H28" s="891"/>
      <c r="I28" s="891"/>
      <c r="J28" s="891"/>
      <c r="K28" s="891"/>
      <c r="L28" s="891"/>
      <c r="M28" s="14"/>
      <c r="N28" s="14"/>
      <c r="O28" s="14"/>
      <c r="P28" s="155"/>
      <c r="Q28" s="12"/>
      <c r="R28" s="12"/>
      <c r="S28" s="12"/>
      <c r="T28" s="12"/>
      <c r="U28" s="12"/>
      <c r="V28" s="12"/>
      <c r="W28" s="12"/>
      <c r="X28" s="12"/>
      <c r="Y28" s="12"/>
      <c r="Z28" s="12"/>
      <c r="AA28" s="12"/>
      <c r="AB28" s="891"/>
      <c r="AC28" s="996"/>
      <c r="AD28" s="1405"/>
      <c r="AE28" s="1405"/>
      <c r="AF28" s="1405"/>
      <c r="AG28" s="1405"/>
      <c r="AH28" s="1405"/>
      <c r="AI28" s="1405"/>
      <c r="AJ28" s="1405"/>
      <c r="AK28" s="1405"/>
      <c r="AL28" s="1405"/>
      <c r="AM28" s="1405"/>
      <c r="AN28" s="1405"/>
      <c r="AO28" s="1405"/>
      <c r="AP28" s="1405"/>
      <c r="AQ28" s="1405"/>
      <c r="AR28" s="1405"/>
      <c r="AS28" s="67"/>
      <c r="AT28" s="996"/>
      <c r="AU28" s="12"/>
      <c r="AV28" s="12"/>
      <c r="AW28" s="12"/>
      <c r="AX28" s="12"/>
      <c r="AY28" s="14"/>
      <c r="AZ28" s="14"/>
      <c r="BA28" s="14"/>
      <c r="BB28" s="14"/>
      <c r="BC28" s="14"/>
      <c r="BD28" s="14"/>
      <c r="BE28" s="14"/>
      <c r="BF28" s="14"/>
      <c r="BG28" s="14"/>
      <c r="BH28" s="14"/>
      <c r="BI28" s="14"/>
    </row>
    <row r="29" spans="1:61" s="896" customFormat="1" ht="25.5" customHeight="1">
      <c r="A29" s="86"/>
      <c r="B29" s="30"/>
      <c r="C29" s="30"/>
      <c r="D29" s="943"/>
      <c r="E29" s="897"/>
      <c r="F29" s="893" t="s">
        <v>1405</v>
      </c>
      <c r="G29" s="912"/>
      <c r="H29" s="913"/>
      <c r="I29" s="894"/>
      <c r="J29" s="912"/>
      <c r="K29" s="914"/>
      <c r="L29" s="895"/>
      <c r="M29" s="893"/>
      <c r="N29" s="893"/>
      <c r="O29" s="895"/>
      <c r="P29" s="895"/>
      <c r="Q29" s="893"/>
      <c r="R29" s="893"/>
      <c r="S29" s="893"/>
      <c r="T29" s="893"/>
      <c r="U29" s="893"/>
      <c r="V29" s="893"/>
      <c r="W29" s="893"/>
      <c r="X29" s="893"/>
      <c r="Y29" s="893"/>
      <c r="Z29" s="893"/>
      <c r="AA29" s="893"/>
      <c r="AB29" s="893"/>
      <c r="AC29" s="893"/>
      <c r="AD29" s="893"/>
      <c r="AE29" s="893"/>
      <c r="AF29" s="893"/>
      <c r="AG29" s="893"/>
      <c r="AH29" s="893"/>
      <c r="AI29" s="893"/>
      <c r="AJ29" s="893"/>
      <c r="AK29" s="893"/>
      <c r="AL29" s="893"/>
      <c r="AM29" s="893"/>
      <c r="AN29" s="893"/>
      <c r="AO29" s="893"/>
      <c r="AP29" s="893"/>
      <c r="AQ29" s="893"/>
      <c r="AR29" s="893"/>
      <c r="AS29" s="893"/>
      <c r="AT29" s="1381"/>
      <c r="AU29" s="893"/>
      <c r="AV29" s="893"/>
      <c r="AW29" s="893"/>
      <c r="AX29" s="893"/>
      <c r="AY29" s="893"/>
      <c r="AZ29" s="893"/>
      <c r="BA29" s="893"/>
      <c r="BB29" s="893"/>
      <c r="BC29" s="893"/>
      <c r="BD29" s="893"/>
      <c r="BE29" s="893"/>
      <c r="BF29" s="893"/>
      <c r="BG29" s="893"/>
      <c r="BH29" s="893"/>
      <c r="BI29" s="893"/>
    </row>
    <row r="30" spans="1:61" collapsed="1">
      <c r="A30" s="86"/>
      <c r="D30" s="943"/>
      <c r="E30" s="14"/>
      <c r="F30" s="13"/>
      <c r="G30" s="13"/>
      <c r="H30" s="13"/>
      <c r="I30" s="12"/>
      <c r="J30" s="39"/>
      <c r="K30" s="40"/>
      <c r="L30" s="39"/>
      <c r="M30" s="39"/>
      <c r="N30" s="39"/>
      <c r="O30" s="39"/>
      <c r="P30" s="12"/>
      <c r="Q30" s="12"/>
      <c r="R30" s="12"/>
      <c r="S30" s="12"/>
      <c r="T30" s="12"/>
      <c r="U30" s="12"/>
      <c r="V30" s="12"/>
      <c r="W30" s="12"/>
      <c r="X30" s="12"/>
      <c r="Y30" s="12"/>
      <c r="Z30" s="12"/>
      <c r="AA30" s="12"/>
      <c r="AB30" s="67"/>
      <c r="AC30" s="995"/>
      <c r="AD30" s="1405"/>
      <c r="AE30" s="1405"/>
      <c r="AF30" s="1405"/>
      <c r="AG30" s="1405"/>
      <c r="AH30" s="1405"/>
      <c r="AI30" s="1405"/>
      <c r="AJ30" s="1405"/>
      <c r="AK30" s="1405"/>
      <c r="AL30" s="1405"/>
      <c r="AM30" s="1405"/>
      <c r="AN30" s="1405"/>
      <c r="AO30" s="1405"/>
      <c r="AP30" s="1405"/>
      <c r="AQ30" s="1405"/>
      <c r="AR30" s="1405"/>
      <c r="AS30" s="67"/>
      <c r="AT30" s="995"/>
      <c r="AU30" s="12"/>
      <c r="AV30" s="12"/>
      <c r="AW30" s="12"/>
      <c r="AX30" s="12"/>
      <c r="AY30" s="12"/>
      <c r="AZ30" s="12"/>
      <c r="BA30" s="12"/>
      <c r="BB30" s="12"/>
      <c r="BC30" s="12"/>
      <c r="BD30" s="40"/>
      <c r="BE30" s="40"/>
      <c r="BF30" s="13"/>
      <c r="BG30" s="13"/>
      <c r="BH30" s="13"/>
      <c r="BI30" s="14"/>
    </row>
    <row r="31" spans="1:61">
      <c r="A31" s="18"/>
      <c r="B31" s="763"/>
      <c r="C31" s="763"/>
      <c r="D31" s="763"/>
      <c r="E31" s="14"/>
      <c r="F31" s="15" t="str">
        <f>_xlfn.CONCAT("Overnemen uit EP-berekening '",$P$23,"'")</f>
        <v>Overnemen uit EP-berekening 'VABI NTA 8800'</v>
      </c>
      <c r="G31" s="16"/>
      <c r="H31" s="16"/>
      <c r="I31" s="16"/>
      <c r="J31" s="148"/>
      <c r="K31" s="14"/>
      <c r="L31" s="39"/>
      <c r="M31" s="12"/>
      <c r="N31" s="12"/>
      <c r="O31" s="12"/>
      <c r="P31" s="12"/>
      <c r="Q31" s="12"/>
      <c r="R31" s="12"/>
      <c r="S31" s="12"/>
      <c r="T31" s="12"/>
      <c r="U31" s="12"/>
      <c r="V31" s="12"/>
      <c r="W31" s="12"/>
      <c r="X31" s="12"/>
      <c r="Y31" s="12"/>
      <c r="Z31" s="12"/>
      <c r="AA31" s="12"/>
      <c r="AB31" s="67"/>
      <c r="AC31" s="995"/>
      <c r="AD31" s="1432"/>
      <c r="AE31" s="1409" t="str">
        <f>_xlfn.CONCAT("Informatief: score in ",$P$24," ",$P$25)</f>
        <v>Informatief: score in GPR 4.4 nieuwbouw</v>
      </c>
      <c r="AF31" s="1408"/>
      <c r="AG31" s="1408"/>
      <c r="AH31" s="1388"/>
      <c r="AI31" s="1388"/>
      <c r="AJ31" s="1388"/>
      <c r="AK31" s="1405"/>
      <c r="AL31" s="1405"/>
      <c r="AM31" s="1405"/>
      <c r="AN31" s="1405"/>
      <c r="AO31" s="1405"/>
      <c r="AP31" s="1405"/>
      <c r="AQ31" s="1405"/>
      <c r="AR31" s="1405"/>
      <c r="AS31" s="67"/>
      <c r="AT31" s="995"/>
      <c r="AU31" s="12"/>
      <c r="AV31" s="15" t="s">
        <v>1656</v>
      </c>
      <c r="AW31" s="12"/>
      <c r="AX31" s="12"/>
      <c r="AY31" s="12"/>
      <c r="AZ31" s="12"/>
      <c r="BA31" s="12"/>
      <c r="BB31" s="12"/>
      <c r="BC31" s="12"/>
      <c r="BD31" s="40"/>
      <c r="BE31" s="40"/>
      <c r="BF31" s="13"/>
      <c r="BG31" s="13"/>
      <c r="BH31" s="13"/>
      <c r="BI31" s="14"/>
    </row>
    <row r="32" spans="1:61">
      <c r="A32" s="18"/>
      <c r="B32" s="763"/>
      <c r="C32" s="763"/>
      <c r="D32" s="763"/>
      <c r="E32" s="14"/>
      <c r="F32" s="452" t="s">
        <v>1398</v>
      </c>
      <c r="G32" s="16"/>
      <c r="H32" s="16"/>
      <c r="I32" s="16"/>
      <c r="J32" s="148"/>
      <c r="K32" s="14"/>
      <c r="L32" s="39"/>
      <c r="M32" s="12"/>
      <c r="N32" s="12"/>
      <c r="O32" s="12"/>
      <c r="P32" s="12"/>
      <c r="Q32" s="12"/>
      <c r="R32" s="12"/>
      <c r="S32" s="12"/>
      <c r="T32" s="12"/>
      <c r="U32" s="12"/>
      <c r="V32" s="12"/>
      <c r="W32" s="12"/>
      <c r="X32" s="12"/>
      <c r="Y32" s="12"/>
      <c r="Z32" s="12"/>
      <c r="AA32" s="12"/>
      <c r="AB32" s="67"/>
      <c r="AC32" s="995"/>
      <c r="AD32" s="891"/>
      <c r="AE32" s="1410" t="s">
        <v>1397</v>
      </c>
      <c r="AF32" s="1410"/>
      <c r="AG32" s="1410"/>
      <c r="AH32" s="1410"/>
      <c r="AI32" s="1410"/>
      <c r="AJ32" s="1410"/>
      <c r="AK32" s="1405"/>
      <c r="AL32" s="1405"/>
      <c r="AM32" s="1405"/>
      <c r="AN32" s="1405"/>
      <c r="AO32" s="1405"/>
      <c r="AP32" s="1405"/>
      <c r="AQ32" s="1405"/>
      <c r="AR32" s="1405"/>
      <c r="AS32" s="67"/>
      <c r="AT32" s="995"/>
      <c r="AU32" s="12"/>
      <c r="AV32" s="452" t="s">
        <v>1657</v>
      </c>
      <c r="AW32" s="452"/>
      <c r="AX32" s="452" t="s">
        <v>1658</v>
      </c>
      <c r="AY32" s="452"/>
      <c r="AZ32" s="452" t="s">
        <v>1659</v>
      </c>
      <c r="BA32" s="452"/>
      <c r="BB32" s="12"/>
      <c r="BC32" s="12"/>
      <c r="BD32" s="40"/>
      <c r="BE32" s="40"/>
      <c r="BF32" s="13"/>
      <c r="BG32" s="13"/>
      <c r="BH32" s="13"/>
      <c r="BI32" s="14"/>
    </row>
    <row r="33" spans="1:61">
      <c r="A33" s="139" t="s">
        <v>396</v>
      </c>
      <c r="B33" s="943"/>
      <c r="C33" s="47" t="str">
        <f>BA52</f>
        <v>VABI NTA 8800</v>
      </c>
      <c r="D33" s="943"/>
      <c r="E33" s="14"/>
      <c r="F33" s="47" t="str">
        <f>BC52</f>
        <v>VABI NTA 8800. EP2: Primair fossiel energieverbruik</v>
      </c>
      <c r="G33" s="23"/>
      <c r="H33" s="23"/>
      <c r="I33" s="16"/>
      <c r="J33" s="25">
        <v>50</v>
      </c>
      <c r="K33" s="47" t="str">
        <f>BD52</f>
        <v>kWh/m2</v>
      </c>
      <c r="L33" s="39"/>
      <c r="M33" s="12"/>
      <c r="N33" s="12"/>
      <c r="O33" s="12"/>
      <c r="P33" s="12"/>
      <c r="Q33" s="12"/>
      <c r="R33" s="12"/>
      <c r="S33" s="12"/>
      <c r="T33" s="12"/>
      <c r="U33" s="12"/>
      <c r="V33" s="12"/>
      <c r="W33" s="12"/>
      <c r="X33" s="12"/>
      <c r="Y33" s="12"/>
      <c r="Z33" s="12"/>
      <c r="AA33" s="12"/>
      <c r="AB33" s="67"/>
      <c r="AC33" s="995"/>
      <c r="AD33" s="891" t="s">
        <v>396</v>
      </c>
      <c r="AE33" s="903" t="str">
        <f>_xlfn.CONCAT("grenswaarde GPR 6 bij bronmethode (",$P$22," )")</f>
        <v>grenswaarde GPR 6 bij bronmethode (NTA 8800 )</v>
      </c>
      <c r="AF33" s="1474"/>
      <c r="AG33" s="1475">
        <f>F320</f>
        <v>225</v>
      </c>
      <c r="AH33" s="1476" t="str">
        <f>INDEX(EP_Methode_BRON_per_GPR_Versie_Eenheid,MATCH(P$22,EP_Methode_BRON_per_GPR_Versie,0))&amp;"/m2 Ag"</f>
        <v>kWh/m2 Ag</v>
      </c>
      <c r="AI33" s="1410"/>
      <c r="AJ33" s="1410"/>
      <c r="AK33" s="1405"/>
      <c r="AL33" s="1405"/>
      <c r="AM33" s="1405"/>
      <c r="AN33" s="1405"/>
      <c r="AO33" s="1405"/>
      <c r="AP33" s="1405"/>
      <c r="AQ33" s="1405"/>
      <c r="AR33" s="1405"/>
      <c r="AS33" s="67"/>
      <c r="AT33" s="995"/>
      <c r="AU33" s="12"/>
      <c r="AV33" s="22" t="str">
        <f>NEN_7120</f>
        <v>NEN 7120</v>
      </c>
      <c r="AW33" s="22"/>
      <c r="AX33" s="22">
        <f>VLOOKUP(EP_versie_scope_functie,EP_Methode_DOEL_per_GPR_Versie,MATCH(AV33,EP_Methode_DOEL_per_GPR_Versie_titel,0),FALSE)</f>
        <v>1</v>
      </c>
      <c r="AY33" s="22"/>
      <c r="AZ33" s="305" t="str" cm="1">
        <f t="array" ref="AZ33:AZ34">_xlfn._xlws.FILTER(AV33:AV35,AX33:AX35)</f>
        <v>NEN 7120</v>
      </c>
      <c r="BA33" s="12"/>
      <c r="BB33" s="12"/>
      <c r="BC33" s="12"/>
      <c r="BD33" s="40"/>
      <c r="BE33" s="40"/>
      <c r="BF33" s="13"/>
      <c r="BG33" s="13"/>
      <c r="BH33" s="13"/>
      <c r="BI33" s="14"/>
    </row>
    <row r="34" spans="1:61">
      <c r="A34" s="86"/>
      <c r="B34" s="943"/>
      <c r="C34" s="47" t="str">
        <f>BA53</f>
        <v>Uniec 3</v>
      </c>
      <c r="D34" s="943"/>
      <c r="E34" s="14"/>
      <c r="F34" s="47" t="str">
        <f>BC53</f>
        <v>Uniec 3: Jaarlijkse karakteristieke energiegebruik Eptot</v>
      </c>
      <c r="G34" s="23"/>
      <c r="H34" s="23"/>
      <c r="I34" s="16"/>
      <c r="J34" s="25"/>
      <c r="K34" s="47" t="str">
        <f>BD53</f>
        <v>kWh</v>
      </c>
      <c r="L34" s="39"/>
      <c r="M34" s="12"/>
      <c r="N34" s="12"/>
      <c r="O34" s="12"/>
      <c r="P34" s="12"/>
      <c r="Q34" s="12"/>
      <c r="R34" s="12"/>
      <c r="S34" s="12"/>
      <c r="T34" s="12"/>
      <c r="U34" s="12"/>
      <c r="V34" s="12"/>
      <c r="W34" s="12"/>
      <c r="X34" s="12"/>
      <c r="Y34" s="12"/>
      <c r="Z34" s="12"/>
      <c r="AA34" s="12"/>
      <c r="AB34" s="67"/>
      <c r="AC34" s="995"/>
      <c r="AD34" s="891" t="s">
        <v>396</v>
      </c>
      <c r="AE34" s="903" t="str">
        <f>_xlfn.CONCAT("grenswaarde GPR 10 bij bronmethode (",$P$22," )")</f>
        <v>grenswaarde GPR 10 bij bronmethode (NTA 8800 )</v>
      </c>
      <c r="AF34" s="1474"/>
      <c r="AG34" s="1475">
        <f>G320</f>
        <v>-26.666666666666668</v>
      </c>
      <c r="AH34" s="1476" t="str">
        <f>INDEX(EP_Methode_BRON_per_GPR_Versie_Eenheid,MATCH(P$22,EP_Methode_BRON_per_GPR_Versie,0))&amp;"/m2 Ag"</f>
        <v>kWh/m2 Ag</v>
      </c>
      <c r="AI34" s="1410"/>
      <c r="AJ34" s="1410"/>
      <c r="AK34" s="1405"/>
      <c r="AL34" s="1405"/>
      <c r="AM34" s="1405"/>
      <c r="AN34" s="1405"/>
      <c r="AO34" s="1405"/>
      <c r="AP34" s="1405"/>
      <c r="AQ34" s="1405"/>
      <c r="AR34" s="1405"/>
      <c r="AS34" s="67"/>
      <c r="AT34" s="995"/>
      <c r="AU34" s="12"/>
      <c r="AV34" s="22" t="str">
        <f>NTA_8800</f>
        <v>NTA 8800</v>
      </c>
      <c r="AW34" s="22"/>
      <c r="AX34" s="22">
        <f>VLOOKUP(EP_versie_scope_functie,EP_Methode_DOEL_per_GPR_Versie,MATCH(AV34,EP_Methode_DOEL_per_GPR_Versie_titel,0),FALSE)</f>
        <v>1</v>
      </c>
      <c r="AY34" s="22"/>
      <c r="AZ34" s="304" t="str">
        <v>NTA 8800</v>
      </c>
      <c r="BA34" s="12"/>
      <c r="BB34" s="12"/>
      <c r="BC34" s="12"/>
      <c r="BD34" s="40"/>
      <c r="BE34" s="40"/>
      <c r="BF34" s="13"/>
      <c r="BG34" s="13"/>
      <c r="BH34" s="13"/>
      <c r="BI34" s="14"/>
    </row>
    <row r="35" spans="1:61">
      <c r="A35" s="139" t="s">
        <v>396</v>
      </c>
      <c r="B35" s="943"/>
      <c r="C35" s="47" t="str">
        <f>VLOOKUP(P23,$AV$52:$AX$55,COLUMNS($AV$51:$AX$51),FALSE)</f>
        <v>VABI NTA 8800</v>
      </c>
      <c r="D35" s="943"/>
      <c r="E35" s="14"/>
      <c r="F35" s="22" t="str">
        <f>VLOOKUP($C35,$BA$52:$BE$55,COLUMNS($BA$51:$BE$51),FALSE)</f>
        <v xml:space="preserve">EP2: Primair fossiel energieverbruik </v>
      </c>
      <c r="G35" s="23"/>
      <c r="H35" s="23"/>
      <c r="I35" s="16"/>
      <c r="J35" s="23">
        <f>IFERROR(SUMIFS(J33:J34,$C$33:$C$34,$C$35)/IF(VLOOKUP($C35,$BA$52:$BF$55,COLUMNS($BA$51:$BF$51),FALSE)=0,$J$59,1),"")</f>
        <v>50</v>
      </c>
      <c r="K35" s="22" t="str">
        <f>_xlfn.CONCAT(INDEX(EP_methode_eenheid,1,MATCH($P$22,EP_methode,0)),"/m2 Ag")</f>
        <v>kWh/m2 Ag</v>
      </c>
      <c r="L35" s="39"/>
      <c r="M35" s="12"/>
      <c r="N35" s="12"/>
      <c r="O35" s="12"/>
      <c r="P35" s="12"/>
      <c r="Q35" s="12"/>
      <c r="R35" s="12"/>
      <c r="S35" s="12"/>
      <c r="T35" s="12"/>
      <c r="U35" s="12"/>
      <c r="V35" s="12"/>
      <c r="W35" s="12"/>
      <c r="X35" s="12"/>
      <c r="Y35" s="12"/>
      <c r="Z35" s="12"/>
      <c r="AA35" s="12"/>
      <c r="AB35" s="67"/>
      <c r="AC35" s="995"/>
      <c r="AD35" s="891" t="s">
        <v>396</v>
      </c>
      <c r="AE35" s="1383" t="s">
        <v>1645</v>
      </c>
      <c r="AF35" s="1444"/>
      <c r="AG35" s="1446">
        <f>J320</f>
        <v>8.5588799964651958</v>
      </c>
      <c r="AH35" s="1387" t="s">
        <v>132</v>
      </c>
      <c r="AI35" s="1410"/>
      <c r="AJ35" s="1410"/>
      <c r="AK35" s="1405"/>
      <c r="AL35" s="1405"/>
      <c r="AM35" s="1405"/>
      <c r="AN35" s="1405"/>
      <c r="AO35" s="1405"/>
      <c r="AP35" s="1405"/>
      <c r="AQ35" s="1405"/>
      <c r="AR35" s="1405"/>
      <c r="AS35" s="67"/>
      <c r="AT35" s="995"/>
      <c r="AU35" s="12"/>
      <c r="AV35" s="22" t="str">
        <f>ISSO_75.3</f>
        <v>ISSO 75.3</v>
      </c>
      <c r="AW35" s="22"/>
      <c r="AX35" s="22">
        <f>VLOOKUP(EP_versie_scope_functie,EP_Methode_DOEL_per_GPR_Versie,MATCH(AV35,EP_Methode_DOEL_per_GPR_Versie_titel,0),FALSE)</f>
        <v>0</v>
      </c>
      <c r="AY35" s="22"/>
      <c r="AZ35" s="306"/>
      <c r="BA35" s="12"/>
      <c r="BB35" s="12"/>
      <c r="BC35" s="12"/>
      <c r="BD35" s="40"/>
      <c r="BE35" s="40"/>
      <c r="BF35" s="13"/>
      <c r="BG35" s="13"/>
      <c r="BH35" s="13"/>
      <c r="BI35" s="14"/>
    </row>
    <row r="36" spans="1:61">
      <c r="A36" s="139" t="s">
        <v>396</v>
      </c>
      <c r="B36" s="943"/>
      <c r="C36" s="47" t="s">
        <v>401</v>
      </c>
      <c r="D36" s="943"/>
      <c r="E36" s="14"/>
      <c r="F36" s="47" t="s">
        <v>1786</v>
      </c>
      <c r="G36" s="47"/>
      <c r="H36" s="47"/>
      <c r="I36" s="16"/>
      <c r="J36" s="1051">
        <f>IF(C36&lt;&gt;P22,"-",IFERROR(1-J35/AJ58,""))</f>
        <v>0.11764705882352933</v>
      </c>
      <c r="K36" s="22"/>
      <c r="L36" s="39"/>
      <c r="M36" s="12"/>
      <c r="N36" s="12"/>
      <c r="O36" s="12"/>
      <c r="P36" s="12"/>
      <c r="Q36" s="12"/>
      <c r="R36" s="12"/>
      <c r="S36" s="12"/>
      <c r="T36" s="12"/>
      <c r="U36" s="12"/>
      <c r="V36" s="12"/>
      <c r="W36" s="12"/>
      <c r="X36" s="12"/>
      <c r="Y36" s="12"/>
      <c r="Z36" s="12"/>
      <c r="AA36" s="12"/>
      <c r="AB36" s="67"/>
      <c r="AC36" s="995"/>
      <c r="AD36" s="891"/>
      <c r="AE36" s="1383"/>
      <c r="AF36" s="1533"/>
      <c r="AG36" s="1534"/>
      <c r="AH36" s="1387"/>
      <c r="AI36" s="1410"/>
      <c r="AJ36" s="1410"/>
      <c r="AK36" s="1405"/>
      <c r="AL36" s="1405"/>
      <c r="AM36" s="1405"/>
      <c r="AN36" s="1405"/>
      <c r="AO36" s="1405"/>
      <c r="AP36" s="1405"/>
      <c r="AQ36" s="1405"/>
      <c r="AR36" s="1405"/>
      <c r="AS36" s="67"/>
      <c r="AT36" s="995"/>
      <c r="AU36" s="12"/>
      <c r="AV36" s="22"/>
      <c r="AW36" s="22"/>
      <c r="AX36" s="22"/>
      <c r="AY36" s="22"/>
      <c r="AZ36" s="1532"/>
      <c r="BA36" s="12"/>
      <c r="BB36" s="12"/>
      <c r="BC36" s="12"/>
      <c r="BD36" s="40"/>
      <c r="BE36" s="40"/>
      <c r="BF36" s="13"/>
      <c r="BG36" s="13"/>
      <c r="BH36" s="13"/>
      <c r="BI36" s="14"/>
    </row>
    <row r="37" spans="1:61" ht="5.25" customHeight="1" collapsed="1">
      <c r="A37" s="86"/>
      <c r="B37" s="943"/>
      <c r="C37" s="943"/>
      <c r="D37" s="943"/>
      <c r="E37" s="14"/>
      <c r="F37" s="13"/>
      <c r="G37" s="13"/>
      <c r="H37" s="13"/>
      <c r="I37" s="16"/>
      <c r="J37" s="13"/>
      <c r="K37" s="13"/>
      <c r="L37" s="39"/>
      <c r="M37" s="12"/>
      <c r="N37" s="12"/>
      <c r="O37" s="12"/>
      <c r="P37" s="12"/>
      <c r="Q37" s="12"/>
      <c r="R37" s="12"/>
      <c r="S37" s="12"/>
      <c r="T37" s="12"/>
      <c r="U37" s="12"/>
      <c r="V37" s="12"/>
      <c r="W37" s="12"/>
      <c r="X37" s="12"/>
      <c r="Y37" s="12"/>
      <c r="Z37" s="12"/>
      <c r="AA37" s="12"/>
      <c r="AB37" s="67"/>
      <c r="AC37" s="995"/>
      <c r="AD37" s="1432"/>
      <c r="AE37" s="1408"/>
      <c r="AF37" s="1408"/>
      <c r="AG37" s="1388"/>
      <c r="AH37" s="1388"/>
      <c r="AI37" s="1410"/>
      <c r="AJ37" s="1410"/>
      <c r="AK37" s="1405"/>
      <c r="AL37" s="1405"/>
      <c r="AM37" s="1405"/>
      <c r="AN37" s="1405"/>
      <c r="AO37" s="1405"/>
      <c r="AP37" s="1405"/>
      <c r="AQ37" s="1405"/>
      <c r="AR37" s="1405"/>
      <c r="AS37" s="67"/>
      <c r="AT37" s="995"/>
      <c r="AU37" s="12"/>
      <c r="AV37" s="12"/>
      <c r="AW37" s="12"/>
      <c r="AX37" s="12"/>
      <c r="AY37" s="12"/>
      <c r="AZ37" s="12"/>
      <c r="BA37" s="12"/>
      <c r="BB37" s="12"/>
      <c r="BC37" s="12"/>
      <c r="BD37" s="40"/>
      <c r="BE37" s="40"/>
      <c r="BF37" s="13"/>
      <c r="BG37" s="13"/>
      <c r="BH37" s="13"/>
      <c r="BI37" s="13"/>
    </row>
    <row r="38" spans="1:61">
      <c r="A38" s="18"/>
      <c r="B38" s="763"/>
      <c r="C38" s="763"/>
      <c r="D38" s="763"/>
      <c r="E38" s="14"/>
      <c r="F38" s="452" t="s">
        <v>1399</v>
      </c>
      <c r="G38" s="16"/>
      <c r="H38" s="16"/>
      <c r="I38" s="16"/>
      <c r="J38" s="148"/>
      <c r="K38" s="14"/>
      <c r="L38" s="39"/>
      <c r="M38" s="12"/>
      <c r="N38" s="12"/>
      <c r="O38" s="12"/>
      <c r="P38" s="12"/>
      <c r="Q38" s="12"/>
      <c r="R38" s="12"/>
      <c r="S38" s="12"/>
      <c r="T38" s="12"/>
      <c r="U38" s="12"/>
      <c r="V38" s="12"/>
      <c r="W38" s="12"/>
      <c r="X38" s="12"/>
      <c r="Y38" s="12"/>
      <c r="Z38" s="12"/>
      <c r="AA38" s="12"/>
      <c r="AB38" s="67"/>
      <c r="AC38" s="995"/>
      <c r="AD38" s="891"/>
      <c r="AE38" s="1410" t="s">
        <v>571</v>
      </c>
      <c r="AF38" s="1408"/>
      <c r="AG38" s="1388"/>
      <c r="AH38" s="1388"/>
      <c r="AI38" s="1410"/>
      <c r="AJ38" s="1410"/>
      <c r="AK38" s="1405"/>
      <c r="AL38" s="1405"/>
      <c r="AM38" s="1405"/>
      <c r="AN38" s="1405"/>
      <c r="AO38" s="1405"/>
      <c r="AP38" s="1405"/>
      <c r="AQ38" s="1405"/>
      <c r="AR38" s="1405"/>
      <c r="AS38" s="67"/>
      <c r="AT38" s="995"/>
      <c r="AU38" s="12"/>
      <c r="AV38" s="12"/>
      <c r="AW38" s="12"/>
      <c r="AX38" s="12"/>
      <c r="AY38" s="12"/>
      <c r="AZ38" s="12"/>
      <c r="BA38" s="12"/>
      <c r="BB38" s="12"/>
      <c r="BC38" s="12"/>
      <c r="BD38" s="40"/>
      <c r="BE38" s="40"/>
      <c r="BF38" s="13"/>
      <c r="BG38" s="13"/>
      <c r="BH38" s="13"/>
      <c r="BI38" s="13"/>
    </row>
    <row r="39" spans="1:61">
      <c r="A39" s="139" t="s">
        <v>396</v>
      </c>
      <c r="B39" s="944"/>
      <c r="C39" s="944"/>
      <c r="D39" s="944"/>
      <c r="E39" s="14"/>
      <c r="F39" s="22" t="s">
        <v>571</v>
      </c>
      <c r="G39" s="23"/>
      <c r="H39" s="23"/>
      <c r="I39" s="16"/>
      <c r="J39" s="1102"/>
      <c r="K39" s="47" t="s">
        <v>468</v>
      </c>
      <c r="L39" s="39"/>
      <c r="M39" s="12"/>
      <c r="N39" s="12"/>
      <c r="O39" s="12"/>
      <c r="P39" s="12"/>
      <c r="Q39" s="12"/>
      <c r="R39" s="12"/>
      <c r="S39" s="12"/>
      <c r="T39" s="12"/>
      <c r="U39" s="12"/>
      <c r="V39" s="12"/>
      <c r="W39" s="12"/>
      <c r="X39" s="12"/>
      <c r="Y39" s="12"/>
      <c r="Z39" s="12"/>
      <c r="AA39" s="12"/>
      <c r="AB39" s="67"/>
      <c r="AC39" s="995"/>
      <c r="AD39" s="891" t="s">
        <v>396</v>
      </c>
      <c r="AE39" s="903" t="str">
        <f>_xlfn.CONCAT("grenswaarde GPR 6 bij bronmethode (",$P$22," )")</f>
        <v>grenswaarde GPR 6 bij bronmethode (NTA 8800 )</v>
      </c>
      <c r="AF39" s="1474"/>
      <c r="AG39" s="1475">
        <f>IF(SUM($M$44:$M$55)=0,0,SUMPRODUCT($M$44:$M$55,F$329:F$340)/SUM($M$44:$M$55))</f>
        <v>44.936660156249999</v>
      </c>
      <c r="AH39" s="1476" t="s">
        <v>427</v>
      </c>
      <c r="AI39" s="1410"/>
      <c r="AJ39" s="1410"/>
      <c r="AK39" s="1405"/>
      <c r="AL39" s="1405"/>
      <c r="AM39" s="1405"/>
      <c r="AN39" s="1405"/>
      <c r="AO39" s="1405"/>
      <c r="AP39" s="1405"/>
      <c r="AQ39" s="1405"/>
      <c r="AR39" s="1405"/>
      <c r="AS39" s="67"/>
      <c r="AT39" s="995"/>
      <c r="AU39" s="12"/>
      <c r="AV39" s="15" t="s">
        <v>1660</v>
      </c>
      <c r="AW39" s="15"/>
      <c r="AX39" s="15"/>
      <c r="AY39" s="15"/>
      <c r="AZ39" s="15"/>
      <c r="BA39" s="15"/>
      <c r="BB39" s="15"/>
      <c r="BC39" s="15"/>
      <c r="BD39" s="15"/>
      <c r="BE39" s="40"/>
      <c r="BF39" s="13"/>
      <c r="BG39" s="13"/>
      <c r="BH39" s="13"/>
      <c r="BI39" s="13"/>
    </row>
    <row r="40" spans="1:61">
      <c r="A40" s="139" t="s">
        <v>396</v>
      </c>
      <c r="B40" s="944"/>
      <c r="C40" s="944"/>
      <c r="D40" s="944"/>
      <c r="E40" s="14"/>
      <c r="F40" s="22" t="s">
        <v>1453</v>
      </c>
      <c r="G40" s="22"/>
      <c r="H40" s="22"/>
      <c r="I40" s="16"/>
      <c r="J40" s="915">
        <f>IF(AG39=0,"",1-AG40/AG39)</f>
        <v>1</v>
      </c>
      <c r="K40" s="47"/>
      <c r="L40" s="39"/>
      <c r="M40" s="12"/>
      <c r="N40" s="12"/>
      <c r="O40" s="12"/>
      <c r="P40" s="12"/>
      <c r="Q40" s="12"/>
      <c r="R40" s="12"/>
      <c r="S40" s="12"/>
      <c r="T40" s="12"/>
      <c r="U40" s="12"/>
      <c r="V40" s="12"/>
      <c r="W40" s="12"/>
      <c r="X40" s="12"/>
      <c r="Y40" s="12"/>
      <c r="Z40" s="12"/>
      <c r="AA40" s="12"/>
      <c r="AB40" s="67"/>
      <c r="AC40" s="995"/>
      <c r="AD40" s="1432"/>
      <c r="AE40" s="1383" t="s">
        <v>1401</v>
      </c>
      <c r="AF40" s="1444"/>
      <c r="AG40" s="1445">
        <f>IF($M$58=0,0,J39/$M$58)</f>
        <v>0</v>
      </c>
      <c r="AH40" s="1412" t="s">
        <v>427</v>
      </c>
      <c r="AI40" s="1410"/>
      <c r="AJ40" s="1410"/>
      <c r="AK40" s="1405"/>
      <c r="AL40" s="1405"/>
      <c r="AM40" s="1405"/>
      <c r="AN40" s="1405"/>
      <c r="AO40" s="1405"/>
      <c r="AP40" s="1405"/>
      <c r="AQ40" s="1405"/>
      <c r="AR40" s="1405"/>
      <c r="AS40" s="67"/>
      <c r="AT40" s="995"/>
      <c r="AU40" s="12"/>
      <c r="AV40" s="453" t="s">
        <v>1402</v>
      </c>
      <c r="AW40" s="890"/>
      <c r="AX40" s="970" t="s">
        <v>1489</v>
      </c>
      <c r="AY40" s="890" t="s">
        <v>1517</v>
      </c>
      <c r="AZ40" s="979" t="str">
        <f>tabellen_EMD!$H$174</f>
        <v>Resultaten per energiefunctie</v>
      </c>
      <c r="BA40" s="12"/>
      <c r="BB40" s="12"/>
      <c r="BC40" s="12"/>
      <c r="BD40" s="40"/>
      <c r="BE40" s="40"/>
      <c r="BF40" s="13"/>
      <c r="BG40" s="13"/>
      <c r="BH40" s="13"/>
      <c r="BI40" s="13"/>
    </row>
    <row r="41" spans="1:61">
      <c r="E41" s="452"/>
      <c r="F41" s="452"/>
      <c r="G41" s="452"/>
      <c r="H41" s="452"/>
      <c r="I41" s="452"/>
      <c r="J41" s="1003"/>
      <c r="K41" s="452"/>
      <c r="L41" s="452"/>
      <c r="M41" s="39"/>
      <c r="N41" s="39"/>
      <c r="O41" s="39"/>
      <c r="P41" s="39"/>
      <c r="Q41" s="39"/>
      <c r="R41" s="39"/>
      <c r="S41" s="39"/>
      <c r="T41" s="452"/>
      <c r="U41" s="12"/>
      <c r="V41" s="12"/>
      <c r="W41" s="12"/>
      <c r="X41" s="12"/>
      <c r="Y41" s="12"/>
      <c r="Z41" s="12"/>
      <c r="AA41" s="12"/>
      <c r="AB41" s="452"/>
      <c r="AC41" s="997"/>
      <c r="AD41" s="1405"/>
      <c r="AE41" s="1405"/>
      <c r="AF41" s="1405"/>
      <c r="AG41" s="1405"/>
      <c r="AH41" s="1405"/>
      <c r="AI41" s="1405"/>
      <c r="AJ41" s="1405"/>
      <c r="AK41" s="1405"/>
      <c r="AL41" s="1405"/>
      <c r="AM41" s="1405"/>
      <c r="AN41" s="1405"/>
      <c r="AO41" s="1405"/>
      <c r="AP41" s="1405"/>
      <c r="AQ41" s="1405"/>
      <c r="AR41" s="1405"/>
      <c r="AS41" s="67"/>
      <c r="AT41" s="997"/>
      <c r="AU41" s="12"/>
      <c r="AV41" s="47" t="str">
        <f>tabellen_EMD!C175</f>
        <v>Enorm</v>
      </c>
      <c r="AW41" s="47"/>
      <c r="AX41" s="47" t="str">
        <f>INDEX(tabellen_EMD!$C$174:$J$182,MATCH('EP naar GPR4'!$AV41,tabellen_EMD!$C$174:$C$182,0),MATCH('EP naar GPR4'!AX$40,tabellen_EMD!$C$174:$J$174,0))</f>
        <v>NEN 7120</v>
      </c>
      <c r="AY41" s="47" t="b">
        <f t="shared" ref="AY41:AY48" si="0">AX41=$P$22</f>
        <v>0</v>
      </c>
      <c r="AZ41" s="47" t="str">
        <f>INDEX(tabellen_EMD!$C$174:$J$182,MATCH('EP naar GPR4'!$AV41,tabellen_EMD!$C$174:$C$182,0),MATCH('EP naar GPR4'!AZ$40,tabellen_EMD!$C$174:$J$174,0))</f>
        <v>Resultaten | Primair energiegebruik</v>
      </c>
      <c r="BA41" s="47"/>
      <c r="BB41" s="47"/>
      <c r="BC41" s="47"/>
      <c r="BD41" s="47"/>
      <c r="BE41" s="47"/>
      <c r="BF41" s="13"/>
      <c r="BG41" s="13"/>
      <c r="BH41" s="13"/>
      <c r="BI41" s="13"/>
    </row>
    <row r="42" spans="1:61">
      <c r="A42" s="18"/>
      <c r="B42" s="763"/>
      <c r="C42" s="763"/>
      <c r="D42" s="763"/>
      <c r="E42" s="14"/>
      <c r="F42" s="15" t="str">
        <f>$F$31</f>
        <v>Overnemen uit EP-berekening 'VABI NTA 8800'</v>
      </c>
      <c r="G42" s="16"/>
      <c r="H42" s="16"/>
      <c r="I42" s="16"/>
      <c r="J42" s="148"/>
      <c r="K42" s="14"/>
      <c r="L42" s="39"/>
      <c r="M42" s="15" t="str">
        <f>"Invullen in "&amp;$AY$23</f>
        <v>Invullen in GPR 4.4 | NTA 8800</v>
      </c>
      <c r="N42" s="39"/>
      <c r="O42" s="39"/>
      <c r="P42" s="39"/>
      <c r="Q42" s="12"/>
      <c r="R42" s="12"/>
      <c r="S42" s="12"/>
      <c r="T42" s="12"/>
      <c r="U42" s="12"/>
      <c r="V42" s="12"/>
      <c r="W42" s="12"/>
      <c r="X42" s="40"/>
      <c r="Y42" s="40"/>
      <c r="Z42" s="40"/>
      <c r="AA42" s="40"/>
      <c r="AB42" s="67"/>
      <c r="AC42" s="995"/>
      <c r="AD42" s="1405"/>
      <c r="AE42" s="1405"/>
      <c r="AF42" s="1405"/>
      <c r="AG42" s="1405"/>
      <c r="AH42" s="1405"/>
      <c r="AI42" s="1405"/>
      <c r="AJ42" s="1405"/>
      <c r="AK42" s="1405"/>
      <c r="AL42" s="1405"/>
      <c r="AM42" s="1405"/>
      <c r="AN42" s="1405"/>
      <c r="AO42" s="1405"/>
      <c r="AP42" s="1405"/>
      <c r="AQ42" s="1405"/>
      <c r="AR42" s="1405"/>
      <c r="AS42" s="67"/>
      <c r="AT42" s="995"/>
      <c r="AU42" s="12"/>
      <c r="AV42" s="47" t="str">
        <f>tabellen_EMD!C176</f>
        <v>Uniec 2 per functie</v>
      </c>
      <c r="AW42" s="47"/>
      <c r="AX42" s="47" t="str">
        <f>INDEX(tabellen_EMD!$C$174:$J$182,MATCH('EP naar GPR4'!$AV42,tabellen_EMD!$C$174:$C$182,0),MATCH('EP naar GPR4'!AX$40,tabellen_EMD!$C$174:$J$174,0))</f>
        <v>NEN 7120</v>
      </c>
      <c r="AY42" s="47" t="b">
        <f t="shared" si="0"/>
        <v>0</v>
      </c>
      <c r="AZ42" s="47" t="str">
        <f>INDEX(tabellen_EMD!$C$174:$J$182,MATCH('EP naar GPR4'!$AV42,tabellen_EMD!$C$174:$C$182,0),MATCH('EP naar GPR4'!AZ$40,tabellen_EMD!$C$174:$J$174,0))</f>
        <v>Jaarlijkse hoeveelheid primaire energie voor de energiefunctie</v>
      </c>
      <c r="BA42" s="47"/>
      <c r="BB42" s="47"/>
      <c r="BC42" s="47"/>
      <c r="BD42" s="47"/>
      <c r="BE42" s="47"/>
      <c r="BF42" s="13"/>
      <c r="BG42" s="13"/>
      <c r="BH42" s="13"/>
      <c r="BI42" s="13"/>
    </row>
    <row r="43" spans="1:61" s="448" customFormat="1">
      <c r="A43" s="139"/>
      <c r="B43" s="944"/>
      <c r="C43" s="944"/>
      <c r="D43" s="944"/>
      <c r="E43" s="450"/>
      <c r="F43" s="453" t="s">
        <v>1709</v>
      </c>
      <c r="G43" s="16"/>
      <c r="H43" s="16"/>
      <c r="I43" s="16"/>
      <c r="J43" s="453" t="s">
        <v>561</v>
      </c>
      <c r="K43" s="453"/>
      <c r="L43" s="453"/>
      <c r="M43" s="453" t="s">
        <v>561</v>
      </c>
      <c r="N43" s="453"/>
      <c r="O43" s="12"/>
      <c r="P43" s="453" t="s">
        <v>408</v>
      </c>
      <c r="Q43" s="453"/>
      <c r="R43" s="12"/>
      <c r="S43" s="453" t="s">
        <v>571</v>
      </c>
      <c r="T43" s="889"/>
      <c r="U43" s="12"/>
      <c r="V43" s="890"/>
      <c r="W43" s="890"/>
      <c r="X43" s="890"/>
      <c r="Y43" s="890"/>
      <c r="Z43" s="890"/>
      <c r="AA43" s="890"/>
      <c r="AB43" s="1004"/>
      <c r="AC43" s="998"/>
      <c r="AD43" s="1405"/>
      <c r="AE43" s="1413" t="str">
        <f>F43</f>
        <v xml:space="preserve">Gebruiksfunctie </v>
      </c>
      <c r="AF43" s="1408"/>
      <c r="AG43" s="1414" t="s">
        <v>516</v>
      </c>
      <c r="AH43" s="1414" t="s">
        <v>510</v>
      </c>
      <c r="AI43" s="1410"/>
      <c r="AJ43" s="1414" t="s">
        <v>1783</v>
      </c>
      <c r="AK43" s="1405" t="s">
        <v>396</v>
      </c>
      <c r="AL43" s="1405"/>
      <c r="AM43" s="1405"/>
      <c r="AN43" s="1405"/>
      <c r="AO43" s="1405"/>
      <c r="AP43" s="1405"/>
      <c r="AQ43" s="1405"/>
      <c r="AR43" s="1405"/>
      <c r="AS43" s="67"/>
      <c r="AT43" s="998"/>
      <c r="AU43" s="12"/>
      <c r="AV43" s="47" t="str">
        <f>tabellen_EMD!C177</f>
        <v>Uniec 2 finaal</v>
      </c>
      <c r="AW43" s="47"/>
      <c r="AX43" s="47" t="str">
        <f>INDEX(tabellen_EMD!$C$174:$J$182,MATCH('EP naar GPR4'!$AV43,tabellen_EMD!$C$174:$C$182,0),MATCH('EP naar GPR4'!AX$40,tabellen_EMD!$C$174:$J$174,0))</f>
        <v>NEN 7120</v>
      </c>
      <c r="AY43" s="47" t="b">
        <f t="shared" si="0"/>
        <v>0</v>
      </c>
      <c r="AZ43" s="47" t="str">
        <f>INDEX(tabellen_EMD!$C$174:$J$182,MATCH('EP naar GPR4'!$AV43,tabellen_EMD!$C$174:$C$182,0),MATCH('EP naar GPR4'!AZ$40,tabellen_EMD!$C$174:$J$174,0))</f>
        <v>Jaarlijkse hoeveelheid primaire energie voor de energiefunctie</v>
      </c>
      <c r="BA43" s="47"/>
      <c r="BB43" s="47"/>
      <c r="BC43" s="47"/>
      <c r="BD43" s="47"/>
      <c r="BE43" s="47"/>
      <c r="BF43" s="13"/>
      <c r="BG43" s="13"/>
      <c r="BH43" s="13"/>
      <c r="BI43" s="13"/>
    </row>
    <row r="44" spans="1:61">
      <c r="E44" s="14"/>
      <c r="F44" s="22" t="s">
        <v>297</v>
      </c>
      <c r="G44" s="47"/>
      <c r="H44" s="47"/>
      <c r="I44" s="16"/>
      <c r="J44" s="25"/>
      <c r="K44" s="47" t="s">
        <v>562</v>
      </c>
      <c r="L44" s="453"/>
      <c r="M44" s="24">
        <f t="shared" ref="M44:M55" si="1">IF(OR(J44="",SUM($J$44:$J$56)=0),0,SUM($J$44:$J$56)/SUM($J$44:$J$55)*J44)</f>
        <v>0</v>
      </c>
      <c r="N44" s="47" t="s">
        <v>562</v>
      </c>
      <c r="O44" s="12"/>
      <c r="P44" s="24" t="str">
        <f t="shared" ref="P44:P55" si="2">IFERROR(IF(OR($J44=0,ISNUMBER($J$35)=FALSE),"",Z307),"")</f>
        <v/>
      </c>
      <c r="Q44" s="22" t="str">
        <f t="shared" ref="Q44" si="3">IFERROR(INDEX(EP_Methode_BRON_per_GPR_Versie_Eenheid,MATCH(EP_doelmethode,GPR_Versie_En_EP_Methode,0)),"")</f>
        <v>kWh</v>
      </c>
      <c r="R44" s="12"/>
      <c r="S44" s="24" t="str">
        <f>IFERROR(Q329,"")</f>
        <v/>
      </c>
      <c r="T44" s="22" t="s">
        <v>468</v>
      </c>
      <c r="U44" s="12"/>
      <c r="V44" s="40"/>
      <c r="W44" s="40"/>
      <c r="X44" s="40"/>
      <c r="Y44" s="40"/>
      <c r="Z44" s="1338"/>
      <c r="AA44" s="40"/>
      <c r="AB44" s="67"/>
      <c r="AC44" s="995"/>
      <c r="AD44" s="1405"/>
      <c r="AE44" s="1383" t="str">
        <f t="shared" ref="AE44:AE56" si="4">F44</f>
        <v>woning</v>
      </c>
      <c r="AF44" s="1441"/>
      <c r="AG44" s="1447" t="str">
        <f>IFERROR(_xlfn.CONCAT(FIXED(P44/$M44,0)," ",Q44,"/m2"),"")</f>
        <v/>
      </c>
      <c r="AH44" s="1411" t="str">
        <f>IFERROR(_xlfn.CONCAT(FIXED(S44/$M44,1)," ",T44,"/m2"),"")</f>
        <v/>
      </c>
      <c r="AI44" s="1410"/>
      <c r="AJ44" s="1447">
        <v>30</v>
      </c>
      <c r="AK44" s="22" t="s">
        <v>1784</v>
      </c>
      <c r="AL44" s="1405"/>
      <c r="AM44" s="1405"/>
      <c r="AN44" s="1405"/>
      <c r="AO44" s="1405"/>
      <c r="AP44" s="1405"/>
      <c r="AQ44" s="1405"/>
      <c r="AR44" s="1405"/>
      <c r="AS44" s="67"/>
      <c r="AT44" s="995"/>
      <c r="AU44" s="12"/>
      <c r="AV44" s="47" t="str">
        <f>tabellen_EMD!C178</f>
        <v>VABI NTA 8800</v>
      </c>
      <c r="AW44" s="47"/>
      <c r="AX44" s="47" t="str">
        <f>INDEX(tabellen_EMD!$C$174:$J$182,MATCH('EP naar GPR4'!$AV44,tabellen_EMD!$C$174:$C$182,0),MATCH('EP naar GPR4'!AX$40,tabellen_EMD!$C$174:$J$174,0))</f>
        <v>NTA 8800</v>
      </c>
      <c r="AY44" s="47" t="b">
        <f t="shared" si="0"/>
        <v>1</v>
      </c>
      <c r="AZ44" s="47" t="str">
        <f>INDEX(tabellen_EMD!$C$174:$J$182,MATCH('EP naar GPR4'!$AV44,tabellen_EMD!$C$174:$C$182,0),MATCH('EP naar GPR4'!AZ$40,tabellen_EMD!$C$174:$J$174,0))</f>
        <v>Totale deelposten (niet primair)</v>
      </c>
      <c r="BA44" s="47"/>
      <c r="BB44" s="47"/>
      <c r="BC44" s="47"/>
      <c r="BD44" s="47"/>
      <c r="BE44" s="47"/>
      <c r="BF44" s="13"/>
      <c r="BG44" s="13"/>
      <c r="BH44" s="13"/>
      <c r="BI44" s="13"/>
    </row>
    <row r="45" spans="1:61">
      <c r="E45" s="14"/>
      <c r="F45" s="22" t="s">
        <v>298</v>
      </c>
      <c r="G45" s="47"/>
      <c r="H45" s="47"/>
      <c r="I45" s="16"/>
      <c r="J45" s="25"/>
      <c r="K45" s="47" t="s">
        <v>562</v>
      </c>
      <c r="L45" s="453"/>
      <c r="M45" s="24">
        <f t="shared" si="1"/>
        <v>0</v>
      </c>
      <c r="N45" s="47" t="s">
        <v>562</v>
      </c>
      <c r="O45" s="12"/>
      <c r="P45" s="24" t="str">
        <f t="shared" si="2"/>
        <v/>
      </c>
      <c r="Q45" s="22" t="str">
        <f t="shared" ref="Q45:Q55" si="5">IFERROR(INDEX(EP_Methode_BRON_per_GPR_Versie_Eenheid,MATCH(EP_doelmethode,GPR_Versie_En_EP_Methode,0)),"")</f>
        <v>kWh</v>
      </c>
      <c r="R45" s="12"/>
      <c r="S45" s="24" t="str">
        <f t="shared" ref="S45:S55" si="6">IFERROR(Q330,"")</f>
        <v/>
      </c>
      <c r="T45" s="22" t="s">
        <v>468</v>
      </c>
      <c r="U45" s="12"/>
      <c r="V45" s="40"/>
      <c r="W45" s="40"/>
      <c r="X45" s="40"/>
      <c r="Y45" s="40"/>
      <c r="Z45" s="40"/>
      <c r="AA45" s="40"/>
      <c r="AB45" s="67"/>
      <c r="AC45" s="995"/>
      <c r="AD45" s="1405"/>
      <c r="AE45" s="1383" t="str">
        <f t="shared" si="4"/>
        <v>woongebouw</v>
      </c>
      <c r="AF45" s="1441"/>
      <c r="AG45" s="1447" t="str">
        <f t="shared" ref="AG45:AG55" si="7">IFERROR(_xlfn.CONCAT(FIXED(P45/$M45,0)," ",Q45,"/m2"),"")</f>
        <v/>
      </c>
      <c r="AH45" s="1411" t="str">
        <f t="shared" ref="AH45:AH55" si="8">IFERROR(_xlfn.CONCAT(FIXED(S45/$M45,1)," ",T45,"/m2"),"")</f>
        <v/>
      </c>
      <c r="AI45" s="1410"/>
      <c r="AJ45" s="1447">
        <v>50</v>
      </c>
      <c r="AK45" s="22" t="s">
        <v>1784</v>
      </c>
      <c r="AL45" s="1405"/>
      <c r="AM45" s="1405"/>
      <c r="AN45" s="1405"/>
      <c r="AO45" s="1405"/>
      <c r="AP45" s="1405"/>
      <c r="AQ45" s="1405"/>
      <c r="AR45" s="1405"/>
      <c r="AS45" s="67"/>
      <c r="AT45" s="995"/>
      <c r="AU45" s="12"/>
      <c r="AV45" s="47" t="str">
        <f>tabellen_EMD!C179</f>
        <v>Uniec 3 per functie</v>
      </c>
      <c r="AW45" s="47"/>
      <c r="AX45" s="47" t="str">
        <f>INDEX(tabellen_EMD!$C$174:$J$182,MATCH('EP naar GPR4'!$AV45,tabellen_EMD!$C$174:$C$182,0),MATCH('EP naar GPR4'!AX$40,tabellen_EMD!$C$174:$J$174,0))</f>
        <v>NTA 8800</v>
      </c>
      <c r="AY45" s="47" t="b">
        <f t="shared" si="0"/>
        <v>1</v>
      </c>
      <c r="AZ45" s="47" t="str">
        <f>INDEX(tabellen_EMD!$C$174:$J$182,MATCH('EP naar GPR4'!$AV45,tabellen_EMD!$C$174:$C$182,0),MATCH('EP naar GPR4'!AZ$40,tabellen_EMD!$C$174:$J$174,0))</f>
        <v>Jaarlijkse hoeveelheid energiegebruik voor de energiefunctie</v>
      </c>
      <c r="BA45" s="47"/>
      <c r="BB45" s="47"/>
      <c r="BC45" s="47"/>
      <c r="BD45" s="47"/>
      <c r="BE45" s="47"/>
      <c r="BF45" s="13"/>
      <c r="BG45" s="13"/>
      <c r="BH45" s="13"/>
      <c r="BI45" s="13"/>
    </row>
    <row r="46" spans="1:61">
      <c r="E46" s="14"/>
      <c r="F46" s="22" t="s">
        <v>303</v>
      </c>
      <c r="G46" s="47"/>
      <c r="H46" s="47"/>
      <c r="I46" s="16"/>
      <c r="J46" s="25">
        <v>100</v>
      </c>
      <c r="K46" s="47" t="s">
        <v>562</v>
      </c>
      <c r="L46" s="453"/>
      <c r="M46" s="24">
        <f t="shared" si="1"/>
        <v>100</v>
      </c>
      <c r="N46" s="47" t="s">
        <v>562</v>
      </c>
      <c r="O46" s="12"/>
      <c r="P46" s="24">
        <f t="shared" si="2"/>
        <v>2006.6225165562912</v>
      </c>
      <c r="Q46" s="22" t="str">
        <f t="shared" si="5"/>
        <v>kWh</v>
      </c>
      <c r="R46" s="12"/>
      <c r="S46" s="24">
        <f t="shared" si="6"/>
        <v>0</v>
      </c>
      <c r="T46" s="22" t="s">
        <v>468</v>
      </c>
      <c r="U46" s="12"/>
      <c r="V46" s="40"/>
      <c r="W46" s="40"/>
      <c r="X46" s="40"/>
      <c r="Y46" s="40"/>
      <c r="Z46" s="40"/>
      <c r="AA46" s="40"/>
      <c r="AB46" s="67"/>
      <c r="AC46" s="995"/>
      <c r="AD46" s="1405"/>
      <c r="AE46" s="1383" t="str">
        <f t="shared" si="4"/>
        <v>kantoor</v>
      </c>
      <c r="AF46" s="1441"/>
      <c r="AG46" s="1447" t="str">
        <f t="shared" si="7"/>
        <v>20 kWh/m2</v>
      </c>
      <c r="AH46" s="1411" t="str">
        <f t="shared" si="8"/>
        <v>0.0 kg/m2</v>
      </c>
      <c r="AI46" s="1410"/>
      <c r="AJ46" s="1447">
        <v>40</v>
      </c>
      <c r="AK46" s="22" t="s">
        <v>1784</v>
      </c>
      <c r="AL46" s="1405"/>
      <c r="AM46" s="1405"/>
      <c r="AN46" s="1405"/>
      <c r="AO46" s="1405"/>
      <c r="AP46" s="1405"/>
      <c r="AQ46" s="1405"/>
      <c r="AR46" s="1405"/>
      <c r="AS46" s="67"/>
      <c r="AT46" s="995"/>
      <c r="AU46" s="40"/>
      <c r="AV46" s="47" t="str">
        <f>tabellen_EMD!C180</f>
        <v>Uniec 3 finaal</v>
      </c>
      <c r="AW46" s="47"/>
      <c r="AX46" s="47" t="str">
        <f>INDEX(tabellen_EMD!$C$174:$J$182,MATCH('EP naar GPR4'!$AV46,tabellen_EMD!$C$174:$C$182,0),MATCH('EP naar GPR4'!AX$40,tabellen_EMD!$C$174:$J$174,0))</f>
        <v>NTA 8800</v>
      </c>
      <c r="AY46" s="47" t="b">
        <f t="shared" si="0"/>
        <v>1</v>
      </c>
      <c r="AZ46" s="47" t="str">
        <f>INDEX(tabellen_EMD!$C$174:$J$182,MATCH('EP naar GPR4'!$AV46,tabellen_EMD!$C$174:$C$182,0),MATCH('EP naar GPR4'!AZ$40,tabellen_EMD!$C$174:$J$174,0))</f>
        <v>Jaarlijkse hoeveelheid energiegebruik voor de energiefunctie</v>
      </c>
      <c r="BA46" s="47"/>
      <c r="BB46" s="47"/>
      <c r="BC46" s="47"/>
      <c r="BD46" s="47"/>
      <c r="BE46" s="47"/>
      <c r="BF46" s="13"/>
      <c r="BG46" s="13"/>
      <c r="BH46" s="13"/>
      <c r="BI46" s="13"/>
    </row>
    <row r="47" spans="1:61">
      <c r="E47" s="14"/>
      <c r="F47" s="22" t="s">
        <v>299</v>
      </c>
      <c r="G47" s="47"/>
      <c r="H47" s="47"/>
      <c r="I47" s="16"/>
      <c r="J47" s="25">
        <v>100</v>
      </c>
      <c r="K47" s="47" t="s">
        <v>562</v>
      </c>
      <c r="L47" s="453"/>
      <c r="M47" s="24">
        <f t="shared" si="1"/>
        <v>100</v>
      </c>
      <c r="N47" s="47" t="s">
        <v>562</v>
      </c>
      <c r="O47" s="12"/>
      <c r="P47" s="24">
        <f t="shared" si="2"/>
        <v>5963.5761589403974</v>
      </c>
      <c r="Q47" s="22" t="str">
        <f t="shared" si="5"/>
        <v>kWh</v>
      </c>
      <c r="R47" s="12"/>
      <c r="S47" s="24">
        <f t="shared" si="6"/>
        <v>0</v>
      </c>
      <c r="T47" s="22" t="s">
        <v>468</v>
      </c>
      <c r="U47" s="12"/>
      <c r="V47" s="40"/>
      <c r="W47" s="40"/>
      <c r="X47" s="40"/>
      <c r="Y47" s="40"/>
      <c r="Z47" s="40"/>
      <c r="AA47" s="40"/>
      <c r="AB47" s="67"/>
      <c r="AC47" s="995"/>
      <c r="AD47" s="1405"/>
      <c r="AE47" s="1383" t="str">
        <f t="shared" si="4"/>
        <v>bijeenkomst overig</v>
      </c>
      <c r="AF47" s="1441"/>
      <c r="AG47" s="1447" t="str">
        <f t="shared" si="7"/>
        <v>60 kWh/m2</v>
      </c>
      <c r="AH47" s="1411" t="str">
        <f t="shared" si="8"/>
        <v>0.0 kg/m2</v>
      </c>
      <c r="AI47" s="1410"/>
      <c r="AJ47" s="1447">
        <v>60</v>
      </c>
      <c r="AK47" s="22" t="s">
        <v>1784</v>
      </c>
      <c r="AL47" s="1405"/>
      <c r="AM47" s="1405"/>
      <c r="AN47" s="1405"/>
      <c r="AO47" s="1405"/>
      <c r="AP47" s="1405"/>
      <c r="AQ47" s="1405"/>
      <c r="AR47" s="1405"/>
      <c r="AS47" s="67"/>
      <c r="AT47" s="995"/>
      <c r="AU47" s="40"/>
      <c r="AV47" s="47" t="str">
        <f>tabellen_EMD!C181</f>
        <v>VABI EPA-U</v>
      </c>
      <c r="AW47" s="47"/>
      <c r="AX47" s="47" t="str">
        <f>INDEX(tabellen_EMD!$C$174:$J$182,MATCH('EP naar GPR4'!$AV47,tabellen_EMD!$C$174:$C$182,0),MATCH('EP naar GPR4'!AX$40,tabellen_EMD!$C$174:$J$174,0))</f>
        <v>ISSO 75.3</v>
      </c>
      <c r="AY47" s="47" t="b">
        <f t="shared" si="0"/>
        <v>0</v>
      </c>
      <c r="AZ47" s="47" t="str">
        <f>INDEX(tabellen_EMD!$C$174:$J$182,MATCH('EP naar GPR4'!$AV47,tabellen_EMD!$C$174:$C$182,0),MATCH('EP naar GPR4'!AZ$40,tabellen_EMD!$C$174:$J$174,0))</f>
        <v>Energiegebruik per deelpost in de huidige situatie</v>
      </c>
      <c r="BA47" s="47"/>
      <c r="BB47" s="47"/>
      <c r="BC47" s="47"/>
      <c r="BD47" s="47"/>
      <c r="BE47" s="47"/>
      <c r="BF47" s="13"/>
      <c r="BG47" s="13"/>
      <c r="BH47" s="13"/>
      <c r="BI47" s="13"/>
    </row>
    <row r="48" spans="1:61">
      <c r="E48" s="14"/>
      <c r="F48" s="22" t="s">
        <v>422</v>
      </c>
      <c r="G48" s="47"/>
      <c r="H48" s="47"/>
      <c r="I48" s="16"/>
      <c r="J48" s="25">
        <v>100</v>
      </c>
      <c r="K48" s="47" t="s">
        <v>562</v>
      </c>
      <c r="L48" s="453"/>
      <c r="M48" s="24">
        <f t="shared" si="1"/>
        <v>100</v>
      </c>
      <c r="N48" s="47" t="s">
        <v>562</v>
      </c>
      <c r="O48" s="12"/>
      <c r="P48" s="24">
        <f t="shared" si="2"/>
        <v>7029.8013245033117</v>
      </c>
      <c r="Q48" s="22" t="str">
        <f t="shared" si="5"/>
        <v>kWh</v>
      </c>
      <c r="R48" s="12"/>
      <c r="S48" s="24">
        <f t="shared" si="6"/>
        <v>0</v>
      </c>
      <c r="T48" s="22" t="s">
        <v>468</v>
      </c>
      <c r="U48" s="12"/>
      <c r="V48" s="40"/>
      <c r="W48" s="40"/>
      <c r="X48" s="40"/>
      <c r="Y48" s="40"/>
      <c r="Z48" s="40"/>
      <c r="AA48" s="40"/>
      <c r="AB48" s="67"/>
      <c r="AC48" s="995"/>
      <c r="AD48" s="1405"/>
      <c r="AE48" s="1383" t="str">
        <f t="shared" si="4"/>
        <v>bijeenkomst kinderdagverblijf</v>
      </c>
      <c r="AF48" s="1441"/>
      <c r="AG48" s="1447" t="str">
        <f t="shared" si="7"/>
        <v>70 kWh/m2</v>
      </c>
      <c r="AH48" s="1411" t="str">
        <f t="shared" si="8"/>
        <v>0.0 kg/m2</v>
      </c>
      <c r="AI48" s="1410"/>
      <c r="AJ48" s="1447">
        <v>70</v>
      </c>
      <c r="AK48" s="22" t="s">
        <v>1784</v>
      </c>
      <c r="AL48" s="1405"/>
      <c r="AM48" s="1405"/>
      <c r="AN48" s="1405"/>
      <c r="AO48" s="1405"/>
      <c r="AP48" s="1405"/>
      <c r="AQ48" s="1405"/>
      <c r="AR48" s="1405"/>
      <c r="AS48" s="67"/>
      <c r="AT48" s="995"/>
      <c r="AU48" s="40"/>
      <c r="AV48" s="47" t="str">
        <f>tabellen_EMD!C182</f>
        <v>Energielabel utiliteit</v>
      </c>
      <c r="AW48" s="47"/>
      <c r="AX48" s="47" t="str">
        <f>INDEX(tabellen_EMD!$C$174:$J$182,MATCH('EP naar GPR4'!$AV48,tabellen_EMD!$C$174:$C$182,0),MATCH('EP naar GPR4'!AX$40,tabellen_EMD!$C$174:$J$174,0))</f>
        <v>ISSO 75.3</v>
      </c>
      <c r="AY48" s="47" t="b">
        <f t="shared" si="0"/>
        <v>0</v>
      </c>
      <c r="AZ48" s="47" t="str">
        <f>INDEX(tabellen_EMD!$C$174:$J$182,MATCH('EP naar GPR4'!$AV48,tabellen_EMD!$C$174:$C$182,0),MATCH('EP naar GPR4'!AZ$40,tabellen_EMD!$C$174:$J$174,0))</f>
        <v>Standaard energiegebruik voor dit gebouw</v>
      </c>
      <c r="BA48" s="47"/>
      <c r="BB48" s="47"/>
      <c r="BC48" s="47"/>
      <c r="BD48" s="47"/>
      <c r="BE48" s="47"/>
      <c r="BF48" s="13"/>
      <c r="BG48" s="13"/>
      <c r="BH48" s="13"/>
      <c r="BI48" s="13"/>
    </row>
    <row r="49" spans="1:61">
      <c r="E49" s="14"/>
      <c r="F49" s="22" t="s">
        <v>305</v>
      </c>
      <c r="G49" s="47"/>
      <c r="H49" s="47"/>
      <c r="I49" s="16"/>
      <c r="J49" s="25"/>
      <c r="K49" s="47" t="s">
        <v>562</v>
      </c>
      <c r="L49" s="453"/>
      <c r="M49" s="24">
        <f t="shared" si="1"/>
        <v>0</v>
      </c>
      <c r="N49" s="47" t="s">
        <v>562</v>
      </c>
      <c r="O49" s="12"/>
      <c r="P49" s="24" t="str">
        <f t="shared" si="2"/>
        <v/>
      </c>
      <c r="Q49" s="22" t="str">
        <f t="shared" si="5"/>
        <v>kWh</v>
      </c>
      <c r="R49" s="12"/>
      <c r="S49" s="24" t="str">
        <f t="shared" si="6"/>
        <v/>
      </c>
      <c r="T49" s="22" t="s">
        <v>468</v>
      </c>
      <c r="U49" s="12"/>
      <c r="V49" s="40"/>
      <c r="W49" s="40"/>
      <c r="X49" s="40"/>
      <c r="Y49" s="40"/>
      <c r="Z49" s="40"/>
      <c r="AA49" s="40"/>
      <c r="AB49" s="67"/>
      <c r="AC49" s="995"/>
      <c r="AD49" s="1405"/>
      <c r="AE49" s="1383" t="str">
        <f t="shared" si="4"/>
        <v>onderwijs</v>
      </c>
      <c r="AF49" s="1441"/>
      <c r="AG49" s="1447" t="str">
        <f t="shared" si="7"/>
        <v/>
      </c>
      <c r="AH49" s="1411" t="str">
        <f t="shared" si="8"/>
        <v/>
      </c>
      <c r="AI49" s="1410"/>
      <c r="AJ49" s="1447">
        <v>70</v>
      </c>
      <c r="AK49" s="22" t="s">
        <v>1784</v>
      </c>
      <c r="AL49" s="1405"/>
      <c r="AM49" s="1405"/>
      <c r="AN49" s="1405"/>
      <c r="AO49" s="1405"/>
      <c r="AP49" s="1405"/>
      <c r="AQ49" s="1405"/>
      <c r="AR49" s="1405"/>
      <c r="AS49" s="67"/>
      <c r="AT49" s="995"/>
      <c r="AU49" s="40"/>
      <c r="AV49" s="40"/>
      <c r="AW49" s="40"/>
      <c r="AX49" s="40"/>
      <c r="AY49" s="40"/>
      <c r="AZ49" s="40"/>
      <c r="BA49" s="40"/>
      <c r="BB49" s="40"/>
      <c r="BC49" s="40"/>
      <c r="BD49" s="40"/>
      <c r="BE49" s="40"/>
      <c r="BF49" s="13"/>
      <c r="BG49" s="13"/>
      <c r="BH49" s="13"/>
      <c r="BI49" s="13"/>
    </row>
    <row r="50" spans="1:61">
      <c r="A50" s="139" t="s">
        <v>396</v>
      </c>
      <c r="B50" s="944"/>
      <c r="C50" s="944"/>
      <c r="D50" s="944"/>
      <c r="E50" s="14"/>
      <c r="F50" s="22" t="s">
        <v>302</v>
      </c>
      <c r="G50" s="47"/>
      <c r="H50" s="47"/>
      <c r="I50" s="16"/>
      <c r="J50" s="25"/>
      <c r="K50" s="47" t="s">
        <v>562</v>
      </c>
      <c r="L50" s="453"/>
      <c r="M50" s="24">
        <f t="shared" si="1"/>
        <v>0</v>
      </c>
      <c r="N50" s="47" t="s">
        <v>562</v>
      </c>
      <c r="O50" s="12"/>
      <c r="P50" s="24" t="str">
        <f t="shared" si="2"/>
        <v/>
      </c>
      <c r="Q50" s="22" t="str">
        <f t="shared" si="5"/>
        <v>kWh</v>
      </c>
      <c r="R50" s="12"/>
      <c r="S50" s="24" t="str">
        <f t="shared" si="6"/>
        <v/>
      </c>
      <c r="T50" s="22" t="s">
        <v>468</v>
      </c>
      <c r="U50" s="12"/>
      <c r="V50" s="40"/>
      <c r="W50" s="40"/>
      <c r="X50" s="40"/>
      <c r="Y50" s="40"/>
      <c r="Z50" s="40"/>
      <c r="AA50" s="40"/>
      <c r="AB50" s="67"/>
      <c r="AC50" s="995"/>
      <c r="AD50" s="1405"/>
      <c r="AE50" s="1383" t="str">
        <f t="shared" si="4"/>
        <v>gezondheid overig</v>
      </c>
      <c r="AF50" s="1441"/>
      <c r="AG50" s="1447" t="str">
        <f t="shared" si="7"/>
        <v/>
      </c>
      <c r="AH50" s="1411" t="str">
        <f t="shared" si="8"/>
        <v/>
      </c>
      <c r="AI50" s="1410"/>
      <c r="AJ50" s="1447">
        <v>50</v>
      </c>
      <c r="AK50" s="22" t="s">
        <v>1784</v>
      </c>
      <c r="AL50" s="1405"/>
      <c r="AM50" s="1405"/>
      <c r="AN50" s="1405"/>
      <c r="AO50" s="1405"/>
      <c r="AP50" s="1405"/>
      <c r="AQ50" s="1405"/>
      <c r="AR50" s="1405"/>
      <c r="AS50" s="67"/>
      <c r="AT50" s="995"/>
      <c r="AU50" s="40"/>
      <c r="AV50" s="15" t="s">
        <v>1661</v>
      </c>
      <c r="AW50" s="15"/>
      <c r="AX50" s="15"/>
      <c r="AY50" s="15"/>
      <c r="AZ50" s="15"/>
      <c r="BA50" s="15"/>
      <c r="BB50" s="15"/>
      <c r="BC50" s="15"/>
      <c r="BD50" s="15"/>
      <c r="BE50" s="15"/>
      <c r="BF50" s="13"/>
      <c r="BG50" s="13"/>
      <c r="BH50" s="13"/>
      <c r="BI50" s="13"/>
    </row>
    <row r="51" spans="1:61">
      <c r="A51" s="139" t="s">
        <v>396</v>
      </c>
      <c r="B51" s="944"/>
      <c r="C51" s="944"/>
      <c r="D51" s="944"/>
      <c r="E51" s="14"/>
      <c r="F51" s="22" t="s">
        <v>423</v>
      </c>
      <c r="G51" s="47"/>
      <c r="H51" s="47"/>
      <c r="I51" s="16"/>
      <c r="J51" s="25"/>
      <c r="K51" s="47" t="s">
        <v>562</v>
      </c>
      <c r="L51" s="453"/>
      <c r="M51" s="24">
        <f t="shared" si="1"/>
        <v>0</v>
      </c>
      <c r="N51" s="47" t="s">
        <v>562</v>
      </c>
      <c r="O51" s="12"/>
      <c r="P51" s="24" t="str">
        <f t="shared" si="2"/>
        <v/>
      </c>
      <c r="Q51" s="22" t="str">
        <f t="shared" si="5"/>
        <v>kWh</v>
      </c>
      <c r="R51" s="12"/>
      <c r="S51" s="24" t="str">
        <f t="shared" si="6"/>
        <v/>
      </c>
      <c r="T51" s="22" t="s">
        <v>468</v>
      </c>
      <c r="U51" s="12"/>
      <c r="V51" s="40"/>
      <c r="W51" s="40"/>
      <c r="X51" s="40"/>
      <c r="Y51" s="40"/>
      <c r="Z51" s="40"/>
      <c r="AA51" s="40"/>
      <c r="AB51" s="67"/>
      <c r="AC51" s="995"/>
      <c r="AD51" s="1405"/>
      <c r="AE51" s="1383" t="str">
        <f t="shared" si="4"/>
        <v>gezondheid bedgebied</v>
      </c>
      <c r="AF51" s="1441"/>
      <c r="AG51" s="1447" t="str">
        <f t="shared" si="7"/>
        <v/>
      </c>
      <c r="AH51" s="1411" t="str">
        <f t="shared" si="8"/>
        <v/>
      </c>
      <c r="AI51" s="1410"/>
      <c r="AJ51" s="1447">
        <v>130</v>
      </c>
      <c r="AK51" s="22" t="s">
        <v>1784</v>
      </c>
      <c r="AL51" s="1405"/>
      <c r="AM51" s="1405"/>
      <c r="AN51" s="1405"/>
      <c r="AO51" s="1405"/>
      <c r="AP51" s="1405"/>
      <c r="AQ51" s="1405"/>
      <c r="AR51" s="1405"/>
      <c r="AS51" s="67"/>
      <c r="AT51" s="995"/>
      <c r="AU51" s="40"/>
      <c r="AV51" s="453" t="s">
        <v>1402</v>
      </c>
      <c r="AW51" s="453"/>
      <c r="AX51" s="453" t="str">
        <f>tabellen_EMD!G174</f>
        <v>Primaire energie</v>
      </c>
      <c r="AY51" s="453"/>
      <c r="AZ51" s="453"/>
      <c r="BA51" s="453" t="s">
        <v>1513</v>
      </c>
      <c r="BB51" s="15"/>
      <c r="BC51" s="977" t="str">
        <f>tabellen_EMD!$F$46</f>
        <v>Primaire energie</v>
      </c>
      <c r="BD51" s="979" t="str">
        <f>tabellen_EMD!$G$46</f>
        <v>Eenheid primaire energie</v>
      </c>
      <c r="BE51" s="979" t="str">
        <f>tabellen_EMD!$H$46</f>
        <v>Indicator primaire energie</v>
      </c>
      <c r="BF51" s="979" t="str">
        <f>tabellen_EMD!I46</f>
        <v>Primaire energie per m2</v>
      </c>
      <c r="BG51" s="13"/>
      <c r="BH51" s="13"/>
      <c r="BI51" s="13"/>
    </row>
    <row r="52" spans="1:61">
      <c r="E52" s="14"/>
      <c r="F52" s="22" t="s">
        <v>307</v>
      </c>
      <c r="G52" s="47"/>
      <c r="H52" s="47"/>
      <c r="I52" s="16"/>
      <c r="J52" s="25"/>
      <c r="K52" s="47" t="s">
        <v>562</v>
      </c>
      <c r="L52" s="453"/>
      <c r="M52" s="24">
        <f t="shared" si="1"/>
        <v>0</v>
      </c>
      <c r="N52" s="47" t="s">
        <v>562</v>
      </c>
      <c r="O52" s="12"/>
      <c r="P52" s="24" t="str">
        <f t="shared" si="2"/>
        <v/>
      </c>
      <c r="Q52" s="22" t="str">
        <f t="shared" si="5"/>
        <v>kWh</v>
      </c>
      <c r="R52" s="12"/>
      <c r="S52" s="24" t="str">
        <f t="shared" si="6"/>
        <v/>
      </c>
      <c r="T52" s="22" t="s">
        <v>468</v>
      </c>
      <c r="U52" s="12"/>
      <c r="V52" s="12"/>
      <c r="W52" s="12"/>
      <c r="X52" s="12"/>
      <c r="Y52" s="12"/>
      <c r="Z52" s="12"/>
      <c r="AA52" s="12"/>
      <c r="AB52" s="67"/>
      <c r="AC52" s="995"/>
      <c r="AD52" s="1405"/>
      <c r="AE52" s="1383" t="str">
        <f t="shared" si="4"/>
        <v>winkel</v>
      </c>
      <c r="AF52" s="1441"/>
      <c r="AG52" s="1447" t="str">
        <f t="shared" si="7"/>
        <v/>
      </c>
      <c r="AH52" s="1411" t="str">
        <f t="shared" si="8"/>
        <v/>
      </c>
      <c r="AI52" s="1410"/>
      <c r="AJ52" s="1447">
        <v>60</v>
      </c>
      <c r="AK52" s="22" t="s">
        <v>1784</v>
      </c>
      <c r="AL52" s="1405"/>
      <c r="AM52" s="1405"/>
      <c r="AN52" s="1405"/>
      <c r="AO52" s="1405"/>
      <c r="AP52" s="1405"/>
      <c r="AQ52" s="1405"/>
      <c r="AR52" s="1405"/>
      <c r="AS52" s="67"/>
      <c r="AT52" s="995"/>
      <c r="AU52" s="12"/>
      <c r="AV52" s="305" t="str" cm="1">
        <f t="array" ref="AV52:AV54">_xlfn._xlws.FILTER($AV$41:$AV$48,$AY$41:$AY$48,"kies een passend pakket")</f>
        <v>VABI NTA 8800</v>
      </c>
      <c r="AW52" s="47"/>
      <c r="AX52" s="47" t="str">
        <f>IFERROR(VLOOKUP($AV52,tabellen_EMD!$C$175:$K$182,MATCH(AX$51,tabellen_EMD!$C$174:$K$174,0),FALSE),"")</f>
        <v>VABI NTA 8800</v>
      </c>
      <c r="AY52" s="47"/>
      <c r="AZ52" s="453"/>
      <c r="BA52" s="305" t="str" cm="1">
        <f t="array" ref="BA52:BA54">_xlfn.UNIQUE(AX52:AX55)</f>
        <v>VABI NTA 8800</v>
      </c>
      <c r="BB52" s="15"/>
      <c r="BC52" s="47" t="str">
        <f>VLOOKUP($BA52,tabellen_EMD!$C$47:$K$52,MATCH(BC$51,tabellen_EMD!$C$46:$K$46,0),FALSE)</f>
        <v>VABI NTA 8800. EP2: Primair fossiel energieverbruik</v>
      </c>
      <c r="BD52" s="47" t="str">
        <f>VLOOKUP($AX52,tabellen_EMD!$C$47:$K$52,MATCH(BD$51,tabellen_EMD!$C$46:$K$46,0),FALSE)</f>
        <v>kWh/m2</v>
      </c>
      <c r="BE52" s="47" t="str">
        <f>VLOOKUP($AX52,tabellen_EMD!$C$47:$K$52,MATCH(BE$51,tabellen_EMD!$C$46:$K$46,0),FALSE)</f>
        <v xml:space="preserve">EP2: Primair fossiel energieverbruik </v>
      </c>
      <c r="BF52" s="46">
        <f>VLOOKUP($AX52,tabellen_EMD!$C$47:$K$52,MATCH(BF$51,tabellen_EMD!$C$46:$K$46,0),FALSE)</f>
        <v>1</v>
      </c>
      <c r="BG52" s="13"/>
      <c r="BH52" s="13"/>
      <c r="BI52" s="13"/>
    </row>
    <row r="53" spans="1:61">
      <c r="E53" s="14"/>
      <c r="F53" s="22" t="s">
        <v>306</v>
      </c>
      <c r="G53" s="47"/>
      <c r="H53" s="47"/>
      <c r="I53" s="16"/>
      <c r="J53" s="25"/>
      <c r="K53" s="47" t="s">
        <v>562</v>
      </c>
      <c r="L53" s="453"/>
      <c r="M53" s="24">
        <f t="shared" si="1"/>
        <v>0</v>
      </c>
      <c r="N53" s="47" t="s">
        <v>562</v>
      </c>
      <c r="O53" s="12"/>
      <c r="P53" s="24" t="str">
        <f t="shared" si="2"/>
        <v/>
      </c>
      <c r="Q53" s="22" t="str">
        <f t="shared" si="5"/>
        <v>kWh</v>
      </c>
      <c r="R53" s="12"/>
      <c r="S53" s="24" t="str">
        <f t="shared" si="6"/>
        <v/>
      </c>
      <c r="T53" s="22" t="s">
        <v>468</v>
      </c>
      <c r="U53" s="12"/>
      <c r="V53" s="12"/>
      <c r="W53" s="12"/>
      <c r="X53" s="12"/>
      <c r="Y53" s="12"/>
      <c r="Z53" s="12"/>
      <c r="AA53" s="12"/>
      <c r="AB53" s="67"/>
      <c r="AC53" s="995"/>
      <c r="AD53" s="1405"/>
      <c r="AE53" s="1383" t="str">
        <f t="shared" si="4"/>
        <v>sport</v>
      </c>
      <c r="AF53" s="1441"/>
      <c r="AG53" s="1447" t="str">
        <f t="shared" si="7"/>
        <v/>
      </c>
      <c r="AH53" s="1411" t="str">
        <f t="shared" si="8"/>
        <v/>
      </c>
      <c r="AI53" s="1410"/>
      <c r="AJ53" s="1447">
        <v>90</v>
      </c>
      <c r="AK53" s="22" t="s">
        <v>1784</v>
      </c>
      <c r="AL53" s="1405"/>
      <c r="AM53" s="1405"/>
      <c r="AN53" s="1405"/>
      <c r="AO53" s="1405"/>
      <c r="AP53" s="1405"/>
      <c r="AQ53" s="1405"/>
      <c r="AR53" s="1405"/>
      <c r="AS53" s="67"/>
      <c r="AT53" s="995"/>
      <c r="AU53" s="12"/>
      <c r="AV53" s="304" t="str">
        <v>Uniec 3 per functie</v>
      </c>
      <c r="AW53" s="47"/>
      <c r="AX53" s="47" t="str">
        <f>IFERROR(VLOOKUP($AV53,tabellen_EMD!$C$175:$K$182,MATCH(AX$51,tabellen_EMD!$C$174:$K$174,0),FALSE),"")</f>
        <v>Uniec 3</v>
      </c>
      <c r="AY53" s="47"/>
      <c r="AZ53" s="453"/>
      <c r="BA53" s="304" t="str">
        <v>Uniec 3</v>
      </c>
      <c r="BB53" s="15"/>
      <c r="BC53" s="47" t="str">
        <f>VLOOKUP($AX53,tabellen_EMD!$C$47:$K$52,MATCH(BC$51,tabellen_EMD!$C$46:$K$46,0),FALSE)</f>
        <v>Uniec 3: Jaarlijkse karakteristieke energiegebruik Eptot</v>
      </c>
      <c r="BD53" s="47" t="str">
        <f>VLOOKUP($AX53,tabellen_EMD!$C$47:$K$52,MATCH(BD$51,tabellen_EMD!$C$46:$K$46,0),FALSE)</f>
        <v>kWh</v>
      </c>
      <c r="BE53" s="47" t="str">
        <f>VLOOKUP($AX53,tabellen_EMD!$C$47:$K$52,MATCH(BE$51,tabellen_EMD!$C$46:$K$46,0),FALSE)</f>
        <v>Primaire fossiele energie Ewe;P;tot</v>
      </c>
      <c r="BF53" s="46">
        <f>VLOOKUP($AX53,tabellen_EMD!$C$47:$K$52,MATCH(BF$51,tabellen_EMD!$C$46:$K$46,0),FALSE)</f>
        <v>0</v>
      </c>
      <c r="BG53" s="13"/>
      <c r="BH53" s="13"/>
      <c r="BI53" s="13"/>
    </row>
    <row r="54" spans="1:61">
      <c r="E54" s="14"/>
      <c r="F54" s="22" t="s">
        <v>424</v>
      </c>
      <c r="G54" s="47"/>
      <c r="H54" s="47"/>
      <c r="I54" s="16"/>
      <c r="J54" s="25"/>
      <c r="K54" s="47" t="s">
        <v>562</v>
      </c>
      <c r="L54" s="453"/>
      <c r="M54" s="24">
        <f t="shared" si="1"/>
        <v>0</v>
      </c>
      <c r="N54" s="47" t="s">
        <v>562</v>
      </c>
      <c r="O54" s="12"/>
      <c r="P54" s="24" t="str">
        <f t="shared" si="2"/>
        <v/>
      </c>
      <c r="Q54" s="22" t="str">
        <f t="shared" si="5"/>
        <v>kWh</v>
      </c>
      <c r="R54" s="12"/>
      <c r="S54" s="24" t="str">
        <f t="shared" si="6"/>
        <v/>
      </c>
      <c r="T54" s="22" t="s">
        <v>468</v>
      </c>
      <c r="U54" s="12"/>
      <c r="V54" s="12"/>
      <c r="W54" s="12"/>
      <c r="X54" s="12"/>
      <c r="Y54" s="12"/>
      <c r="Z54" s="12"/>
      <c r="AA54" s="12"/>
      <c r="AB54" s="67"/>
      <c r="AC54" s="995"/>
      <c r="AD54" s="1405"/>
      <c r="AE54" s="1383" t="str">
        <f t="shared" si="4"/>
        <v>logies in logiesgebouw</v>
      </c>
      <c r="AF54" s="1441"/>
      <c r="AG54" s="1447" t="str">
        <f t="shared" si="7"/>
        <v/>
      </c>
      <c r="AH54" s="1411" t="str">
        <f t="shared" si="8"/>
        <v/>
      </c>
      <c r="AI54" s="1410"/>
      <c r="AJ54" s="1447">
        <v>130</v>
      </c>
      <c r="AK54" s="22" t="s">
        <v>1784</v>
      </c>
      <c r="AL54" s="1405"/>
      <c r="AM54" s="1405"/>
      <c r="AN54" s="1405"/>
      <c r="AO54" s="1405"/>
      <c r="AP54" s="1405"/>
      <c r="AQ54" s="1405"/>
      <c r="AR54" s="1405"/>
      <c r="AS54" s="67"/>
      <c r="AT54" s="995"/>
      <c r="AU54" s="12"/>
      <c r="AV54" s="304" t="str">
        <v>Uniec 3 finaal</v>
      </c>
      <c r="AW54" s="47"/>
      <c r="AX54" s="47" t="str">
        <f>IFERROR(VLOOKUP($AV54,tabellen_EMD!$C$175:$K$182,MATCH(AX$51,tabellen_EMD!$C$174:$K$174,0),FALSE),"")</f>
        <v>Uniec 3</v>
      </c>
      <c r="AY54" s="47"/>
      <c r="AZ54" s="12"/>
      <c r="BA54" s="304" t="str">
        <v/>
      </c>
      <c r="BB54" s="15"/>
      <c r="BC54" s="47"/>
      <c r="BD54" s="47"/>
      <c r="BE54" s="47"/>
      <c r="BF54" s="46"/>
      <c r="BG54" s="13"/>
      <c r="BH54" s="13"/>
      <c r="BI54" s="14"/>
    </row>
    <row r="55" spans="1:61">
      <c r="A55" s="139" t="s">
        <v>396</v>
      </c>
      <c r="B55" s="944"/>
      <c r="C55" s="944"/>
      <c r="D55" s="944"/>
      <c r="E55" s="14"/>
      <c r="F55" s="22" t="s">
        <v>425</v>
      </c>
      <c r="G55" s="47"/>
      <c r="H55" s="47"/>
      <c r="I55" s="16"/>
      <c r="J55" s="25"/>
      <c r="K55" s="47" t="s">
        <v>562</v>
      </c>
      <c r="L55" s="453"/>
      <c r="M55" s="24">
        <f t="shared" si="1"/>
        <v>0</v>
      </c>
      <c r="N55" s="47" t="s">
        <v>562</v>
      </c>
      <c r="O55" s="12"/>
      <c r="P55" s="24" t="str">
        <f t="shared" si="2"/>
        <v/>
      </c>
      <c r="Q55" s="22" t="str">
        <f t="shared" si="5"/>
        <v>kWh</v>
      </c>
      <c r="R55" s="12"/>
      <c r="S55" s="24" t="str">
        <f t="shared" si="6"/>
        <v/>
      </c>
      <c r="T55" s="22" t="s">
        <v>468</v>
      </c>
      <c r="U55" s="12"/>
      <c r="V55" s="12"/>
      <c r="W55" s="12"/>
      <c r="X55" s="12"/>
      <c r="Y55" s="12"/>
      <c r="Z55" s="12"/>
      <c r="AA55" s="12"/>
      <c r="AB55" s="67"/>
      <c r="AC55" s="995"/>
      <c r="AD55" s="1405"/>
      <c r="AE55" s="1383" t="str">
        <f t="shared" si="4"/>
        <v>cel</v>
      </c>
      <c r="AF55" s="1441"/>
      <c r="AG55" s="1447" t="str">
        <f t="shared" si="7"/>
        <v/>
      </c>
      <c r="AH55" s="1411" t="str">
        <f t="shared" si="8"/>
        <v/>
      </c>
      <c r="AI55" s="1410"/>
      <c r="AJ55" s="1447">
        <v>120</v>
      </c>
      <c r="AK55" s="22" t="s">
        <v>1784</v>
      </c>
      <c r="AL55" s="1405"/>
      <c r="AM55" s="1405"/>
      <c r="AN55" s="1405"/>
      <c r="AO55" s="1405"/>
      <c r="AP55" s="1405"/>
      <c r="AQ55" s="1405"/>
      <c r="AR55" s="1405"/>
      <c r="AS55" s="67"/>
      <c r="AT55" s="995"/>
      <c r="AU55" s="12"/>
      <c r="AV55" s="306"/>
      <c r="AW55" s="47"/>
      <c r="AX55" s="47" t="str">
        <f>IFERROR(VLOOKUP($AV55,tabellen_EMD!$C$175:$K$182,MATCH(AX$51,tabellen_EMD!$C$174:$K$174,0),FALSE),"")</f>
        <v/>
      </c>
      <c r="AY55" s="47"/>
      <c r="AZ55" s="12"/>
      <c r="BA55" s="306"/>
      <c r="BB55" s="40"/>
      <c r="BC55" s="40"/>
      <c r="BD55" s="13"/>
      <c r="BE55" s="13"/>
      <c r="BF55" s="13"/>
      <c r="BG55" s="13"/>
      <c r="BH55" s="13"/>
      <c r="BI55" s="14"/>
    </row>
    <row r="56" spans="1:61">
      <c r="E56" s="14"/>
      <c r="F56" s="22" t="s">
        <v>554</v>
      </c>
      <c r="G56" s="47"/>
      <c r="H56" s="47"/>
      <c r="I56" s="16"/>
      <c r="J56" s="25"/>
      <c r="K56" s="47" t="s">
        <v>562</v>
      </c>
      <c r="L56" s="453"/>
      <c r="M56" s="453"/>
      <c r="N56" s="12"/>
      <c r="O56" s="12"/>
      <c r="P56" s="13"/>
      <c r="Q56" s="39"/>
      <c r="R56" s="12"/>
      <c r="S56" s="13"/>
      <c r="T56" s="41"/>
      <c r="U56" s="12"/>
      <c r="V56" s="12"/>
      <c r="W56" s="12"/>
      <c r="X56" s="12"/>
      <c r="Y56" s="12"/>
      <c r="Z56" s="12"/>
      <c r="AA56" s="12"/>
      <c r="AB56" s="67"/>
      <c r="AC56" s="995"/>
      <c r="AD56" s="1405"/>
      <c r="AE56" s="1383" t="str">
        <f t="shared" si="4"/>
        <v>gemeenschappelijke ruimten</v>
      </c>
      <c r="AF56" s="1383"/>
      <c r="AG56" s="1408"/>
      <c r="AH56" s="1408"/>
      <c r="AI56" s="1410"/>
      <c r="AJ56" s="1410"/>
      <c r="AK56" s="1405"/>
      <c r="AL56" s="1405"/>
      <c r="AM56" s="1405"/>
      <c r="AN56" s="1405"/>
      <c r="AO56" s="1405"/>
      <c r="AP56" s="1405"/>
      <c r="AQ56" s="1405"/>
      <c r="AR56" s="1405"/>
      <c r="AS56" s="67"/>
      <c r="AT56" s="995"/>
      <c r="AU56" s="12"/>
      <c r="AV56" s="12"/>
      <c r="AW56" s="12"/>
      <c r="AX56" s="12"/>
      <c r="AY56" s="12"/>
      <c r="AZ56" s="12"/>
      <c r="BA56" s="12"/>
      <c r="BB56" s="12"/>
      <c r="BC56" s="12"/>
      <c r="BD56" s="12"/>
      <c r="BE56" s="40"/>
      <c r="BF56" s="13"/>
      <c r="BG56" s="13"/>
      <c r="BH56" s="13"/>
      <c r="BI56" s="14"/>
    </row>
    <row r="57" spans="1:61" collapsed="1">
      <c r="A57" s="212" t="s">
        <v>493</v>
      </c>
      <c r="B57" s="898"/>
      <c r="C57" s="898"/>
      <c r="D57" s="898"/>
      <c r="E57" s="14"/>
      <c r="F57" s="13"/>
      <c r="G57" s="13"/>
      <c r="H57" s="13"/>
      <c r="I57" s="16"/>
      <c r="J57" s="13"/>
      <c r="K57" s="13"/>
      <c r="L57" s="39"/>
      <c r="M57" s="39"/>
      <c r="N57" s="39"/>
      <c r="O57" s="12"/>
      <c r="P57" s="12"/>
      <c r="Q57" s="12"/>
      <c r="R57" s="12"/>
      <c r="S57" s="12"/>
      <c r="T57" s="41"/>
      <c r="U57" s="12"/>
      <c r="V57" s="12"/>
      <c r="W57" s="12"/>
      <c r="X57" s="12"/>
      <c r="Y57" s="12"/>
      <c r="Z57" s="12"/>
      <c r="AA57" s="12"/>
      <c r="AB57" s="67"/>
      <c r="AC57" s="995"/>
      <c r="AD57" s="1405"/>
      <c r="AE57" s="1405"/>
      <c r="AF57" s="1405"/>
      <c r="AG57" s="1405"/>
      <c r="AH57" s="1405"/>
      <c r="AI57" s="1405"/>
      <c r="AJ57" s="1405"/>
      <c r="AK57" s="1405"/>
      <c r="AL57" s="1405"/>
      <c r="AM57" s="1405"/>
      <c r="AN57" s="1405"/>
      <c r="AO57" s="1405"/>
      <c r="AP57" s="1405"/>
      <c r="AQ57" s="1405"/>
      <c r="AR57" s="1405"/>
      <c r="AS57" s="67"/>
      <c r="AT57" s="995"/>
      <c r="AU57" s="12"/>
      <c r="AV57" s="12"/>
      <c r="AW57" s="12"/>
      <c r="AX57" s="12"/>
      <c r="AY57" s="12"/>
      <c r="AZ57" s="12"/>
      <c r="BA57" s="12"/>
      <c r="BB57" s="12"/>
      <c r="BC57" s="12"/>
      <c r="BD57" s="12"/>
      <c r="BE57" s="40"/>
      <c r="BF57" s="13"/>
      <c r="BG57" s="13"/>
      <c r="BH57" s="13"/>
      <c r="BI57" s="14"/>
    </row>
    <row r="58" spans="1:61">
      <c r="A58" s="212" t="s">
        <v>493</v>
      </c>
      <c r="B58" s="898"/>
      <c r="C58" s="898"/>
      <c r="D58" s="898"/>
      <c r="E58" s="14"/>
      <c r="F58" s="22" t="str">
        <f>"in te voeren in "&amp;EP_doelmethode</f>
        <v>in te voeren in GPR 4.4 | NTA 8800</v>
      </c>
      <c r="G58" s="22"/>
      <c r="H58" s="22"/>
      <c r="I58" s="16"/>
      <c r="J58" s="24">
        <f>SUM(J44:J57)</f>
        <v>300</v>
      </c>
      <c r="K58" s="47" t="s">
        <v>562</v>
      </c>
      <c r="L58" s="453"/>
      <c r="M58" s="24">
        <f>SUM(M44:M56)</f>
        <v>300</v>
      </c>
      <c r="N58" s="47" t="s">
        <v>562</v>
      </c>
      <c r="O58" s="12"/>
      <c r="P58" s="24">
        <f>SUM(P44:P55)</f>
        <v>15000</v>
      </c>
      <c r="Q58" s="22" t="str">
        <f>INDEX(EP_Methode_BRON_per_GPR_Versie_Eenheid,MATCH(EP_doelmethode,GPR_Versie_En_EP_Methode,0))</f>
        <v>kWh</v>
      </c>
      <c r="R58" s="12"/>
      <c r="S58" s="24">
        <f>SUM(S44:S55)</f>
        <v>0</v>
      </c>
      <c r="T58" s="22" t="s">
        <v>468</v>
      </c>
      <c r="U58" s="12"/>
      <c r="V58" s="12"/>
      <c r="W58" s="12"/>
      <c r="X58" s="12"/>
      <c r="Y58" s="12"/>
      <c r="Z58" s="12"/>
      <c r="AA58" s="12"/>
      <c r="AB58" s="67"/>
      <c r="AC58" s="995"/>
      <c r="AD58" s="1405"/>
      <c r="AE58" s="1405"/>
      <c r="AF58" s="1405"/>
      <c r="AG58" s="1405"/>
      <c r="AH58" s="1405"/>
      <c r="AI58" s="1405"/>
      <c r="AJ58" s="24">
        <f>IFERROR(SUMPRODUCT($M$44:$M$55,$AJ$44:$AJ$55)/SUM($M$44:$M$55),"")</f>
        <v>56.666666666666664</v>
      </c>
      <c r="AK58" s="22" t="s">
        <v>1784</v>
      </c>
      <c r="AL58" s="1405"/>
      <c r="AM58" s="1405"/>
      <c r="AN58" s="1405"/>
      <c r="AO58" s="1405"/>
      <c r="AP58" s="1405"/>
      <c r="AQ58" s="1405"/>
      <c r="AR58" s="1405"/>
      <c r="AS58" s="67"/>
      <c r="AT58" s="995"/>
      <c r="AU58" s="12"/>
      <c r="AV58" s="12"/>
      <c r="AW58" s="12"/>
      <c r="AX58" s="12"/>
      <c r="AY58" s="12"/>
      <c r="AZ58" s="12"/>
      <c r="BA58" s="12"/>
      <c r="BB58" s="12"/>
      <c r="BC58" s="12"/>
      <c r="BD58" s="12"/>
      <c r="BE58" s="40"/>
      <c r="BF58" s="13"/>
      <c r="BG58" s="13"/>
      <c r="BH58" s="13"/>
      <c r="BI58" s="14"/>
    </row>
    <row r="59" spans="1:61">
      <c r="A59" s="212"/>
      <c r="B59" s="898"/>
      <c r="C59" s="898"/>
      <c r="D59" s="898"/>
      <c r="E59" s="14"/>
      <c r="F59" s="22" t="str">
        <f>"overgenomen uit "&amp;P23</f>
        <v>overgenomen uit VABI NTA 8800</v>
      </c>
      <c r="G59" s="22"/>
      <c r="H59" s="22"/>
      <c r="I59" s="16"/>
      <c r="J59" s="24">
        <f>SUM(J44:J57)</f>
        <v>300</v>
      </c>
      <c r="K59" s="47" t="s">
        <v>562</v>
      </c>
      <c r="L59" s="453"/>
      <c r="M59" s="24">
        <f>SUM(M44:M55)</f>
        <v>300</v>
      </c>
      <c r="N59" s="47" t="s">
        <v>562</v>
      </c>
      <c r="O59" s="12"/>
      <c r="P59" s="12"/>
      <c r="Q59" s="12"/>
      <c r="R59" s="12"/>
      <c r="S59" s="12"/>
      <c r="T59" s="12"/>
      <c r="U59" s="12"/>
      <c r="V59" s="12"/>
      <c r="W59" s="12"/>
      <c r="X59" s="12"/>
      <c r="Y59" s="12"/>
      <c r="Z59" s="12"/>
      <c r="AA59" s="12"/>
      <c r="AB59" s="67"/>
      <c r="AC59" s="995"/>
      <c r="AD59" s="1405"/>
      <c r="AE59" s="1405"/>
      <c r="AF59" s="1405"/>
      <c r="AG59" s="1405"/>
      <c r="AH59" s="1405"/>
      <c r="AI59" s="1405"/>
      <c r="AJ59" s="1405"/>
      <c r="AK59" s="1405"/>
      <c r="AL59" s="1405"/>
      <c r="AM59" s="1405"/>
      <c r="AN59" s="1405"/>
      <c r="AO59" s="1405"/>
      <c r="AP59" s="1405"/>
      <c r="AQ59" s="1405"/>
      <c r="AR59" s="1405"/>
      <c r="AS59" s="67"/>
      <c r="AT59" s="995"/>
      <c r="AU59" s="12"/>
      <c r="AV59" s="12"/>
      <c r="AW59" s="12"/>
      <c r="AX59" s="12"/>
      <c r="AY59" s="12"/>
      <c r="AZ59" s="12"/>
      <c r="BA59" s="12"/>
      <c r="BB59" s="12"/>
      <c r="BC59" s="12"/>
      <c r="BD59" s="12"/>
      <c r="BE59" s="40"/>
      <c r="BF59" s="13"/>
      <c r="BG59" s="13"/>
      <c r="BH59" s="13"/>
      <c r="BI59" s="14"/>
    </row>
    <row r="60" spans="1:61">
      <c r="A60" s="18"/>
      <c r="B60" s="763"/>
      <c r="C60" s="763"/>
      <c r="D60" s="763"/>
      <c r="E60" s="14"/>
      <c r="F60" s="15"/>
      <c r="G60" s="16"/>
      <c r="H60" s="16"/>
      <c r="I60" s="16"/>
      <c r="J60" s="148"/>
      <c r="K60" s="14"/>
      <c r="L60" s="39"/>
      <c r="M60" s="15"/>
      <c r="N60" s="39"/>
      <c r="O60" s="39"/>
      <c r="P60" s="39"/>
      <c r="Q60" s="12"/>
      <c r="R60" s="12"/>
      <c r="S60" s="12"/>
      <c r="T60" s="12"/>
      <c r="U60" s="12"/>
      <c r="V60" s="12"/>
      <c r="W60" s="12"/>
      <c r="X60" s="12"/>
      <c r="Y60" s="12"/>
      <c r="Z60" s="12"/>
      <c r="AA60" s="12"/>
      <c r="AB60" s="67"/>
      <c r="AC60" s="995"/>
      <c r="AD60" s="1405"/>
      <c r="AE60" s="1405"/>
      <c r="AF60" s="1405"/>
      <c r="AG60" s="1405"/>
      <c r="AH60" s="1405"/>
      <c r="AI60" s="1405"/>
      <c r="AJ60" s="1405"/>
      <c r="AK60" s="1405"/>
      <c r="AL60" s="1405"/>
      <c r="AM60" s="1405"/>
      <c r="AN60" s="1405"/>
      <c r="AO60" s="1405"/>
      <c r="AP60" s="1405"/>
      <c r="AQ60" s="1405"/>
      <c r="AR60" s="1405"/>
      <c r="AS60" s="67"/>
      <c r="AT60" s="995"/>
      <c r="AU60" s="12"/>
      <c r="AV60" s="12"/>
      <c r="AW60" s="12"/>
      <c r="AX60" s="12"/>
      <c r="AY60" s="12"/>
      <c r="AZ60" s="12"/>
      <c r="BA60" s="12"/>
      <c r="BB60" s="12"/>
      <c r="BC60" s="12"/>
      <c r="BD60" s="12"/>
      <c r="BE60" s="40"/>
      <c r="BF60" s="13"/>
      <c r="BG60" s="13"/>
      <c r="BH60" s="13"/>
      <c r="BI60" s="14"/>
    </row>
    <row r="61" spans="1:61" s="896" customFormat="1" ht="25.5" customHeight="1">
      <c r="A61" s="86"/>
      <c r="B61" s="943"/>
      <c r="C61" s="943"/>
      <c r="D61" s="943"/>
      <c r="E61" s="897"/>
      <c r="F61" s="893" t="s">
        <v>1404</v>
      </c>
      <c r="G61" s="912"/>
      <c r="H61" s="913"/>
      <c r="I61" s="894"/>
      <c r="J61" s="912"/>
      <c r="K61" s="914"/>
      <c r="L61" s="895"/>
      <c r="M61" s="893"/>
      <c r="N61" s="893"/>
      <c r="O61" s="895"/>
      <c r="P61" s="895"/>
      <c r="Q61" s="893"/>
      <c r="R61" s="893"/>
      <c r="S61" s="893"/>
      <c r="T61" s="893"/>
      <c r="U61" s="893"/>
      <c r="V61" s="893"/>
      <c r="W61" s="893"/>
      <c r="X61" s="893"/>
      <c r="Y61" s="893"/>
      <c r="Z61" s="893"/>
      <c r="AA61" s="893"/>
      <c r="AB61" s="893"/>
      <c r="AC61" s="893"/>
      <c r="AD61" s="893"/>
      <c r="AE61" s="893"/>
      <c r="AF61" s="893"/>
      <c r="AG61" s="893"/>
      <c r="AH61" s="893"/>
      <c r="AI61" s="893"/>
      <c r="AJ61" s="893"/>
      <c r="AK61" s="893"/>
      <c r="AL61" s="893"/>
      <c r="AM61" s="893"/>
      <c r="AN61" s="893"/>
      <c r="AO61" s="893"/>
      <c r="AP61" s="893"/>
      <c r="AQ61" s="893"/>
      <c r="AR61" s="893"/>
      <c r="AS61" s="893"/>
      <c r="AT61" s="1381"/>
      <c r="AU61" s="893"/>
      <c r="AV61" s="893"/>
      <c r="AW61" s="893"/>
      <c r="AX61" s="893"/>
      <c r="AY61" s="893"/>
      <c r="AZ61" s="893"/>
      <c r="BA61" s="893"/>
      <c r="BB61" s="893"/>
      <c r="BC61" s="893"/>
      <c r="BD61" s="893"/>
      <c r="BE61" s="893"/>
      <c r="BF61" s="893"/>
      <c r="BG61" s="893"/>
      <c r="BH61" s="893"/>
      <c r="BI61" s="893"/>
    </row>
    <row r="62" spans="1:61" collapsed="1">
      <c r="A62" s="86"/>
      <c r="B62" s="15" t="s">
        <v>1513</v>
      </c>
      <c r="C62" s="15" t="s">
        <v>1489</v>
      </c>
      <c r="D62" s="943"/>
      <c r="E62" s="14"/>
      <c r="F62" s="13"/>
      <c r="G62" s="13"/>
      <c r="H62" s="13"/>
      <c r="I62" s="12"/>
      <c r="J62" s="39"/>
      <c r="K62" s="40"/>
      <c r="L62" s="39"/>
      <c r="M62" s="39"/>
      <c r="N62" s="39"/>
      <c r="O62" s="39"/>
      <c r="P62" s="39"/>
      <c r="Q62" s="39"/>
      <c r="R62" s="39"/>
      <c r="S62" s="39"/>
      <c r="T62" s="39"/>
      <c r="U62" s="39"/>
      <c r="V62" s="39"/>
      <c r="W62" s="39"/>
      <c r="X62" s="39"/>
      <c r="Y62" s="39"/>
      <c r="Z62" s="39"/>
      <c r="AA62" s="39"/>
      <c r="AB62" s="67"/>
      <c r="AC62" s="995"/>
      <c r="AD62" s="1405"/>
      <c r="AE62" s="1405"/>
      <c r="AF62" s="1405"/>
      <c r="AG62" s="1405"/>
      <c r="AH62" s="1405"/>
      <c r="AI62" s="1405"/>
      <c r="AJ62" s="1405"/>
      <c r="AK62" s="1405"/>
      <c r="AL62" s="1405"/>
      <c r="AM62" s="1405"/>
      <c r="AN62" s="1405"/>
      <c r="AO62" s="1405"/>
      <c r="AP62" s="1405"/>
      <c r="AQ62" s="1405"/>
      <c r="AR62" s="1405"/>
      <c r="AS62" s="67"/>
      <c r="AT62" s="995"/>
      <c r="AU62" s="12"/>
      <c r="AV62" s="12"/>
      <c r="AW62" s="12"/>
      <c r="AX62" s="12"/>
      <c r="AY62" s="12"/>
      <c r="AZ62" s="12"/>
      <c r="BA62" s="12"/>
      <c r="BB62" s="12"/>
      <c r="BC62" s="12"/>
      <c r="BD62" s="40"/>
      <c r="BE62" s="40"/>
      <c r="BF62" s="13"/>
      <c r="BG62" s="13"/>
      <c r="BH62" s="13"/>
      <c r="BI62" s="14"/>
    </row>
    <row r="63" spans="1:61">
      <c r="A63" s="139" t="s">
        <v>396</v>
      </c>
      <c r="B63" s="939" t="str">
        <f>tabellen_EMD!$C$181</f>
        <v>VABI EPA-U</v>
      </c>
      <c r="C63" s="939" t="str">
        <f>VLOOKUP(B63,'EP naar GPR4'!$AV$40:$AY$48,COLUMNS($AV$40:$AX$40),FALSE)</f>
        <v>ISSO 75.3</v>
      </c>
      <c r="D63" s="943"/>
      <c r="E63" s="14"/>
      <c r="F63" s="15" t="str">
        <f>_xlfn.CONCAT("Overnemen uit '",B63,"': ",VLOOKUP(B63,$AV$41:$AZ$48,COLUMNS($AV$40:$AZ$40),FALSE))</f>
        <v>Overnemen uit 'VABI EPA-U': Energiegebruik per deelpost in de huidige situatie</v>
      </c>
      <c r="G63" s="15"/>
      <c r="H63" s="15"/>
      <c r="I63" s="905"/>
      <c r="J63" s="12"/>
      <c r="K63" s="12"/>
      <c r="L63" s="12"/>
      <c r="M63" s="909" t="s">
        <v>1485</v>
      </c>
      <c r="N63" s="41"/>
      <c r="O63" s="41"/>
      <c r="P63" s="453" t="s">
        <v>1487</v>
      </c>
      <c r="Q63" s="39"/>
      <c r="R63" s="39"/>
      <c r="S63" s="453" t="s">
        <v>1484</v>
      </c>
      <c r="T63" s="39"/>
      <c r="U63" s="39"/>
      <c r="V63" s="453" t="s">
        <v>1613</v>
      </c>
      <c r="W63" s="39"/>
      <c r="X63" s="39"/>
      <c r="Y63" s="12"/>
      <c r="Z63" s="453" t="s">
        <v>1536</v>
      </c>
      <c r="AA63" s="12"/>
      <c r="AB63" s="67"/>
      <c r="AC63" s="995"/>
      <c r="AD63" s="1405"/>
      <c r="AE63" s="1405"/>
      <c r="AF63" s="1405"/>
      <c r="AG63" s="1405"/>
      <c r="AH63" s="1405"/>
      <c r="AI63" s="1405"/>
      <c r="AJ63" s="1405"/>
      <c r="AK63" s="1405"/>
      <c r="AL63" s="1405"/>
      <c r="AM63" s="1405"/>
      <c r="AN63" s="1405"/>
      <c r="AO63" s="1405"/>
      <c r="AP63" s="1405"/>
      <c r="AQ63" s="1405"/>
      <c r="AR63" s="1405"/>
      <c r="AS63" s="67"/>
      <c r="AT63" s="995"/>
      <c r="AU63" s="12"/>
      <c r="AV63" s="15" t="str">
        <f t="shared" ref="AV63:AV75" si="9">F63</f>
        <v>Overnemen uit 'VABI EPA-U': Energiegebruik per deelpost in de huidige situatie</v>
      </c>
      <c r="AW63" s="12"/>
      <c r="AX63" s="12"/>
      <c r="AY63" s="12"/>
      <c r="AZ63" s="888" t="s">
        <v>1593</v>
      </c>
      <c r="BA63" s="888" t="s">
        <v>1628</v>
      </c>
      <c r="BB63" s="888" t="s">
        <v>1487</v>
      </c>
      <c r="BC63" s="452"/>
      <c r="BD63" s="452" t="s">
        <v>1488</v>
      </c>
      <c r="BE63" s="452"/>
      <c r="BF63" s="452"/>
      <c r="BG63" s="888" t="s">
        <v>510</v>
      </c>
      <c r="BH63" s="39"/>
      <c r="BI63" s="39"/>
    </row>
    <row r="64" spans="1:61">
      <c r="A64" s="139" t="s">
        <v>396</v>
      </c>
      <c r="B64" s="47" t="str">
        <f>B63</f>
        <v>VABI EPA-U</v>
      </c>
      <c r="C64" s="47" t="str">
        <f t="shared" ref="C64:C77" si="10">C63</f>
        <v>ISSO 75.3</v>
      </c>
      <c r="D64" s="943"/>
      <c r="E64" s="14"/>
      <c r="F64" s="892" t="s">
        <v>496</v>
      </c>
      <c r="G64" s="892"/>
      <c r="H64" s="892"/>
      <c r="I64" s="905"/>
      <c r="J64" s="909" t="s">
        <v>458</v>
      </c>
      <c r="K64" s="909"/>
      <c r="L64" s="889"/>
      <c r="M64" s="910" t="s">
        <v>1534</v>
      </c>
      <c r="N64" s="452" t="s">
        <v>204</v>
      </c>
      <c r="O64" s="39"/>
      <c r="P64" s="888" t="s">
        <v>1533</v>
      </c>
      <c r="Q64" s="910" t="s">
        <v>1532</v>
      </c>
      <c r="R64" s="452"/>
      <c r="S64" s="888" t="s">
        <v>1534</v>
      </c>
      <c r="T64" s="889" t="s">
        <v>204</v>
      </c>
      <c r="U64" s="39"/>
      <c r="V64" s="888" t="s">
        <v>1533</v>
      </c>
      <c r="W64" s="910" t="s">
        <v>1532</v>
      </c>
      <c r="X64" s="889" t="s">
        <v>204</v>
      </c>
      <c r="Y64" s="12"/>
      <c r="Z64" s="888" t="s">
        <v>1534</v>
      </c>
      <c r="AA64" s="889" t="s">
        <v>204</v>
      </c>
      <c r="AB64" s="67"/>
      <c r="AC64" s="995"/>
      <c r="AD64" s="1405"/>
      <c r="AE64" s="1405"/>
      <c r="AF64" s="1405"/>
      <c r="AG64" s="1405"/>
      <c r="AH64" s="1405"/>
      <c r="AI64" s="1405"/>
      <c r="AJ64" s="1405"/>
      <c r="AK64" s="1405"/>
      <c r="AL64" s="1405"/>
      <c r="AM64" s="1405"/>
      <c r="AN64" s="1405"/>
      <c r="AO64" s="1405"/>
      <c r="AP64" s="1405"/>
      <c r="AQ64" s="1405"/>
      <c r="AR64" s="1405"/>
      <c r="AS64" s="67"/>
      <c r="AT64" s="995"/>
      <c r="AU64" s="12"/>
      <c r="AV64" s="892" t="str">
        <f t="shared" si="9"/>
        <v>energiefunctie</v>
      </c>
      <c r="AW64" s="452" t="str">
        <f t="shared" ref="AW64:AW75" si="11">J64</f>
        <v>energiedrager</v>
      </c>
      <c r="AX64" s="910"/>
      <c r="AY64" s="12"/>
      <c r="AZ64" s="888" t="s">
        <v>1592</v>
      </c>
      <c r="BA64" s="888"/>
      <c r="BB64" s="888" t="s">
        <v>1535</v>
      </c>
      <c r="BC64" s="452"/>
      <c r="BD64" s="452" t="s">
        <v>1534</v>
      </c>
      <c r="BE64" s="452" t="s">
        <v>1537</v>
      </c>
      <c r="BF64" s="452"/>
      <c r="BG64" s="888" t="s">
        <v>1535</v>
      </c>
      <c r="BH64" s="888" t="s">
        <v>204</v>
      </c>
      <c r="BI64" s="452"/>
    </row>
    <row r="65" spans="1:61">
      <c r="A65" s="86"/>
      <c r="B65" s="47" t="str">
        <f t="shared" ref="B65:B77" si="12">B64</f>
        <v>VABI EPA-U</v>
      </c>
      <c r="C65" s="47" t="str">
        <f t="shared" si="10"/>
        <v>ISSO 75.3</v>
      </c>
      <c r="D65" s="943"/>
      <c r="E65" s="14"/>
      <c r="F65" s="22" t="s">
        <v>502</v>
      </c>
      <c r="G65" s="22"/>
      <c r="H65" s="22"/>
      <c r="I65" s="905"/>
      <c r="J65" s="1685" t="s">
        <v>465</v>
      </c>
      <c r="K65" s="1685"/>
      <c r="L65" s="16"/>
      <c r="M65" s="25"/>
      <c r="N65" s="22" t="str">
        <f t="shared" ref="N65:N75" si="13">INDEX(EP_methode_eenheid,1,MATCH($C65,EP_methode,0))</f>
        <v>MJ</v>
      </c>
      <c r="O65" s="15"/>
      <c r="P65" s="154">
        <v>12</v>
      </c>
      <c r="Q65" s="59">
        <f t="shared" ref="Q65:Q74" si="14">IFERROR(IF(AND(P65&lt;&gt;"",$BA65=1),P65,BB65),1)</f>
        <v>2.5641025641025639</v>
      </c>
      <c r="R65" s="15"/>
      <c r="S65" s="24">
        <f t="shared" ref="S65:S74" si="15">M65/Q65/BD65</f>
        <v>0</v>
      </c>
      <c r="T65" s="47" t="str">
        <f>IFERROR(INDEX(energiedragers_EP_eenheden,MATCH($J65,tabellen_EMD!$C$196:$C$204,0),MATCH($B65,energiedragers_EP_eenheden_titel,0)),"-")</f>
        <v>kWh</v>
      </c>
      <c r="U65" s="39"/>
      <c r="V65" s="154"/>
      <c r="W65" s="59">
        <f t="shared" ref="W65:W74" si="16">IF(AND(V65&lt;&gt;"",$BA65=1),V65,BG65)</f>
        <v>0.56599999999999995</v>
      </c>
      <c r="X65" s="47" t="str">
        <f t="shared" ref="X65:X74" si="17">BH65</f>
        <v>kg/kWh</v>
      </c>
      <c r="Y65" s="12"/>
      <c r="Z65" s="24">
        <f t="shared" ref="Z65:Z74" si="18">S65*W65*ABS(AZ65)</f>
        <v>0</v>
      </c>
      <c r="AA65" s="47" t="s">
        <v>468</v>
      </c>
      <c r="AB65" s="67"/>
      <c r="AC65" s="995"/>
      <c r="AD65" s="1405"/>
      <c r="AE65" s="1405"/>
      <c r="AF65" s="1405"/>
      <c r="AG65" s="1405"/>
      <c r="AH65" s="1405"/>
      <c r="AI65" s="1405"/>
      <c r="AJ65" s="1405"/>
      <c r="AK65" s="1405"/>
      <c r="AL65" s="1405"/>
      <c r="AM65" s="1405"/>
      <c r="AN65" s="1405"/>
      <c r="AO65" s="1405"/>
      <c r="AP65" s="1405"/>
      <c r="AQ65" s="1405"/>
      <c r="AR65" s="1405"/>
      <c r="AS65" s="67"/>
      <c r="AT65" s="995"/>
      <c r="AU65" s="12"/>
      <c r="AV65" s="22" t="str">
        <f t="shared" si="9"/>
        <v>verwarming</v>
      </c>
      <c r="AW65" s="46" t="str">
        <f t="shared" si="11"/>
        <v>elektriciteit</v>
      </c>
      <c r="AX65" s="24"/>
      <c r="AY65" s="12"/>
      <c r="AZ65" s="115">
        <v>1</v>
      </c>
      <c r="BA65" s="24">
        <f>IFERROR(INDEX(tabellen_EMD!$C$185:$N$193,MATCH($J65,tabellen_EMD!$C$185:$C$193,0),MATCH(BA$63,tabellen_EMD!$C$185:$N$185,0)),0)</f>
        <v>0</v>
      </c>
      <c r="BB65" s="115">
        <f t="shared" ref="BB65:BB74" si="19">VLOOKUP($J65,energiedragers_EP_PEF,MATCH(_xlfn.CONCAT($C65," | PEF"),energiedragers_EP_PEF_titel,0),FALSE)</f>
        <v>2.5641025641025639</v>
      </c>
      <c r="BC65" s="15"/>
      <c r="BD65" s="115">
        <f t="shared" ref="BD65:BD74" si="20">IFERROR(VLOOKUP($J65,energiedragers_EP_omrekenen,MATCH($B65,energiedragers_EP_omrekenen_titel,0),FALSE),1)</f>
        <v>3.6</v>
      </c>
      <c r="BE65" s="47" t="str">
        <f t="shared" ref="BE65:BE74" si="21">_xlfn.CONCAT(N65,"/",T65)</f>
        <v>MJ/kWh</v>
      </c>
      <c r="BF65" s="15"/>
      <c r="BG65" s="218">
        <f>IFERROR(INDEX(tabellen_EMD!$C$240:$Z$248,MATCH($J65,tabellen_EMD!$C$240:$C$248,0),MATCH($B65,tabellen_EMD!$C$240:$Z$240,0))*(F65&lt;&gt;"zomercomfort"),0)</f>
        <v>0.56599999999999995</v>
      </c>
      <c r="BH65" s="47" t="str">
        <f t="shared" ref="BH65:BH74" si="22">"kg/"&amp;T65</f>
        <v>kg/kWh</v>
      </c>
      <c r="BI65" s="15"/>
    </row>
    <row r="66" spans="1:61">
      <c r="A66" s="139" t="s">
        <v>396</v>
      </c>
      <c r="B66" s="47" t="str">
        <f t="shared" si="12"/>
        <v>VABI EPA-U</v>
      </c>
      <c r="C66" s="47" t="str">
        <f t="shared" si="10"/>
        <v>ISSO 75.3</v>
      </c>
      <c r="D66" s="943"/>
      <c r="E66" s="14"/>
      <c r="F66" s="22" t="s">
        <v>504</v>
      </c>
      <c r="G66" s="22"/>
      <c r="H66" s="22"/>
      <c r="I66" s="905"/>
      <c r="J66" s="1685"/>
      <c r="K66" s="1685"/>
      <c r="L66" s="16"/>
      <c r="M66" s="25"/>
      <c r="N66" s="22" t="str">
        <f t="shared" si="13"/>
        <v>MJ</v>
      </c>
      <c r="O66" s="15"/>
      <c r="P66" s="154"/>
      <c r="Q66" s="59">
        <f t="shared" si="14"/>
        <v>1</v>
      </c>
      <c r="R66" s="15"/>
      <c r="S66" s="24">
        <f t="shared" si="15"/>
        <v>0</v>
      </c>
      <c r="T66" s="47" t="str">
        <f>IFERROR(INDEX(energiedragers_EP_eenheden,MATCH($J66,tabellen_EMD!$C$196:$C$204,0),MATCH($B66,energiedragers_EP_eenheden_titel,0)),"-")</f>
        <v>-</v>
      </c>
      <c r="U66" s="39"/>
      <c r="V66" s="154"/>
      <c r="W66" s="59">
        <f t="shared" si="16"/>
        <v>0</v>
      </c>
      <c r="X66" s="47" t="str">
        <f t="shared" si="17"/>
        <v>kg/-</v>
      </c>
      <c r="Y66" s="12"/>
      <c r="Z66" s="24">
        <f t="shared" si="18"/>
        <v>0</v>
      </c>
      <c r="AA66" s="47" t="s">
        <v>468</v>
      </c>
      <c r="AB66" s="67"/>
      <c r="AC66" s="995"/>
      <c r="AD66" s="1405"/>
      <c r="AE66" s="1405"/>
      <c r="AF66" s="1405"/>
      <c r="AG66" s="1405"/>
      <c r="AH66" s="1405"/>
      <c r="AI66" s="1405"/>
      <c r="AJ66" s="1405"/>
      <c r="AK66" s="1405"/>
      <c r="AL66" s="1405"/>
      <c r="AM66" s="1405"/>
      <c r="AN66" s="1405"/>
      <c r="AO66" s="1405"/>
      <c r="AP66" s="1405"/>
      <c r="AQ66" s="1405"/>
      <c r="AR66" s="1405"/>
      <c r="AS66" s="67"/>
      <c r="AT66" s="995"/>
      <c r="AU66" s="12"/>
      <c r="AV66" s="22" t="str">
        <f t="shared" si="9"/>
        <v>koeling</v>
      </c>
      <c r="AW66" s="46">
        <f t="shared" si="11"/>
        <v>0</v>
      </c>
      <c r="AX66" s="24"/>
      <c r="AY66" s="12"/>
      <c r="AZ66" s="115">
        <v>1</v>
      </c>
      <c r="BA66" s="24">
        <f>IFERROR(INDEX(tabellen_EMD!$C$185:$N$193,MATCH($J66,tabellen_EMD!$C$185:$C$193,0),MATCH(BA$63,tabellen_EMD!$C$185:$N$185,0)),0)</f>
        <v>0</v>
      </c>
      <c r="BB66" s="115" t="e">
        <f t="shared" si="19"/>
        <v>#N/A</v>
      </c>
      <c r="BC66" s="15"/>
      <c r="BD66" s="115">
        <f t="shared" si="20"/>
        <v>1</v>
      </c>
      <c r="BE66" s="47" t="str">
        <f t="shared" si="21"/>
        <v>MJ/-</v>
      </c>
      <c r="BF66" s="15"/>
      <c r="BG66" s="218">
        <f>IFERROR(INDEX(tabellen_EMD!$C$240:$Z$248,MATCH($J66,tabellen_EMD!$C$240:$C$248,0),MATCH($B66,tabellen_EMD!$C$240:$Z$240,0))*(F66&lt;&gt;"zomercomfort"),0)</f>
        <v>0</v>
      </c>
      <c r="BH66" s="47" t="str">
        <f t="shared" si="22"/>
        <v>kg/-</v>
      </c>
      <c r="BI66" s="15"/>
    </row>
    <row r="67" spans="1:61">
      <c r="A67" s="86"/>
      <c r="B67" s="47" t="str">
        <f t="shared" si="12"/>
        <v>VABI EPA-U</v>
      </c>
      <c r="C67" s="47" t="str">
        <f t="shared" si="10"/>
        <v>ISSO 75.3</v>
      </c>
      <c r="D67" s="943"/>
      <c r="E67" s="14"/>
      <c r="F67" s="22" t="s">
        <v>503</v>
      </c>
      <c r="G67" s="22"/>
      <c r="H67" s="22"/>
      <c r="I67" s="905"/>
      <c r="J67" s="1685"/>
      <c r="K67" s="1685"/>
      <c r="L67" s="16"/>
      <c r="M67" s="25"/>
      <c r="N67" s="22" t="str">
        <f t="shared" si="13"/>
        <v>MJ</v>
      </c>
      <c r="O67" s="15"/>
      <c r="P67" s="154"/>
      <c r="Q67" s="59">
        <f t="shared" si="14"/>
        <v>1</v>
      </c>
      <c r="R67" s="15"/>
      <c r="S67" s="24">
        <f t="shared" si="15"/>
        <v>0</v>
      </c>
      <c r="T67" s="47" t="str">
        <f>IFERROR(INDEX(energiedragers_EP_eenheden,MATCH($J67,tabellen_EMD!$C$196:$C$204,0),MATCH($B67,energiedragers_EP_eenheden_titel,0)),"-")</f>
        <v>-</v>
      </c>
      <c r="U67" s="39"/>
      <c r="V67" s="154"/>
      <c r="W67" s="59">
        <f t="shared" si="16"/>
        <v>0</v>
      </c>
      <c r="X67" s="47" t="str">
        <f t="shared" si="17"/>
        <v>kg/-</v>
      </c>
      <c r="Y67" s="12"/>
      <c r="Z67" s="24">
        <f t="shared" si="18"/>
        <v>0</v>
      </c>
      <c r="AA67" s="47" t="s">
        <v>468</v>
      </c>
      <c r="AB67" s="67"/>
      <c r="AC67" s="995"/>
      <c r="AD67" s="1405"/>
      <c r="AE67" s="1405"/>
      <c r="AF67" s="1405"/>
      <c r="AG67" s="1405"/>
      <c r="AH67" s="1405"/>
      <c r="AI67" s="1405"/>
      <c r="AJ67" s="1405"/>
      <c r="AK67" s="1405"/>
      <c r="AL67" s="1405"/>
      <c r="AM67" s="1405"/>
      <c r="AN67" s="1405"/>
      <c r="AO67" s="1405"/>
      <c r="AP67" s="1405"/>
      <c r="AQ67" s="1405"/>
      <c r="AR67" s="1405"/>
      <c r="AS67" s="67"/>
      <c r="AT67" s="995"/>
      <c r="AU67" s="12"/>
      <c r="AV67" s="22" t="str">
        <f t="shared" si="9"/>
        <v>tapwater</v>
      </c>
      <c r="AW67" s="46">
        <f t="shared" si="11"/>
        <v>0</v>
      </c>
      <c r="AX67" s="24"/>
      <c r="AY67" s="12"/>
      <c r="AZ67" s="115">
        <v>1</v>
      </c>
      <c r="BA67" s="24">
        <f>IFERROR(INDEX(tabellen_EMD!$C$185:$N$193,MATCH($J67,tabellen_EMD!$C$185:$C$193,0),MATCH(BA$63,tabellen_EMD!$C$185:$N$185,0)),0)</f>
        <v>0</v>
      </c>
      <c r="BB67" s="115" t="e">
        <f t="shared" si="19"/>
        <v>#N/A</v>
      </c>
      <c r="BC67" s="15"/>
      <c r="BD67" s="115">
        <f t="shared" si="20"/>
        <v>1</v>
      </c>
      <c r="BE67" s="47" t="str">
        <f t="shared" si="21"/>
        <v>MJ/-</v>
      </c>
      <c r="BF67" s="15"/>
      <c r="BG67" s="218">
        <f>IFERROR(INDEX(tabellen_EMD!$C$240:$Z$248,MATCH($J67,tabellen_EMD!$C$240:$C$248,0),MATCH($B67,tabellen_EMD!$C$240:$Z$240,0))*(F67&lt;&gt;"zomercomfort"),0)</f>
        <v>0</v>
      </c>
      <c r="BH67" s="47" t="str">
        <f t="shared" si="22"/>
        <v>kg/-</v>
      </c>
      <c r="BI67" s="15"/>
    </row>
    <row r="68" spans="1:61">
      <c r="A68" s="86"/>
      <c r="B68" s="47" t="str">
        <f t="shared" si="12"/>
        <v>VABI EPA-U</v>
      </c>
      <c r="C68" s="47" t="str">
        <f t="shared" si="10"/>
        <v>ISSO 75.3</v>
      </c>
      <c r="D68" s="943"/>
      <c r="E68" s="14"/>
      <c r="F68" s="22" t="s">
        <v>505</v>
      </c>
      <c r="G68" s="22"/>
      <c r="H68" s="22"/>
      <c r="I68" s="905"/>
      <c r="J68" s="1691" t="s">
        <v>465</v>
      </c>
      <c r="K68" s="1698"/>
      <c r="L68" s="16"/>
      <c r="M68" s="25"/>
      <c r="N68" s="22" t="str">
        <f t="shared" si="13"/>
        <v>MJ</v>
      </c>
      <c r="O68" s="15"/>
      <c r="P68" s="39"/>
      <c r="Q68" s="59">
        <f t="shared" si="14"/>
        <v>2.5641025641025639</v>
      </c>
      <c r="R68" s="15"/>
      <c r="S68" s="24">
        <f t="shared" si="15"/>
        <v>0</v>
      </c>
      <c r="T68" s="47" t="str">
        <f>IFERROR(INDEX(energiedragers_EP_eenheden,MATCH($J68,tabellen_EMD!$C$196:$C$204,0),MATCH($B68,energiedragers_EP_eenheden_titel,0)),"-")</f>
        <v>kWh</v>
      </c>
      <c r="U68" s="39"/>
      <c r="V68" s="15"/>
      <c r="W68" s="59">
        <f t="shared" si="16"/>
        <v>0.56599999999999995</v>
      </c>
      <c r="X68" s="47" t="str">
        <f t="shared" si="17"/>
        <v>kg/kWh</v>
      </c>
      <c r="Y68" s="12"/>
      <c r="Z68" s="24">
        <f t="shared" si="18"/>
        <v>0</v>
      </c>
      <c r="AA68" s="47" t="s">
        <v>468</v>
      </c>
      <c r="AB68" s="67"/>
      <c r="AC68" s="995"/>
      <c r="AD68" s="1405"/>
      <c r="AE68" s="1405"/>
      <c r="AF68" s="1405"/>
      <c r="AG68" s="1405"/>
      <c r="AH68" s="1405"/>
      <c r="AI68" s="1405"/>
      <c r="AJ68" s="1405"/>
      <c r="AK68" s="1405"/>
      <c r="AL68" s="1405"/>
      <c r="AM68" s="1405"/>
      <c r="AN68" s="1405"/>
      <c r="AO68" s="1405"/>
      <c r="AP68" s="1405"/>
      <c r="AQ68" s="1405"/>
      <c r="AR68" s="1405"/>
      <c r="AS68" s="67"/>
      <c r="AT68" s="995"/>
      <c r="AU68" s="12"/>
      <c r="AV68" s="22" t="str">
        <f t="shared" si="9"/>
        <v>bevochtiging</v>
      </c>
      <c r="AW68" s="46" t="str">
        <f t="shared" si="11"/>
        <v>elektriciteit</v>
      </c>
      <c r="AX68" s="24"/>
      <c r="AY68" s="12"/>
      <c r="AZ68" s="115">
        <v>1</v>
      </c>
      <c r="BA68" s="24">
        <f>IFERROR(INDEX(tabellen_EMD!$C$185:$N$193,MATCH($J68,tabellen_EMD!$C$185:$C$193,0),MATCH(BA$63,tabellen_EMD!$C$185:$N$185,0)),0)</f>
        <v>0</v>
      </c>
      <c r="BB68" s="115">
        <f t="shared" si="19"/>
        <v>2.5641025641025639</v>
      </c>
      <c r="BC68" s="15"/>
      <c r="BD68" s="115">
        <f t="shared" si="20"/>
        <v>3.6</v>
      </c>
      <c r="BE68" s="47" t="str">
        <f t="shared" si="21"/>
        <v>MJ/kWh</v>
      </c>
      <c r="BF68" s="15"/>
      <c r="BG68" s="218">
        <f>IFERROR(INDEX(tabellen_EMD!$C$240:$Z$248,MATCH($J68,tabellen_EMD!$C$240:$C$248,0),MATCH($B68,tabellen_EMD!$C$240:$Z$240,0))*(F68&lt;&gt;"zomercomfort"),0)</f>
        <v>0.56599999999999995</v>
      </c>
      <c r="BH68" s="47" t="str">
        <f t="shared" si="22"/>
        <v>kg/kWh</v>
      </c>
      <c r="BI68" s="15"/>
    </row>
    <row r="69" spans="1:61">
      <c r="A69" s="86"/>
      <c r="B69" s="47" t="str">
        <f t="shared" si="12"/>
        <v>VABI EPA-U</v>
      </c>
      <c r="C69" s="47" t="str">
        <f t="shared" si="10"/>
        <v>ISSO 75.3</v>
      </c>
      <c r="D69" s="943"/>
      <c r="E69" s="14"/>
      <c r="F69" s="22" t="s">
        <v>507</v>
      </c>
      <c r="G69" s="22"/>
      <c r="H69" s="22"/>
      <c r="I69" s="905"/>
      <c r="J69" s="1691" t="s">
        <v>465</v>
      </c>
      <c r="K69" s="1698"/>
      <c r="L69" s="16"/>
      <c r="M69" s="25"/>
      <c r="N69" s="22" t="str">
        <f t="shared" si="13"/>
        <v>MJ</v>
      </c>
      <c r="O69" s="15"/>
      <c r="P69" s="39"/>
      <c r="Q69" s="59">
        <f t="shared" si="14"/>
        <v>2.5641025641025639</v>
      </c>
      <c r="R69" s="15"/>
      <c r="S69" s="24">
        <f t="shared" si="15"/>
        <v>0</v>
      </c>
      <c r="T69" s="47" t="str">
        <f>IFERROR(INDEX(energiedragers_EP_eenheden,MATCH($J69,tabellen_EMD!$C$196:$C$204,0),MATCH($B69,energiedragers_EP_eenheden_titel,0)),"-")</f>
        <v>kWh</v>
      </c>
      <c r="U69" s="39"/>
      <c r="V69" s="15"/>
      <c r="W69" s="59">
        <f t="shared" si="16"/>
        <v>0.56599999999999995</v>
      </c>
      <c r="X69" s="47" t="str">
        <f t="shared" si="17"/>
        <v>kg/kWh</v>
      </c>
      <c r="Y69" s="12"/>
      <c r="Z69" s="24">
        <f t="shared" si="18"/>
        <v>0</v>
      </c>
      <c r="AA69" s="47" t="s">
        <v>468</v>
      </c>
      <c r="AB69" s="67"/>
      <c r="AC69" s="995"/>
      <c r="AD69" s="1405"/>
      <c r="AE69" s="1405"/>
      <c r="AF69" s="1405"/>
      <c r="AG69" s="1405"/>
      <c r="AH69" s="1405"/>
      <c r="AI69" s="1405"/>
      <c r="AJ69" s="1405"/>
      <c r="AK69" s="1405"/>
      <c r="AL69" s="1405"/>
      <c r="AM69" s="1405"/>
      <c r="AN69" s="1405"/>
      <c r="AO69" s="1405"/>
      <c r="AP69" s="1405"/>
      <c r="AQ69" s="1405"/>
      <c r="AR69" s="1405"/>
      <c r="AS69" s="67"/>
      <c r="AT69" s="995"/>
      <c r="AU69" s="12"/>
      <c r="AV69" s="22" t="str">
        <f t="shared" si="9"/>
        <v>verlichting</v>
      </c>
      <c r="AW69" s="46" t="str">
        <f t="shared" si="11"/>
        <v>elektriciteit</v>
      </c>
      <c r="AX69" s="24"/>
      <c r="AY69" s="12"/>
      <c r="AZ69" s="115">
        <v>1</v>
      </c>
      <c r="BA69" s="24">
        <f>IFERROR(INDEX(tabellen_EMD!$C$185:$N$193,MATCH($J69,tabellen_EMD!$C$185:$C$193,0),MATCH(BA$63,tabellen_EMD!$C$185:$N$185,0)),0)</f>
        <v>0</v>
      </c>
      <c r="BB69" s="115">
        <f t="shared" si="19"/>
        <v>2.5641025641025639</v>
      </c>
      <c r="BC69" s="15"/>
      <c r="BD69" s="115">
        <f t="shared" si="20"/>
        <v>3.6</v>
      </c>
      <c r="BE69" s="47" t="str">
        <f t="shared" si="21"/>
        <v>MJ/kWh</v>
      </c>
      <c r="BF69" s="15"/>
      <c r="BG69" s="218">
        <f>IFERROR(INDEX(tabellen_EMD!$C$240:$Z$248,MATCH($J69,tabellen_EMD!$C$240:$C$248,0),MATCH($B69,tabellen_EMD!$C$240:$Z$240,0))*(F69&lt;&gt;"zomercomfort"),0)</f>
        <v>0.56599999999999995</v>
      </c>
      <c r="BH69" s="47" t="str">
        <f t="shared" si="22"/>
        <v>kg/kWh</v>
      </c>
      <c r="BI69" s="15"/>
    </row>
    <row r="70" spans="1:61" s="952" customFormat="1">
      <c r="B70" s="47" t="str">
        <f t="shared" si="12"/>
        <v>VABI EPA-U</v>
      </c>
      <c r="C70" s="47" t="str">
        <f t="shared" si="10"/>
        <v>ISSO 75.3</v>
      </c>
      <c r="D70" s="943"/>
      <c r="E70" s="953"/>
      <c r="F70" s="954" t="s">
        <v>1374</v>
      </c>
      <c r="G70" s="954"/>
      <c r="H70" s="954"/>
      <c r="I70" s="955"/>
      <c r="J70" s="1691" t="s">
        <v>465</v>
      </c>
      <c r="K70" s="1698"/>
      <c r="L70" s="140"/>
      <c r="M70" s="1325"/>
      <c r="N70" s="954" t="str">
        <f t="shared" si="13"/>
        <v>MJ</v>
      </c>
      <c r="O70" s="956"/>
      <c r="P70" s="39"/>
      <c r="Q70" s="59">
        <f t="shared" si="14"/>
        <v>2.5641025641025639</v>
      </c>
      <c r="R70" s="15"/>
      <c r="S70" s="24">
        <f t="shared" si="15"/>
        <v>0</v>
      </c>
      <c r="T70" s="47" t="str">
        <f>IFERROR(INDEX(energiedragers_EP_eenheden,MATCH($J70,tabellen_EMD!$C$196:$C$204,0),MATCH($B70,energiedragers_EP_eenheden_titel,0)),"-")</f>
        <v>kWh</v>
      </c>
      <c r="U70" s="39"/>
      <c r="V70" s="15"/>
      <c r="W70" s="59">
        <f t="shared" si="16"/>
        <v>0.56599999999999995</v>
      </c>
      <c r="X70" s="47" t="str">
        <f t="shared" si="17"/>
        <v>kg/kWh</v>
      </c>
      <c r="Y70" s="12"/>
      <c r="Z70" s="24">
        <f t="shared" si="18"/>
        <v>0</v>
      </c>
      <c r="AA70" s="47" t="s">
        <v>468</v>
      </c>
      <c r="AB70" s="1392"/>
      <c r="AC70" s="1000"/>
      <c r="AD70" s="1405"/>
      <c r="AE70" s="1405"/>
      <c r="AF70" s="1405"/>
      <c r="AG70" s="1405"/>
      <c r="AH70" s="1405"/>
      <c r="AI70" s="1405"/>
      <c r="AJ70" s="1405"/>
      <c r="AK70" s="1405"/>
      <c r="AL70" s="1405"/>
      <c r="AM70" s="1405"/>
      <c r="AN70" s="1405"/>
      <c r="AO70" s="1405"/>
      <c r="AP70" s="1405"/>
      <c r="AQ70" s="1405"/>
      <c r="AR70" s="1405"/>
      <c r="AS70" s="1392"/>
      <c r="AT70" s="1000"/>
      <c r="AU70" s="957"/>
      <c r="AV70" s="958" t="str">
        <f t="shared" si="9"/>
        <v>apparatuur</v>
      </c>
      <c r="AW70" s="959" t="str">
        <f t="shared" si="11"/>
        <v>elektriciteit</v>
      </c>
      <c r="AX70" s="960"/>
      <c r="AY70" s="957"/>
      <c r="AZ70" s="115">
        <v>0</v>
      </c>
      <c r="BA70" s="24">
        <f>IFERROR(INDEX(tabellen_EMD!$C$185:$N$193,MATCH($J70,tabellen_EMD!$C$185:$C$193,0),MATCH(BA$63,tabellen_EMD!$C$185:$N$185,0)),0)</f>
        <v>0</v>
      </c>
      <c r="BB70" s="962">
        <f t="shared" si="19"/>
        <v>2.5641025641025639</v>
      </c>
      <c r="BC70" s="963"/>
      <c r="BD70" s="962">
        <f t="shared" si="20"/>
        <v>3.6</v>
      </c>
      <c r="BE70" s="961" t="str">
        <f t="shared" si="21"/>
        <v>MJ/kWh</v>
      </c>
      <c r="BF70" s="963"/>
      <c r="BG70" s="964">
        <f>IFERROR(INDEX(tabellen_EMD!$C$240:$Z$248,MATCH($J70,tabellen_EMD!$C$240:$C$248,0),MATCH($B70,tabellen_EMD!$C$240:$Z$240,0))*(F70&lt;&gt;"zomercomfort"),0)</f>
        <v>0.56599999999999995</v>
      </c>
      <c r="BH70" s="961" t="str">
        <f t="shared" si="22"/>
        <v>kg/kWh</v>
      </c>
      <c r="BI70" s="963"/>
    </row>
    <row r="71" spans="1:61">
      <c r="A71" s="18"/>
      <c r="B71" s="47" t="str">
        <f t="shared" si="12"/>
        <v>VABI EPA-U</v>
      </c>
      <c r="C71" s="47" t="str">
        <f t="shared" si="10"/>
        <v>ISSO 75.3</v>
      </c>
      <c r="D71" s="943"/>
      <c r="E71" s="14"/>
      <c r="F71" s="22" t="s">
        <v>1375</v>
      </c>
      <c r="G71" s="22"/>
      <c r="H71" s="22"/>
      <c r="I71" s="905"/>
      <c r="J71" s="1691" t="s">
        <v>465</v>
      </c>
      <c r="K71" s="1698"/>
      <c r="L71" s="16"/>
      <c r="M71" s="25"/>
      <c r="N71" s="22" t="str">
        <f t="shared" si="13"/>
        <v>MJ</v>
      </c>
      <c r="O71" s="15"/>
      <c r="P71" s="39"/>
      <c r="Q71" s="59">
        <f t="shared" si="14"/>
        <v>2.5641025641025639</v>
      </c>
      <c r="R71" s="15"/>
      <c r="S71" s="24">
        <f t="shared" si="15"/>
        <v>0</v>
      </c>
      <c r="T71" s="47" t="str">
        <f>IFERROR(INDEX(energiedragers_EP_eenheden,MATCH($J71,tabellen_EMD!$C$196:$C$204,0),MATCH($B71,energiedragers_EP_eenheden_titel,0)),"-")</f>
        <v>kWh</v>
      </c>
      <c r="U71" s="39"/>
      <c r="V71" s="15"/>
      <c r="W71" s="59">
        <f t="shared" si="16"/>
        <v>0.56599999999999995</v>
      </c>
      <c r="X71" s="47" t="str">
        <f t="shared" si="17"/>
        <v>kg/kWh</v>
      </c>
      <c r="Y71" s="12"/>
      <c r="Z71" s="24">
        <f t="shared" si="18"/>
        <v>0</v>
      </c>
      <c r="AA71" s="47" t="s">
        <v>468</v>
      </c>
      <c r="AB71" s="67"/>
      <c r="AC71" s="995"/>
      <c r="AD71" s="1405"/>
      <c r="AE71" s="1405"/>
      <c r="AF71" s="1405"/>
      <c r="AG71" s="1405"/>
      <c r="AH71" s="1405"/>
      <c r="AI71" s="1405"/>
      <c r="AJ71" s="1405"/>
      <c r="AK71" s="1405"/>
      <c r="AL71" s="1405"/>
      <c r="AM71" s="1405"/>
      <c r="AN71" s="1405"/>
      <c r="AO71" s="1405"/>
      <c r="AP71" s="1405"/>
      <c r="AQ71" s="1405"/>
      <c r="AR71" s="1405"/>
      <c r="AS71" s="67"/>
      <c r="AT71" s="995"/>
      <c r="AU71" s="12"/>
      <c r="AV71" s="22" t="str">
        <f t="shared" si="9"/>
        <v>ventilatoren</v>
      </c>
      <c r="AW71" s="46" t="str">
        <f t="shared" si="11"/>
        <v>elektriciteit</v>
      </c>
      <c r="AX71" s="24"/>
      <c r="AY71" s="12"/>
      <c r="AZ71" s="115">
        <v>1</v>
      </c>
      <c r="BA71" s="24">
        <f>IFERROR(INDEX(tabellen_EMD!$C$185:$N$193,MATCH($J71,tabellen_EMD!$C$185:$C$193,0),MATCH(BA$63,tabellen_EMD!$C$185:$N$185,0)),0)</f>
        <v>0</v>
      </c>
      <c r="BB71" s="115">
        <f t="shared" si="19"/>
        <v>2.5641025641025639</v>
      </c>
      <c r="BC71" s="15"/>
      <c r="BD71" s="115">
        <f t="shared" si="20"/>
        <v>3.6</v>
      </c>
      <c r="BE71" s="47" t="str">
        <f t="shared" si="21"/>
        <v>MJ/kWh</v>
      </c>
      <c r="BF71" s="15"/>
      <c r="BG71" s="218">
        <f>IFERROR(INDEX(tabellen_EMD!$C$240:$Z$248,MATCH($J71,tabellen_EMD!$C$240:$C$248,0),MATCH($B71,tabellen_EMD!$C$240:$Z$240,0))*(F71&lt;&gt;"zomercomfort"),0)</f>
        <v>0.56599999999999995</v>
      </c>
      <c r="BH71" s="47" t="str">
        <f t="shared" si="22"/>
        <v>kg/kWh</v>
      </c>
      <c r="BI71" s="15"/>
    </row>
    <row r="72" spans="1:61">
      <c r="A72" s="18"/>
      <c r="B72" s="47" t="str">
        <f t="shared" si="12"/>
        <v>VABI EPA-U</v>
      </c>
      <c r="C72" s="47" t="str">
        <f t="shared" si="10"/>
        <v>ISSO 75.3</v>
      </c>
      <c r="D72" s="943"/>
      <c r="E72" s="14"/>
      <c r="F72" s="22" t="s">
        <v>1376</v>
      </c>
      <c r="G72" s="22"/>
      <c r="H72" s="22"/>
      <c r="I72" s="905"/>
      <c r="J72" s="1691" t="s">
        <v>465</v>
      </c>
      <c r="K72" s="1698"/>
      <c r="L72" s="16"/>
      <c r="M72" s="25"/>
      <c r="N72" s="22" t="str">
        <f t="shared" si="13"/>
        <v>MJ</v>
      </c>
      <c r="O72" s="15"/>
      <c r="P72" s="39"/>
      <c r="Q72" s="59">
        <f t="shared" si="14"/>
        <v>2.5641025641025639</v>
      </c>
      <c r="R72" s="15"/>
      <c r="S72" s="24">
        <f t="shared" si="15"/>
        <v>0</v>
      </c>
      <c r="T72" s="47" t="str">
        <f>IFERROR(INDEX(energiedragers_EP_eenheden,MATCH($J72,tabellen_EMD!$C$196:$C$204,0),MATCH($B72,energiedragers_EP_eenheden_titel,0)),"-")</f>
        <v>kWh</v>
      </c>
      <c r="U72" s="39"/>
      <c r="V72" s="15"/>
      <c r="W72" s="59">
        <f t="shared" si="16"/>
        <v>0.56599999999999995</v>
      </c>
      <c r="X72" s="47" t="str">
        <f t="shared" si="17"/>
        <v>kg/kWh</v>
      </c>
      <c r="Y72" s="12"/>
      <c r="Z72" s="24">
        <f t="shared" si="18"/>
        <v>0</v>
      </c>
      <c r="AA72" s="47" t="s">
        <v>468</v>
      </c>
      <c r="AB72" s="67"/>
      <c r="AC72" s="995"/>
      <c r="AD72" s="1405"/>
      <c r="AE72" s="1405"/>
      <c r="AF72" s="1405"/>
      <c r="AG72" s="1405"/>
      <c r="AH72" s="1405"/>
      <c r="AI72" s="1405"/>
      <c r="AJ72" s="1405"/>
      <c r="AK72" s="1405"/>
      <c r="AL72" s="1405"/>
      <c r="AM72" s="1405"/>
      <c r="AN72" s="1405"/>
      <c r="AO72" s="1405"/>
      <c r="AP72" s="1405"/>
      <c r="AQ72" s="1405"/>
      <c r="AR72" s="1405"/>
      <c r="AS72" s="67"/>
      <c r="AT72" s="995"/>
      <c r="AU72" s="12"/>
      <c r="AV72" s="22" t="str">
        <f t="shared" si="9"/>
        <v>pompen</v>
      </c>
      <c r="AW72" s="46" t="str">
        <f t="shared" si="11"/>
        <v>elektriciteit</v>
      </c>
      <c r="AX72" s="24"/>
      <c r="AY72" s="12"/>
      <c r="AZ72" s="115">
        <v>1</v>
      </c>
      <c r="BA72" s="24">
        <f>IFERROR(INDEX(tabellen_EMD!$C$185:$N$193,MATCH($J72,tabellen_EMD!$C$185:$C$193,0),MATCH(BA$63,tabellen_EMD!$C$185:$N$185,0)),0)</f>
        <v>0</v>
      </c>
      <c r="BB72" s="115">
        <f t="shared" si="19"/>
        <v>2.5641025641025639</v>
      </c>
      <c r="BC72" s="899"/>
      <c r="BD72" s="115">
        <f t="shared" si="20"/>
        <v>3.6</v>
      </c>
      <c r="BE72" s="47" t="str">
        <f t="shared" si="21"/>
        <v>MJ/kWh</v>
      </c>
      <c r="BF72" s="899"/>
      <c r="BG72" s="218">
        <f>IFERROR(INDEX(tabellen_EMD!$C$240:$Z$248,MATCH($J72,tabellen_EMD!$C$240:$C$248,0),MATCH($B72,tabellen_EMD!$C$240:$Z$240,0))*(F72&lt;&gt;"zomercomfort"),0)</f>
        <v>0.56599999999999995</v>
      </c>
      <c r="BH72" s="47" t="str">
        <f t="shared" si="22"/>
        <v>kg/kWh</v>
      </c>
      <c r="BI72" s="899"/>
    </row>
    <row r="73" spans="1:61" s="18" customFormat="1">
      <c r="A73" s="139" t="s">
        <v>396</v>
      </c>
      <c r="B73" s="47" t="str">
        <f t="shared" si="12"/>
        <v>VABI EPA-U</v>
      </c>
      <c r="C73" s="47" t="str">
        <f t="shared" si="10"/>
        <v>ISSO 75.3</v>
      </c>
      <c r="D73" s="943"/>
      <c r="E73" s="14"/>
      <c r="F73" s="22" t="s">
        <v>1467</v>
      </c>
      <c r="G73" s="22"/>
      <c r="H73" s="22"/>
      <c r="I73" s="905"/>
      <c r="J73" s="1691" t="s">
        <v>465</v>
      </c>
      <c r="K73" s="1698"/>
      <c r="L73" s="16"/>
      <c r="M73" s="25"/>
      <c r="N73" s="22" t="str">
        <f t="shared" si="13"/>
        <v>MJ</v>
      </c>
      <c r="O73" s="15"/>
      <c r="P73" s="39"/>
      <c r="Q73" s="59">
        <f t="shared" si="14"/>
        <v>2.5641025641025639</v>
      </c>
      <c r="R73" s="15"/>
      <c r="S73" s="24">
        <f t="shared" si="15"/>
        <v>0</v>
      </c>
      <c r="T73" s="47" t="str">
        <f>IFERROR(INDEX(energiedragers_EP_eenheden,MATCH($J73,tabellen_EMD!$C$196:$C$204,0),MATCH($B73,energiedragers_EP_eenheden_titel,0)),"-")</f>
        <v>kWh</v>
      </c>
      <c r="U73" s="39"/>
      <c r="V73" s="15"/>
      <c r="W73" s="59">
        <f t="shared" si="16"/>
        <v>0.56599999999999995</v>
      </c>
      <c r="X73" s="47" t="str">
        <f t="shared" si="17"/>
        <v>kg/kWh</v>
      </c>
      <c r="Y73" s="12"/>
      <c r="Z73" s="24">
        <f t="shared" si="18"/>
        <v>0</v>
      </c>
      <c r="AA73" s="47" t="s">
        <v>468</v>
      </c>
      <c r="AB73" s="67"/>
      <c r="AC73" s="995"/>
      <c r="AD73" s="1405"/>
      <c r="AE73" s="1405"/>
      <c r="AF73" s="1405"/>
      <c r="AG73" s="1405"/>
      <c r="AH73" s="1405"/>
      <c r="AI73" s="1405"/>
      <c r="AJ73" s="1405"/>
      <c r="AK73" s="1405"/>
      <c r="AL73" s="1405"/>
      <c r="AM73" s="1405"/>
      <c r="AN73" s="1405"/>
      <c r="AO73" s="1405"/>
      <c r="AP73" s="1405"/>
      <c r="AQ73" s="1405"/>
      <c r="AR73" s="1405"/>
      <c r="AS73" s="67"/>
      <c r="AT73" s="995"/>
      <c r="AU73" s="12"/>
      <c r="AV73" s="22" t="str">
        <f t="shared" si="9"/>
        <v>pv-cellen</v>
      </c>
      <c r="AW73" s="46" t="str">
        <f t="shared" si="11"/>
        <v>elektriciteit</v>
      </c>
      <c r="AX73" s="24"/>
      <c r="AY73" s="12"/>
      <c r="AZ73" s="115">
        <v>1</v>
      </c>
      <c r="BA73" s="24">
        <f>IFERROR(INDEX(tabellen_EMD!$C$185:$N$193,MATCH($J73,tabellen_EMD!$C$185:$C$193,0),MATCH(BA$63,tabellen_EMD!$C$185:$N$185,0)),0)</f>
        <v>0</v>
      </c>
      <c r="BB73" s="115">
        <f t="shared" si="19"/>
        <v>2.5641025641025639</v>
      </c>
      <c r="BC73" s="899"/>
      <c r="BD73" s="115">
        <f t="shared" si="20"/>
        <v>3.6</v>
      </c>
      <c r="BE73" s="47" t="str">
        <f t="shared" si="21"/>
        <v>MJ/kWh</v>
      </c>
      <c r="BF73" s="899"/>
      <c r="BG73" s="218">
        <f>IFERROR(INDEX(tabellen_EMD!$C$240:$Z$248,MATCH($J73,tabellen_EMD!$C$240:$C$248,0),MATCH($B73,tabellen_EMD!$C$240:$Z$240,0))*(F73&lt;&gt;"zomercomfort"),0)</f>
        <v>0.56599999999999995</v>
      </c>
      <c r="BH73" s="47" t="str">
        <f t="shared" si="22"/>
        <v>kg/kWh</v>
      </c>
      <c r="BI73" s="899"/>
    </row>
    <row r="74" spans="1:61">
      <c r="A74" s="18"/>
      <c r="B74" s="47" t="str">
        <f t="shared" si="12"/>
        <v>VABI EPA-U</v>
      </c>
      <c r="C74" s="47" t="str">
        <f t="shared" si="10"/>
        <v>ISSO 75.3</v>
      </c>
      <c r="D74" s="943"/>
      <c r="E74" s="14"/>
      <c r="F74" s="22" t="s">
        <v>1468</v>
      </c>
      <c r="G74" s="22"/>
      <c r="H74" s="22"/>
      <c r="I74" s="905"/>
      <c r="J74" s="1691" t="s">
        <v>463</v>
      </c>
      <c r="K74" s="1698"/>
      <c r="L74" s="16"/>
      <c r="M74" s="25"/>
      <c r="N74" s="22" t="str">
        <f t="shared" si="13"/>
        <v>MJ</v>
      </c>
      <c r="O74" s="15"/>
      <c r="P74" s="39"/>
      <c r="Q74" s="59">
        <f t="shared" si="14"/>
        <v>1</v>
      </c>
      <c r="R74" s="15"/>
      <c r="S74" s="24">
        <f t="shared" si="15"/>
        <v>0</v>
      </c>
      <c r="T74" s="47" t="str">
        <f>IFERROR(INDEX(energiedragers_EP_eenheden,MATCH($J74,tabellen_EMD!$C$196:$C$204,0),MATCH($B74,energiedragers_EP_eenheden_titel,0)),"-")</f>
        <v>m3</v>
      </c>
      <c r="U74" s="39"/>
      <c r="V74" s="15"/>
      <c r="W74" s="59">
        <f t="shared" si="16"/>
        <v>1.78</v>
      </c>
      <c r="X74" s="47" t="str">
        <f t="shared" si="17"/>
        <v>kg/m3</v>
      </c>
      <c r="Y74" s="12"/>
      <c r="Z74" s="24">
        <f t="shared" si="18"/>
        <v>0</v>
      </c>
      <c r="AA74" s="47" t="s">
        <v>468</v>
      </c>
      <c r="AB74" s="67"/>
      <c r="AC74" s="995"/>
      <c r="AD74" s="1405"/>
      <c r="AE74" s="1405"/>
      <c r="AF74" s="1405"/>
      <c r="AG74" s="1405"/>
      <c r="AH74" s="1405"/>
      <c r="AI74" s="1405"/>
      <c r="AJ74" s="1405"/>
      <c r="AK74" s="1405"/>
      <c r="AL74" s="1405"/>
      <c r="AM74" s="1405"/>
      <c r="AN74" s="1405"/>
      <c r="AO74" s="1405"/>
      <c r="AP74" s="1405"/>
      <c r="AQ74" s="1405"/>
      <c r="AR74" s="1405"/>
      <c r="AS74" s="67"/>
      <c r="AT74" s="995"/>
      <c r="AU74" s="12"/>
      <c r="AV74" s="22" t="str">
        <f t="shared" si="9"/>
        <v>warmtekracht</v>
      </c>
      <c r="AW74" s="46" t="str">
        <f t="shared" si="11"/>
        <v>aardgas</v>
      </c>
      <c r="AX74" s="24"/>
      <c r="AY74" s="12"/>
      <c r="AZ74" s="115">
        <v>1</v>
      </c>
      <c r="BA74" s="24">
        <f>IFERROR(INDEX(tabellen_EMD!$C$185:$N$193,MATCH($J74,tabellen_EMD!$C$185:$C$193,0),MATCH(BA$63,tabellen_EMD!$C$185:$N$185,0)),0)</f>
        <v>0</v>
      </c>
      <c r="BB74" s="115">
        <f t="shared" si="19"/>
        <v>1</v>
      </c>
      <c r="BC74" s="899"/>
      <c r="BD74" s="115">
        <f t="shared" si="20"/>
        <v>35.17</v>
      </c>
      <c r="BE74" s="47" t="str">
        <f t="shared" si="21"/>
        <v>MJ/m3</v>
      </c>
      <c r="BF74" s="899"/>
      <c r="BG74" s="218">
        <f>IFERROR(INDEX(tabellen_EMD!$C$240:$Z$248,MATCH($J74,tabellen_EMD!$C$240:$C$248,0),MATCH($B74,tabellen_EMD!$C$240:$Z$240,0))*(F74&lt;&gt;"zomercomfort"),0)</f>
        <v>1.78</v>
      </c>
      <c r="BH74" s="47" t="str">
        <f t="shared" si="22"/>
        <v>kg/m3</v>
      </c>
      <c r="BI74" s="899"/>
    </row>
    <row r="75" spans="1:61" s="940" customFormat="1">
      <c r="A75" s="18"/>
      <c r="B75" s="47" t="str">
        <f t="shared" si="12"/>
        <v>VABI EPA-U</v>
      </c>
      <c r="C75" s="47" t="str">
        <f t="shared" si="10"/>
        <v>ISSO 75.3</v>
      </c>
      <c r="D75" s="945"/>
      <c r="E75" s="14"/>
      <c r="F75" s="15" t="s">
        <v>1391</v>
      </c>
      <c r="G75" s="15"/>
      <c r="H75" s="15"/>
      <c r="I75" s="905"/>
      <c r="J75" s="43" t="s">
        <v>1391</v>
      </c>
      <c r="K75" s="43"/>
      <c r="L75" s="16"/>
      <c r="M75" s="950">
        <f>SUM(M65:M69,M71:M72,M74)-M73</f>
        <v>0</v>
      </c>
      <c r="N75" s="15" t="str">
        <f t="shared" si="13"/>
        <v>MJ</v>
      </c>
      <c r="O75" s="15"/>
      <c r="P75" s="39"/>
      <c r="Q75" s="39"/>
      <c r="R75" s="15"/>
      <c r="S75" s="899"/>
      <c r="T75" s="899"/>
      <c r="U75" s="39"/>
      <c r="V75" s="39"/>
      <c r="W75" s="39"/>
      <c r="X75" s="39"/>
      <c r="Y75" s="12"/>
      <c r="Z75" s="922">
        <f>SUM(Z65:Z74)</f>
        <v>0</v>
      </c>
      <c r="AA75" s="939" t="s">
        <v>468</v>
      </c>
      <c r="AB75" s="67"/>
      <c r="AC75" s="995"/>
      <c r="AD75" s="1405"/>
      <c r="AE75" s="1405"/>
      <c r="AF75" s="1405"/>
      <c r="AG75" s="1405"/>
      <c r="AH75" s="1405"/>
      <c r="AI75" s="1405"/>
      <c r="AJ75" s="1405"/>
      <c r="AK75" s="1405"/>
      <c r="AL75" s="1405"/>
      <c r="AM75" s="1405"/>
      <c r="AN75" s="1405"/>
      <c r="AO75" s="1405"/>
      <c r="AP75" s="1405"/>
      <c r="AQ75" s="1405"/>
      <c r="AR75" s="1405"/>
      <c r="AS75" s="67"/>
      <c r="AT75" s="995"/>
      <c r="AU75" s="12"/>
      <c r="AV75" s="15" t="str">
        <f t="shared" si="9"/>
        <v>totaal</v>
      </c>
      <c r="AW75" s="15" t="str">
        <f t="shared" si="11"/>
        <v>totaal</v>
      </c>
      <c r="AX75" s="16"/>
      <c r="AY75" s="12"/>
      <c r="AZ75" s="12"/>
      <c r="BA75" s="12"/>
      <c r="BB75" s="12"/>
      <c r="BC75" s="899"/>
      <c r="BD75" s="899"/>
      <c r="BE75" s="899"/>
      <c r="BF75" s="899"/>
      <c r="BG75" s="15"/>
      <c r="BH75" s="15"/>
      <c r="BI75" s="899"/>
    </row>
    <row r="76" spans="1:61" s="49" customFormat="1">
      <c r="A76" s="212"/>
      <c r="B76" s="47" t="str">
        <f t="shared" si="12"/>
        <v>VABI EPA-U</v>
      </c>
      <c r="C76" s="47" t="str">
        <f t="shared" si="10"/>
        <v>ISSO 75.3</v>
      </c>
      <c r="D76" s="943"/>
      <c r="E76" s="50"/>
      <c r="F76" s="452" t="str">
        <f>IFERROR(IF($P$23=$B76,_xlfn.CONCAT("Bij 1.1 ingevuld: ",FIXED($J$35,2,FALSE)," ",$K$35),""),"invoer niet correct")</f>
        <v/>
      </c>
      <c r="G76" s="452"/>
      <c r="H76" s="452"/>
      <c r="I76" s="905"/>
      <c r="J76" s="909" t="str">
        <f>IFERROR(IF($P$23=$B76,IF(ABS((M76-$J$35)/$J$35)&gt;1%,"Afwijking &gt;1% met subthema 1.1",""),""),"invoer niet correct")</f>
        <v/>
      </c>
      <c r="K76" s="909"/>
      <c r="L76" s="910"/>
      <c r="M76" s="1339" t="str">
        <f>IFERROR(IF($P$23=$B76,M75/$J$59,""),"")</f>
        <v/>
      </c>
      <c r="N76" s="452" t="str">
        <f>IF($P$23=$B76,_xlfn.CONCAT(N75,"/m2"),"")</f>
        <v/>
      </c>
      <c r="O76" s="452"/>
      <c r="P76" s="39"/>
      <c r="Q76" s="39"/>
      <c r="R76" s="899"/>
      <c r="S76" s="899"/>
      <c r="T76" s="899"/>
      <c r="U76" s="39"/>
      <c r="V76" s="39"/>
      <c r="W76" s="910" t="str">
        <f>IFERROR(IF($P$23=$B76,_xlfn.CONCAT("Bij 1.1 ingevuld: ",FIXED($AG$40,1,FALSE)," ",$AH$40),""),"invoer niet correct")</f>
        <v/>
      </c>
      <c r="X76" s="909" t="str">
        <f>IFERROR(IF($P$23=$B76,IF(ABS((Z76-$AG$40)/$AG$40)&gt;1%,"afwijking &gt;1% met subthema 1.1",""),""),"invoer niet correct")</f>
        <v/>
      </c>
      <c r="Y76" s="12"/>
      <c r="Z76" s="951" t="str">
        <f>IFERROR(IF($P$23=$B76,Z75/$J$58,""),"")</f>
        <v/>
      </c>
      <c r="AA76" s="452" t="str">
        <f>IF($P$23=$B76,_xlfn.CONCAT(AA75,"/m2"),"")</f>
        <v/>
      </c>
      <c r="AB76" s="1393"/>
      <c r="AC76" s="1001"/>
      <c r="AD76" s="1405"/>
      <c r="AE76" s="1405"/>
      <c r="AF76" s="1405"/>
      <c r="AG76" s="1405"/>
      <c r="AH76" s="1405"/>
      <c r="AI76" s="1405"/>
      <c r="AJ76" s="1405"/>
      <c r="AK76" s="1405"/>
      <c r="AL76" s="1405"/>
      <c r="AM76" s="1405"/>
      <c r="AN76" s="1405"/>
      <c r="AO76" s="1405"/>
      <c r="AP76" s="1405"/>
      <c r="AQ76" s="1405"/>
      <c r="AR76" s="1405"/>
      <c r="AS76" s="1393"/>
      <c r="AT76" s="1001"/>
      <c r="AU76" s="12"/>
      <c r="AV76" s="452"/>
      <c r="AW76" s="452"/>
      <c r="AX76" s="452"/>
      <c r="AY76" s="452"/>
      <c r="AZ76" s="452"/>
      <c r="BA76" s="452"/>
      <c r="BB76" s="452"/>
      <c r="BC76" s="452"/>
      <c r="BD76" s="452"/>
      <c r="BE76" s="452"/>
      <c r="BF76" s="452"/>
      <c r="BG76" s="452"/>
      <c r="BH76" s="452"/>
      <c r="BI76" s="899"/>
    </row>
    <row r="77" spans="1:61" s="49" customFormat="1">
      <c r="A77" s="18"/>
      <c r="B77" s="47" t="str">
        <f t="shared" si="12"/>
        <v>VABI EPA-U</v>
      </c>
      <c r="C77" s="47" t="str">
        <f t="shared" si="10"/>
        <v>ISSO 75.3</v>
      </c>
      <c r="D77" s="943"/>
      <c r="E77" s="50"/>
      <c r="F77" s="43"/>
      <c r="G77" s="43"/>
      <c r="H77" s="43"/>
      <c r="I77" s="905"/>
      <c r="J77" s="44"/>
      <c r="K77" s="44"/>
      <c r="L77" s="44"/>
      <c r="M77" s="44"/>
      <c r="N77" s="44"/>
      <c r="O77" s="44"/>
      <c r="P77" s="39"/>
      <c r="Q77" s="39"/>
      <c r="R77" s="899"/>
      <c r="S77" s="899"/>
      <c r="T77" s="899"/>
      <c r="U77" s="39"/>
      <c r="V77" s="39"/>
      <c r="W77" s="39"/>
      <c r="X77" s="39"/>
      <c r="Y77" s="12"/>
      <c r="Z77" s="899"/>
      <c r="AA77" s="899"/>
      <c r="AB77" s="1393"/>
      <c r="AC77" s="1001"/>
      <c r="AD77" s="1405"/>
      <c r="AE77" s="1405"/>
      <c r="AF77" s="1405"/>
      <c r="AG77" s="1405"/>
      <c r="AH77" s="1405"/>
      <c r="AI77" s="1405"/>
      <c r="AJ77" s="1405"/>
      <c r="AK77" s="1405"/>
      <c r="AL77" s="1405"/>
      <c r="AM77" s="1405"/>
      <c r="AN77" s="1405"/>
      <c r="AO77" s="1405"/>
      <c r="AP77" s="1405"/>
      <c r="AQ77" s="1405"/>
      <c r="AR77" s="1405"/>
      <c r="AS77" s="1393"/>
      <c r="AT77" s="1001"/>
      <c r="AU77" s="12"/>
      <c r="AV77" s="12"/>
      <c r="AW77" s="12"/>
      <c r="AX77" s="12"/>
      <c r="AY77" s="12"/>
      <c r="AZ77" s="44"/>
      <c r="BA77" s="12"/>
      <c r="BB77" s="44"/>
      <c r="BC77" s="899"/>
      <c r="BD77" s="899"/>
      <c r="BE77" s="899"/>
      <c r="BF77" s="899"/>
      <c r="BG77" s="899"/>
      <c r="BH77" s="899"/>
      <c r="BI77" s="899"/>
    </row>
    <row r="78" spans="1:61">
      <c r="A78" s="86"/>
      <c r="B78" s="939" t="str">
        <f>tabellen_EMD!$C$182</f>
        <v>Energielabel utiliteit</v>
      </c>
      <c r="C78" s="939" t="str">
        <f>VLOOKUP(B78,'EP naar GPR4'!$AV$40:$AY$48,COLUMNS($AV$40:$AX$40),FALSE)</f>
        <v>ISSO 75.3</v>
      </c>
      <c r="D78" s="943"/>
      <c r="E78" s="14"/>
      <c r="F78" s="15" t="str">
        <f>_xlfn.CONCAT("Overnemen uit '",B78,"': ",VLOOKUP(B78,$AV$41:$AZ$48,COLUMNS($AV$40:$AZ$40),FALSE))</f>
        <v>Overnemen uit 'Energielabel utiliteit': Standaard energiegebruik voor dit gebouw</v>
      </c>
      <c r="G78" s="15"/>
      <c r="H78" s="15"/>
      <c r="I78" s="905"/>
      <c r="J78" s="43"/>
      <c r="K78" s="43"/>
      <c r="L78" s="16"/>
      <c r="M78" s="909" t="s">
        <v>1485</v>
      </c>
      <c r="N78" s="41"/>
      <c r="O78" s="41"/>
      <c r="P78" s="453" t="s">
        <v>1487</v>
      </c>
      <c r="Q78" s="39"/>
      <c r="R78" s="39"/>
      <c r="S78" s="453" t="s">
        <v>1484</v>
      </c>
      <c r="T78" s="39"/>
      <c r="U78" s="39"/>
      <c r="V78" s="453" t="s">
        <v>1613</v>
      </c>
      <c r="W78" s="39"/>
      <c r="X78" s="39"/>
      <c r="Y78" s="12"/>
      <c r="Z78" s="453" t="s">
        <v>1536</v>
      </c>
      <c r="AA78" s="12"/>
      <c r="AB78" s="67"/>
      <c r="AC78" s="995"/>
      <c r="AD78" s="1405"/>
      <c r="AE78" s="1405"/>
      <c r="AF78" s="1405"/>
      <c r="AG78" s="1405"/>
      <c r="AH78" s="1405"/>
      <c r="AI78" s="1405"/>
      <c r="AJ78" s="1405"/>
      <c r="AK78" s="1405"/>
      <c r="AL78" s="1405"/>
      <c r="AM78" s="1405"/>
      <c r="AN78" s="1405"/>
      <c r="AO78" s="1405"/>
      <c r="AP78" s="1405"/>
      <c r="AQ78" s="1405"/>
      <c r="AR78" s="1405"/>
      <c r="AS78" s="67"/>
      <c r="AT78" s="995"/>
      <c r="AU78" s="12"/>
      <c r="AV78" s="12"/>
      <c r="AW78" s="12"/>
      <c r="AX78" s="12"/>
      <c r="AY78" s="12"/>
      <c r="AZ78" s="888" t="str">
        <f>AZ$63</f>
        <v>Eenheid energie</v>
      </c>
      <c r="BA78" s="888" t="s">
        <v>1628</v>
      </c>
      <c r="BB78" s="888" t="str">
        <f>BB$63</f>
        <v>PEF finaal → primair</v>
      </c>
      <c r="BC78" s="452"/>
      <c r="BD78" s="452" t="str">
        <f>BD$63</f>
        <v>eenheden omrekenen</v>
      </c>
      <c r="BE78" s="452"/>
      <c r="BF78" s="452"/>
      <c r="BG78" s="888" t="str">
        <f>BG$63</f>
        <v>CO2</v>
      </c>
      <c r="BH78" s="39"/>
      <c r="BI78" s="899"/>
    </row>
    <row r="79" spans="1:61">
      <c r="A79" s="18"/>
      <c r="B79" s="47" t="str">
        <f t="shared" ref="B79:C85" si="23">B78</f>
        <v>Energielabel utiliteit</v>
      </c>
      <c r="C79" s="47" t="str">
        <f t="shared" si="23"/>
        <v>ISSO 75.3</v>
      </c>
      <c r="D79" s="943"/>
      <c r="E79" s="14"/>
      <c r="F79" s="892" t="s">
        <v>496</v>
      </c>
      <c r="G79" s="892"/>
      <c r="H79" s="892"/>
      <c r="I79" s="905"/>
      <c r="J79" s="909" t="s">
        <v>458</v>
      </c>
      <c r="K79" s="909"/>
      <c r="L79" s="889"/>
      <c r="M79" s="910" t="s">
        <v>1534</v>
      </c>
      <c r="N79" s="452" t="s">
        <v>204</v>
      </c>
      <c r="O79" s="39"/>
      <c r="P79" s="888" t="s">
        <v>1533</v>
      </c>
      <c r="Q79" s="910" t="s">
        <v>1532</v>
      </c>
      <c r="R79" s="452"/>
      <c r="S79" s="888" t="s">
        <v>1534</v>
      </c>
      <c r="T79" s="889" t="s">
        <v>204</v>
      </c>
      <c r="U79" s="39"/>
      <c r="V79" s="888" t="s">
        <v>1533</v>
      </c>
      <c r="W79" s="910" t="s">
        <v>1532</v>
      </c>
      <c r="X79" s="889" t="s">
        <v>204</v>
      </c>
      <c r="Y79" s="12"/>
      <c r="Z79" s="888" t="s">
        <v>1534</v>
      </c>
      <c r="AA79" s="889" t="s">
        <v>204</v>
      </c>
      <c r="AB79" s="67"/>
      <c r="AC79" s="995"/>
      <c r="AD79" s="1405"/>
      <c r="AE79" s="1405"/>
      <c r="AF79" s="1405"/>
      <c r="AG79" s="1405"/>
      <c r="AH79" s="1405"/>
      <c r="AI79" s="1405"/>
      <c r="AJ79" s="1405"/>
      <c r="AK79" s="1405"/>
      <c r="AL79" s="1405"/>
      <c r="AM79" s="1405"/>
      <c r="AN79" s="1405"/>
      <c r="AO79" s="1405"/>
      <c r="AP79" s="1405"/>
      <c r="AQ79" s="1405"/>
      <c r="AR79" s="1405"/>
      <c r="AS79" s="67"/>
      <c r="AT79" s="995"/>
      <c r="AU79" s="12"/>
      <c r="AV79" s="892" t="str">
        <f>F79</f>
        <v>energiefunctie</v>
      </c>
      <c r="AW79" s="452" t="str">
        <f>J79</f>
        <v>energiedrager</v>
      </c>
      <c r="AX79" s="910"/>
      <c r="AY79" s="12"/>
      <c r="AZ79" s="888" t="str">
        <f>AZ$64</f>
        <v>pos/neg</v>
      </c>
      <c r="BA79" s="888"/>
      <c r="BB79" s="888" t="str">
        <f>BB$64</f>
        <v>default</v>
      </c>
      <c r="BC79" s="452"/>
      <c r="BD79" s="452" t="str">
        <f>BD$64</f>
        <v>waarde</v>
      </c>
      <c r="BE79" s="452" t="str">
        <f>BE$64</f>
        <v>eenheden</v>
      </c>
      <c r="BF79" s="452"/>
      <c r="BG79" s="888" t="str">
        <f>BG$64</f>
        <v>default</v>
      </c>
      <c r="BH79" s="888" t="str">
        <f>BH$64</f>
        <v>eenheid</v>
      </c>
      <c r="BI79" s="452"/>
    </row>
    <row r="80" spans="1:61">
      <c r="A80" s="86"/>
      <c r="B80" s="47" t="str">
        <f t="shared" si="23"/>
        <v>Energielabel utiliteit</v>
      </c>
      <c r="C80" s="47" t="str">
        <f t="shared" si="23"/>
        <v>ISSO 75.3</v>
      </c>
      <c r="D80" s="943"/>
      <c r="E80" s="14"/>
      <c r="F80" s="22" t="s">
        <v>1465</v>
      </c>
      <c r="G80" s="22"/>
      <c r="H80" s="22"/>
      <c r="I80" s="905"/>
      <c r="J80" s="1691" t="s">
        <v>465</v>
      </c>
      <c r="K80" s="1698"/>
      <c r="L80" s="16"/>
      <c r="M80" s="24">
        <f>Q80*S80*BD80</f>
        <v>0</v>
      </c>
      <c r="N80" s="22" t="str">
        <f>INDEX(EP_methode_eenheid,1,MATCH($C80,EP_methode,0))</f>
        <v>MJ</v>
      </c>
      <c r="O80" s="909"/>
      <c r="P80" s="39"/>
      <c r="Q80" s="59">
        <f>IFERROR(IF(AND(P80&lt;&gt;"",$BA80=1),P80,BB80),1)</f>
        <v>2.5641025641025639</v>
      </c>
      <c r="R80" s="15"/>
      <c r="S80" s="25"/>
      <c r="T80" s="47" t="str">
        <f>IFERROR(INDEX(energiedragers_EP_eenheden,MATCH($J80,tabellen_EMD!$C$196:$C$204,0),MATCH($B80,energiedragers_EP_eenheden_titel,0)),"-")</f>
        <v>kWh</v>
      </c>
      <c r="U80" s="39"/>
      <c r="V80" s="15"/>
      <c r="W80" s="59">
        <f>IF(AND(V80&lt;&gt;"",$BA80=1),V80,BG80)</f>
        <v>0.56599999999999995</v>
      </c>
      <c r="X80" s="47" t="str">
        <f>BH80</f>
        <v>kg/kWh</v>
      </c>
      <c r="Y80" s="12"/>
      <c r="Z80" s="24">
        <f>S80*W80*ABS(AZ80)</f>
        <v>0</v>
      </c>
      <c r="AA80" s="47" t="s">
        <v>468</v>
      </c>
      <c r="AB80" s="67"/>
      <c r="AC80" s="995"/>
      <c r="AD80" s="1405"/>
      <c r="AE80" s="1405"/>
      <c r="AF80" s="1405"/>
      <c r="AG80" s="1405"/>
      <c r="AH80" s="1405"/>
      <c r="AI80" s="1405"/>
      <c r="AJ80" s="1405"/>
      <c r="AK80" s="1405"/>
      <c r="AL80" s="1405"/>
      <c r="AM80" s="1405"/>
      <c r="AN80" s="1405"/>
      <c r="AO80" s="1405"/>
      <c r="AP80" s="1405"/>
      <c r="AQ80" s="1405"/>
      <c r="AR80" s="1405"/>
      <c r="AS80" s="67"/>
      <c r="AT80" s="995"/>
      <c r="AU80" s="12"/>
      <c r="AV80" s="22" t="str">
        <f>F80</f>
        <v>elektriciteitsverbruik</v>
      </c>
      <c r="AW80" s="46" t="str">
        <f>J80</f>
        <v>elektriciteit</v>
      </c>
      <c r="AX80" s="24"/>
      <c r="AY80" s="12"/>
      <c r="AZ80" s="115">
        <v>1</v>
      </c>
      <c r="BA80" s="24">
        <f>IFERROR(INDEX(tabellen_EMD!$C$185:$N$193,MATCH($J80,tabellen_EMD!$C$185:$C$193,0),MATCH(BA$63,tabellen_EMD!$C$185:$N$185,0)),0)</f>
        <v>0</v>
      </c>
      <c r="BB80" s="115">
        <f>VLOOKUP($J80,energiedragers_EP_PEF,MATCH(_xlfn.CONCAT($C80," | PEF"),energiedragers_EP_PEF_titel,0),FALSE)</f>
        <v>2.5641025641025639</v>
      </c>
      <c r="BC80" s="899"/>
      <c r="BD80" s="115">
        <f>IFERROR(VLOOKUP($J80,energiedragers_EP_omrekenen,MATCH($B80,energiedragers_EP_omrekenen_titel,0),FALSE),1)</f>
        <v>3.6</v>
      </c>
      <c r="BE80" s="47" t="str">
        <f>_xlfn.CONCAT(N80,"/",T80)</f>
        <v>MJ/kWh</v>
      </c>
      <c r="BF80" s="899"/>
      <c r="BG80" s="218">
        <f>IFERROR(INDEX(tabellen_EMD!$C$240:$Z$248,MATCH($J80,tabellen_EMD!$C$240:$C$248,0),MATCH($B80,tabellen_EMD!$C$240:$Z$240,0))*(F80&lt;&gt;"zomercomfort"),0)</f>
        <v>0.56599999999999995</v>
      </c>
      <c r="BH80" s="47" t="str">
        <f>"kg/"&amp;T80</f>
        <v>kg/kWh</v>
      </c>
      <c r="BI80" s="899"/>
    </row>
    <row r="81" spans="1:61">
      <c r="A81" s="86"/>
      <c r="B81" s="47" t="str">
        <f t="shared" si="23"/>
        <v>Energielabel utiliteit</v>
      </c>
      <c r="C81" s="47" t="str">
        <f t="shared" si="23"/>
        <v>ISSO 75.3</v>
      </c>
      <c r="D81" s="943"/>
      <c r="E81" s="14"/>
      <c r="F81" s="22" t="s">
        <v>1464</v>
      </c>
      <c r="G81" s="22"/>
      <c r="H81" s="22"/>
      <c r="I81" s="905"/>
      <c r="J81" s="1691" t="s">
        <v>463</v>
      </c>
      <c r="K81" s="1698"/>
      <c r="L81" s="16"/>
      <c r="M81" s="24">
        <f>Q81*S81*BD81</f>
        <v>0</v>
      </c>
      <c r="N81" s="22" t="str">
        <f>INDEX(EP_methode_eenheid,1,MATCH($C81,EP_methode,0))</f>
        <v>MJ</v>
      </c>
      <c r="O81" s="909"/>
      <c r="P81" s="39"/>
      <c r="Q81" s="59">
        <f>IFERROR(IF(AND(P81&lt;&gt;"",$BA81=1),P81,BB81),1)</f>
        <v>1</v>
      </c>
      <c r="R81" s="15"/>
      <c r="S81" s="25"/>
      <c r="T81" s="47" t="str">
        <f>IFERROR(INDEX(energiedragers_EP_eenheden,MATCH($J81,tabellen_EMD!$C$196:$C$204,0),MATCH($B81,energiedragers_EP_eenheden_titel,0)),"-")</f>
        <v>m3</v>
      </c>
      <c r="U81" s="39"/>
      <c r="V81" s="15"/>
      <c r="W81" s="59">
        <f>IF(AND(V81&lt;&gt;"",$BA81=1),V81,BG81)</f>
        <v>1.78</v>
      </c>
      <c r="X81" s="47" t="str">
        <f>BH81</f>
        <v>kg/m3</v>
      </c>
      <c r="Y81" s="12"/>
      <c r="Z81" s="24">
        <f>S81*W81*ABS(AZ81)</f>
        <v>0</v>
      </c>
      <c r="AA81" s="47" t="s">
        <v>468</v>
      </c>
      <c r="AB81" s="67"/>
      <c r="AC81" s="995"/>
      <c r="AD81" s="1405"/>
      <c r="AE81" s="1405"/>
      <c r="AF81" s="1405"/>
      <c r="AG81" s="1405"/>
      <c r="AH81" s="1405"/>
      <c r="AI81" s="1405"/>
      <c r="AJ81" s="1405"/>
      <c r="AK81" s="1405"/>
      <c r="AL81" s="1405"/>
      <c r="AM81" s="1405"/>
      <c r="AN81" s="1405"/>
      <c r="AO81" s="1405"/>
      <c r="AP81" s="1405"/>
      <c r="AQ81" s="1405"/>
      <c r="AR81" s="1405"/>
      <c r="AS81" s="67"/>
      <c r="AT81" s="995"/>
      <c r="AU81" s="12"/>
      <c r="AV81" s="22" t="str">
        <f>F81</f>
        <v>gasverbruik</v>
      </c>
      <c r="AW81" s="46" t="str">
        <f>J81</f>
        <v>aardgas</v>
      </c>
      <c r="AX81" s="24"/>
      <c r="AY81" s="12"/>
      <c r="AZ81" s="115">
        <v>1</v>
      </c>
      <c r="BA81" s="24">
        <f>IFERROR(INDEX(tabellen_EMD!$C$185:$N$193,MATCH($J81,tabellen_EMD!$C$185:$C$193,0),MATCH(BA$63,tabellen_EMD!$C$185:$N$185,0)),0)</f>
        <v>0</v>
      </c>
      <c r="BB81" s="115">
        <f>VLOOKUP($J81,energiedragers_EP_PEF,MATCH(_xlfn.CONCAT($C81," | PEF"),energiedragers_EP_PEF_titel,0),FALSE)</f>
        <v>1</v>
      </c>
      <c r="BC81" s="899"/>
      <c r="BD81" s="115">
        <f>IFERROR(VLOOKUP($J81,energiedragers_EP_omrekenen,MATCH($B81,energiedragers_EP_omrekenen_titel,0),FALSE),1)</f>
        <v>35.17</v>
      </c>
      <c r="BE81" s="47" t="str">
        <f>_xlfn.CONCAT(N81,"/",T81)</f>
        <v>MJ/m3</v>
      </c>
      <c r="BF81" s="899"/>
      <c r="BG81" s="218">
        <f>IFERROR(INDEX(tabellen_EMD!$C$240:$Z$248,MATCH($J81,tabellen_EMD!$C$240:$C$248,0),MATCH($B81,tabellen_EMD!$C$240:$Z$240,0))*(F81&lt;&gt;"zomercomfort"),0)</f>
        <v>1.78</v>
      </c>
      <c r="BH81" s="47" t="str">
        <f>"kg/"&amp;T81</f>
        <v>kg/m3</v>
      </c>
      <c r="BI81" s="899"/>
    </row>
    <row r="82" spans="1:61">
      <c r="A82" s="86"/>
      <c r="B82" s="47" t="str">
        <f t="shared" si="23"/>
        <v>Energielabel utiliteit</v>
      </c>
      <c r="C82" s="47" t="str">
        <f t="shared" si="23"/>
        <v>ISSO 75.3</v>
      </c>
      <c r="D82" s="943"/>
      <c r="E82" s="14"/>
      <c r="F82" s="22" t="s">
        <v>1466</v>
      </c>
      <c r="G82" s="22"/>
      <c r="H82" s="22"/>
      <c r="I82" s="905"/>
      <c r="J82" s="1691" t="s">
        <v>1539</v>
      </c>
      <c r="K82" s="1698"/>
      <c r="L82" s="16"/>
      <c r="M82" s="24">
        <f>Q82*S82*BD82</f>
        <v>0</v>
      </c>
      <c r="N82" s="22" t="str">
        <f>INDEX(EP_methode_eenheid,1,MATCH($C82,EP_methode,0))</f>
        <v>MJ</v>
      </c>
      <c r="O82" s="909"/>
      <c r="P82" s="39"/>
      <c r="Q82" s="59">
        <f>IFERROR(IF(AND(P82&lt;&gt;"",$BA82=1),P82,BB82),1)</f>
        <v>0.90909090909090906</v>
      </c>
      <c r="R82" s="15"/>
      <c r="S82" s="25"/>
      <c r="T82" s="47" t="str">
        <f>IFERROR(INDEX(energiedragers_EP_eenheden,MATCH($J82,tabellen_EMD!$C$196:$C$204,0),MATCH($B82,energiedragers_EP_eenheden_titel,0)),"-")</f>
        <v>GJ</v>
      </c>
      <c r="U82" s="39"/>
      <c r="V82" s="154"/>
      <c r="W82" s="59">
        <f>IF(AND(V82&lt;&gt;"",$BA82=1),V82,BG82)</f>
        <v>87.7</v>
      </c>
      <c r="X82" s="47" t="str">
        <f>BH82</f>
        <v>kg/GJ</v>
      </c>
      <c r="Y82" s="12"/>
      <c r="Z82" s="24">
        <f>S82*W82*ABS(AZ82)</f>
        <v>0</v>
      </c>
      <c r="AA82" s="47" t="s">
        <v>468</v>
      </c>
      <c r="AB82" s="67"/>
      <c r="AC82" s="995"/>
      <c r="AD82" s="1405"/>
      <c r="AE82" s="1405"/>
      <c r="AF82" s="1405"/>
      <c r="AG82" s="1405"/>
      <c r="AH82" s="1405"/>
      <c r="AI82" s="1405"/>
      <c r="AJ82" s="1405"/>
      <c r="AK82" s="1405"/>
      <c r="AL82" s="1405"/>
      <c r="AM82" s="1405"/>
      <c r="AN82" s="1405"/>
      <c r="AO82" s="1405"/>
      <c r="AP82" s="1405"/>
      <c r="AQ82" s="1405"/>
      <c r="AR82" s="1405"/>
      <c r="AS82" s="67"/>
      <c r="AT82" s="995"/>
      <c r="AU82" s="12"/>
      <c r="AV82" s="12"/>
      <c r="AW82" s="12"/>
      <c r="AX82" s="12"/>
      <c r="AY82" s="12"/>
      <c r="AZ82" s="115">
        <v>1</v>
      </c>
      <c r="BA82" s="24">
        <f>IFERROR(INDEX(tabellen_EMD!$C$185:$N$193,MATCH($J82,tabellen_EMD!$C$185:$C$193,0),MATCH(BA$63,tabellen_EMD!$C$185:$N$185,0)),0)</f>
        <v>1</v>
      </c>
      <c r="BB82" s="115">
        <f>VLOOKUP($J82,energiedragers_EP_PEF,MATCH(_xlfn.CONCAT($C82," | PEF"),energiedragers_EP_PEF_titel,0),FALSE)</f>
        <v>0.90909090909090906</v>
      </c>
      <c r="BC82" s="899"/>
      <c r="BD82" s="115">
        <f>IFERROR(VLOOKUP($J82,energiedragers_EP_omrekenen,MATCH($B82,energiedragers_EP_omrekenen_titel,0),FALSE),1)</f>
        <v>1000</v>
      </c>
      <c r="BE82" s="47" t="str">
        <f>_xlfn.CONCAT(N82,"/",T82)</f>
        <v>MJ/GJ</v>
      </c>
      <c r="BF82" s="899"/>
      <c r="BG82" s="218">
        <f>IFERROR(INDEX(tabellen_EMD!$C$240:$Z$248,MATCH($J82,tabellen_EMD!$C$240:$C$248,0),MATCH($B82,tabellen_EMD!$C$240:$Z$240,0))*(F82&lt;&gt;"zomercomfort"),0)</f>
        <v>87.7</v>
      </c>
      <c r="BH82" s="47" t="str">
        <f>"kg/"&amp;T82</f>
        <v>kg/GJ</v>
      </c>
      <c r="BI82" s="899"/>
    </row>
    <row r="83" spans="1:61" s="940" customFormat="1">
      <c r="A83" s="18"/>
      <c r="B83" s="47" t="str">
        <f t="shared" si="23"/>
        <v>Energielabel utiliteit</v>
      </c>
      <c r="C83" s="47" t="str">
        <f t="shared" si="23"/>
        <v>ISSO 75.3</v>
      </c>
      <c r="D83" s="943"/>
      <c r="E83" s="14"/>
      <c r="F83" s="15" t="s">
        <v>1391</v>
      </c>
      <c r="G83" s="15"/>
      <c r="H83" s="15"/>
      <c r="I83" s="905"/>
      <c r="J83" s="43" t="s">
        <v>1391</v>
      </c>
      <c r="K83" s="43"/>
      <c r="L83" s="16"/>
      <c r="M83" s="950">
        <f>SUM(M80:M82)</f>
        <v>0</v>
      </c>
      <c r="N83" s="15" t="str">
        <f>INDEX(EP_methode_eenheid,1,MATCH($C83,EP_methode,0))</f>
        <v>MJ</v>
      </c>
      <c r="O83" s="15"/>
      <c r="P83" s="39"/>
      <c r="Q83" s="39"/>
      <c r="R83" s="15"/>
      <c r="S83" s="899"/>
      <c r="T83" s="899"/>
      <c r="U83" s="39"/>
      <c r="V83" s="39"/>
      <c r="W83" s="39"/>
      <c r="X83" s="39"/>
      <c r="Y83" s="12"/>
      <c r="Z83" s="950">
        <f>SUM(Z80:Z82)</f>
        <v>0</v>
      </c>
      <c r="AA83" s="15" t="s">
        <v>468</v>
      </c>
      <c r="AB83" s="67"/>
      <c r="AC83" s="995"/>
      <c r="AD83" s="1405"/>
      <c r="AE83" s="1405"/>
      <c r="AF83" s="1405"/>
      <c r="AG83" s="1405"/>
      <c r="AH83" s="1405"/>
      <c r="AI83" s="1405"/>
      <c r="AJ83" s="1405"/>
      <c r="AK83" s="1405"/>
      <c r="AL83" s="1405"/>
      <c r="AM83" s="1405"/>
      <c r="AN83" s="1405"/>
      <c r="AO83" s="1405"/>
      <c r="AP83" s="1405"/>
      <c r="AQ83" s="1405"/>
      <c r="AR83" s="1405"/>
      <c r="AS83" s="67"/>
      <c r="AT83" s="995"/>
      <c r="AU83" s="12"/>
      <c r="AV83" s="12"/>
      <c r="AW83" s="12"/>
      <c r="AX83" s="12"/>
      <c r="AY83" s="12"/>
      <c r="AZ83" s="12"/>
      <c r="BA83" s="12"/>
      <c r="BB83" s="12"/>
      <c r="BC83" s="899"/>
      <c r="BD83" s="899"/>
      <c r="BE83" s="899"/>
      <c r="BF83" s="899"/>
      <c r="BG83" s="15"/>
      <c r="BH83" s="15"/>
      <c r="BI83" s="899"/>
    </row>
    <row r="84" spans="1:61" s="49" customFormat="1">
      <c r="A84" s="212"/>
      <c r="B84" s="47" t="str">
        <f t="shared" si="23"/>
        <v>Energielabel utiliteit</v>
      </c>
      <c r="C84" s="47" t="str">
        <f t="shared" si="23"/>
        <v>ISSO 75.3</v>
      </c>
      <c r="D84" s="943"/>
      <c r="E84" s="50"/>
      <c r="F84" s="452" t="str">
        <f>IFERROR(IF($P$23=$B84,_xlfn.CONCAT("Bij 1.1 ingevuld: ",FIXED($J$35,2,FALSE)," ",$K$35),""),"invoer niet correct")</f>
        <v/>
      </c>
      <c r="G84" s="452"/>
      <c r="H84" s="452"/>
      <c r="I84" s="905"/>
      <c r="J84" s="909" t="str">
        <f>IFERROR(IF($P$23=$B84,IF(ABS((M84-$J$35)/$J$35)&gt;1%,"Afwijking &gt;1% met subthema 1.1",""),""),"invoer niet correct")</f>
        <v/>
      </c>
      <c r="K84" s="909"/>
      <c r="L84" s="910"/>
      <c r="M84" s="1339" t="str">
        <f>IFERROR(IF($P$23=$B84,M83/$J$59,""),"")</f>
        <v/>
      </c>
      <c r="N84" s="452" t="str">
        <f>IF($P$23=$B84,_xlfn.CONCAT(N83,"/m2"),"")</f>
        <v/>
      </c>
      <c r="O84" s="452"/>
      <c r="P84" s="39"/>
      <c r="Q84" s="39"/>
      <c r="R84" s="899"/>
      <c r="S84" s="899"/>
      <c r="T84" s="899"/>
      <c r="U84" s="39"/>
      <c r="V84" s="39"/>
      <c r="W84" s="910" t="str">
        <f>IFERROR(IF($P$23=$B84,_xlfn.CONCAT("Bij 1.1 ingevuld: ",FIXED($AG$40,1,FALSE)," ",$AH$40),""),"invoer niet correct")</f>
        <v/>
      </c>
      <c r="X84" s="909" t="str">
        <f>IFERROR(IF($P$23=$B84,IF(ABS((Z84-$AG$40)/$AG$40)&gt;1%,"afwijking &gt;1% met subthema 1.1",""),""),"invoer niet correct")</f>
        <v/>
      </c>
      <c r="Y84" s="12"/>
      <c r="Z84" s="951" t="str">
        <f>IFERROR(IF($P$23=$B84,Z83/$J$58,""),"")</f>
        <v/>
      </c>
      <c r="AA84" s="452" t="str">
        <f>IF($P$23=$B84,_xlfn.CONCAT(AA83,"/m2"),"")</f>
        <v/>
      </c>
      <c r="AB84" s="1393"/>
      <c r="AC84" s="1001"/>
      <c r="AD84" s="1405"/>
      <c r="AE84" s="1405"/>
      <c r="AF84" s="1405"/>
      <c r="AG84" s="1405"/>
      <c r="AH84" s="1405"/>
      <c r="AI84" s="1405"/>
      <c r="AJ84" s="1405"/>
      <c r="AK84" s="1405"/>
      <c r="AL84" s="1405"/>
      <c r="AM84" s="1405"/>
      <c r="AN84" s="1405"/>
      <c r="AO84" s="1405"/>
      <c r="AP84" s="1405"/>
      <c r="AQ84" s="1405"/>
      <c r="AR84" s="1405"/>
      <c r="AS84" s="1393"/>
      <c r="AT84" s="1001"/>
      <c r="AU84" s="12"/>
      <c r="AV84" s="452"/>
      <c r="AW84" s="452"/>
      <c r="AX84" s="452"/>
      <c r="AY84" s="452"/>
      <c r="AZ84" s="452"/>
      <c r="BA84" s="452"/>
      <c r="BB84" s="452"/>
      <c r="BC84" s="452"/>
      <c r="BD84" s="452"/>
      <c r="BE84" s="452"/>
      <c r="BF84" s="452"/>
      <c r="BG84" s="452"/>
      <c r="BH84" s="452"/>
      <c r="BI84" s="899"/>
    </row>
    <row r="85" spans="1:61" s="49" customFormat="1">
      <c r="A85" s="18"/>
      <c r="B85" s="47" t="str">
        <f t="shared" si="23"/>
        <v>Energielabel utiliteit</v>
      </c>
      <c r="C85" s="47" t="str">
        <f t="shared" si="23"/>
        <v>ISSO 75.3</v>
      </c>
      <c r="D85" s="943"/>
      <c r="E85" s="50"/>
      <c r="F85" s="43"/>
      <c r="G85" s="43"/>
      <c r="H85" s="43"/>
      <c r="I85" s="905"/>
      <c r="J85" s="44"/>
      <c r="K85" s="44"/>
      <c r="L85" s="44"/>
      <c r="M85" s="44"/>
      <c r="N85" s="44"/>
      <c r="O85" s="44"/>
      <c r="P85" s="39"/>
      <c r="Q85" s="39"/>
      <c r="R85" s="899"/>
      <c r="S85" s="899"/>
      <c r="T85" s="899"/>
      <c r="U85" s="39"/>
      <c r="V85" s="39"/>
      <c r="W85" s="39"/>
      <c r="X85" s="39"/>
      <c r="Y85" s="12"/>
      <c r="Z85" s="899"/>
      <c r="AA85" s="899"/>
      <c r="AB85" s="1393"/>
      <c r="AC85" s="1001"/>
      <c r="AD85" s="1405"/>
      <c r="AE85" s="1405"/>
      <c r="AF85" s="1405"/>
      <c r="AG85" s="1405"/>
      <c r="AH85" s="1405"/>
      <c r="AI85" s="1405"/>
      <c r="AJ85" s="1405"/>
      <c r="AK85" s="1405"/>
      <c r="AL85" s="1405"/>
      <c r="AM85" s="1405"/>
      <c r="AN85" s="1405"/>
      <c r="AO85" s="1405"/>
      <c r="AP85" s="1405"/>
      <c r="AQ85" s="1405"/>
      <c r="AR85" s="1405"/>
      <c r="AS85" s="1393"/>
      <c r="AT85" s="1001"/>
      <c r="AU85" s="12"/>
      <c r="AV85" s="12"/>
      <c r="AW85" s="12"/>
      <c r="AX85" s="12"/>
      <c r="AY85" s="12"/>
      <c r="AZ85" s="44"/>
      <c r="BA85" s="12"/>
      <c r="BB85" s="44"/>
      <c r="BC85" s="899"/>
      <c r="BD85" s="899"/>
      <c r="BE85" s="899"/>
      <c r="BF85" s="899"/>
      <c r="BG85" s="899"/>
      <c r="BH85" s="899"/>
      <c r="BI85" s="899"/>
    </row>
    <row r="86" spans="1:61">
      <c r="A86" s="139"/>
      <c r="B86" s="939" t="str">
        <f>tabellen_EMD!$C$175</f>
        <v>Enorm</v>
      </c>
      <c r="C86" s="939" t="str">
        <f>VLOOKUP(B86,'EP naar GPR4'!$AV$40:$AY$48,COLUMNS($AV$40:$AX$40),FALSE)</f>
        <v>NEN 7120</v>
      </c>
      <c r="D86" s="943"/>
      <c r="E86" s="14"/>
      <c r="F86" s="15" t="str">
        <f>_xlfn.CONCAT("Overnemen uit '",B86,"': ",VLOOKUP(B86,$AV$41:$AZ$48,COLUMNS($AV$40:$AZ$40),FALSE))</f>
        <v>Overnemen uit 'Enorm': Resultaten | Primair energiegebruik</v>
      </c>
      <c r="G86" s="15"/>
      <c r="H86" s="15"/>
      <c r="I86" s="905"/>
      <c r="J86" s="41"/>
      <c r="K86" s="41"/>
      <c r="L86" s="12"/>
      <c r="M86" s="909" t="s">
        <v>1485</v>
      </c>
      <c r="N86" s="41"/>
      <c r="O86" s="41"/>
      <c r="P86" s="453" t="s">
        <v>1487</v>
      </c>
      <c r="Q86" s="39"/>
      <c r="R86" s="39"/>
      <c r="S86" s="453" t="s">
        <v>1484</v>
      </c>
      <c r="T86" s="39"/>
      <c r="U86" s="39"/>
      <c r="V86" s="453" t="s">
        <v>1613</v>
      </c>
      <c r="W86" s="39"/>
      <c r="X86" s="39"/>
      <c r="Y86" s="12"/>
      <c r="Z86" s="453" t="s">
        <v>1536</v>
      </c>
      <c r="AA86" s="12"/>
      <c r="AB86" s="67"/>
      <c r="AC86" s="995"/>
      <c r="AD86" s="1405"/>
      <c r="AE86" s="1405"/>
      <c r="AF86" s="1405"/>
      <c r="AG86" s="1405"/>
      <c r="AH86" s="1405"/>
      <c r="AI86" s="1405"/>
      <c r="AJ86" s="1405"/>
      <c r="AK86" s="1405"/>
      <c r="AL86" s="1405"/>
      <c r="AM86" s="1405"/>
      <c r="AN86" s="1405"/>
      <c r="AO86" s="1405"/>
      <c r="AP86" s="1405"/>
      <c r="AQ86" s="1405"/>
      <c r="AR86" s="1405"/>
      <c r="AS86" s="67"/>
      <c r="AT86" s="995"/>
      <c r="AU86" s="12"/>
      <c r="AV86" s="12"/>
      <c r="AW86" s="12"/>
      <c r="AX86" s="12"/>
      <c r="AY86" s="12"/>
      <c r="AZ86" s="453" t="str">
        <f>AZ$63</f>
        <v>Eenheid energie</v>
      </c>
      <c r="BA86" s="888" t="s">
        <v>1628</v>
      </c>
      <c r="BB86" s="453" t="str">
        <f>BB$63</f>
        <v>PEF finaal → primair</v>
      </c>
      <c r="BC86" s="452"/>
      <c r="BD86" s="452" t="str">
        <f>BD$63</f>
        <v>eenheden omrekenen</v>
      </c>
      <c r="BE86" s="452"/>
      <c r="BF86" s="452"/>
      <c r="BG86" s="453" t="str">
        <f>BG$63</f>
        <v>CO2</v>
      </c>
      <c r="BH86" s="888"/>
      <c r="BI86" s="452"/>
    </row>
    <row r="87" spans="1:61">
      <c r="A87" s="18"/>
      <c r="B87" s="47" t="str">
        <f t="shared" ref="B87:C102" si="24">B86</f>
        <v>Enorm</v>
      </c>
      <c r="C87" s="47" t="str">
        <f t="shared" si="24"/>
        <v>NEN 7120</v>
      </c>
      <c r="D87" s="943"/>
      <c r="E87" s="14"/>
      <c r="F87" s="892" t="s">
        <v>496</v>
      </c>
      <c r="G87" s="892"/>
      <c r="H87" s="892"/>
      <c r="I87" s="905"/>
      <c r="J87" s="909" t="s">
        <v>458</v>
      </c>
      <c r="K87" s="909"/>
      <c r="L87" s="889"/>
      <c r="M87" s="910" t="s">
        <v>1534</v>
      </c>
      <c r="N87" s="452" t="s">
        <v>204</v>
      </c>
      <c r="O87" s="39"/>
      <c r="P87" s="888" t="s">
        <v>1533</v>
      </c>
      <c r="Q87" s="910" t="s">
        <v>1532</v>
      </c>
      <c r="R87" s="452"/>
      <c r="S87" s="888" t="s">
        <v>1534</v>
      </c>
      <c r="T87" s="889" t="s">
        <v>204</v>
      </c>
      <c r="U87" s="39"/>
      <c r="V87" s="888" t="s">
        <v>1533</v>
      </c>
      <c r="W87" s="910" t="s">
        <v>1532</v>
      </c>
      <c r="X87" s="889" t="s">
        <v>204</v>
      </c>
      <c r="Y87" s="888"/>
      <c r="Z87" s="888" t="s">
        <v>1534</v>
      </c>
      <c r="AA87" s="889" t="s">
        <v>204</v>
      </c>
      <c r="AB87" s="67"/>
      <c r="AC87" s="995"/>
      <c r="AD87" s="1405"/>
      <c r="AE87" s="1405"/>
      <c r="AF87" s="1405"/>
      <c r="AG87" s="1405"/>
      <c r="AH87" s="1405"/>
      <c r="AI87" s="1405"/>
      <c r="AJ87" s="1405"/>
      <c r="AK87" s="1405"/>
      <c r="AL87" s="1405"/>
      <c r="AM87" s="1405"/>
      <c r="AN87" s="1405"/>
      <c r="AO87" s="1405"/>
      <c r="AP87" s="1405"/>
      <c r="AQ87" s="1405"/>
      <c r="AR87" s="1405"/>
      <c r="AS87" s="67"/>
      <c r="AT87" s="995"/>
      <c r="AU87" s="12"/>
      <c r="AV87" s="892" t="str">
        <f t="shared" ref="AV87:AV104" si="25">F87</f>
        <v>energiefunctie</v>
      </c>
      <c r="AW87" s="452" t="str">
        <f t="shared" ref="AW87:AW104" si="26">J87</f>
        <v>energiedrager</v>
      </c>
      <c r="AX87" s="910"/>
      <c r="AY87" s="12"/>
      <c r="AZ87" s="888" t="str">
        <f>AZ$64</f>
        <v>pos/neg</v>
      </c>
      <c r="BA87" s="888"/>
      <c r="BB87" s="888" t="str">
        <f>BB$64</f>
        <v>default</v>
      </c>
      <c r="BC87" s="452"/>
      <c r="BD87" s="910" t="str">
        <f>BD$64</f>
        <v>waarde</v>
      </c>
      <c r="BE87" s="452" t="str">
        <f>BE$64</f>
        <v>eenheden</v>
      </c>
      <c r="BF87" s="452"/>
      <c r="BG87" s="888" t="str">
        <f>BG$64</f>
        <v>default</v>
      </c>
      <c r="BH87" s="888" t="str">
        <f>BH$64</f>
        <v>eenheid</v>
      </c>
      <c r="BI87" s="452"/>
    </row>
    <row r="88" spans="1:61">
      <c r="A88" s="86"/>
      <c r="B88" s="47" t="str">
        <f t="shared" si="24"/>
        <v>Enorm</v>
      </c>
      <c r="C88" s="47" t="str">
        <f t="shared" si="24"/>
        <v>NEN 7120</v>
      </c>
      <c r="D88" s="943"/>
      <c r="E88" s="14"/>
      <c r="F88" s="22" t="s">
        <v>502</v>
      </c>
      <c r="G88" s="22"/>
      <c r="H88" s="22"/>
      <c r="I88" s="905"/>
      <c r="J88" s="1685"/>
      <c r="K88" s="1685"/>
      <c r="L88" s="16"/>
      <c r="M88" s="25"/>
      <c r="N88" s="22" t="str">
        <f t="shared" ref="N88:N104" si="27">INDEX(EP_methode_eenheid,1,MATCH($C88,EP_methode,0))</f>
        <v>MJ</v>
      </c>
      <c r="O88" s="39" t="s">
        <v>1631</v>
      </c>
      <c r="P88" s="154"/>
      <c r="Q88" s="59">
        <f t="shared" ref="Q88:Q98" si="28">IFERROR(IF(AND(P88&lt;&gt;"",$BA88=1),P88,BB88),1)</f>
        <v>1</v>
      </c>
      <c r="R88" s="15"/>
      <c r="S88" s="24">
        <f t="shared" ref="S88:S98" si="29">M88/Q88/BD88</f>
        <v>0</v>
      </c>
      <c r="T88" s="47" t="str">
        <f>IFERROR(INDEX(energiedragers_EP_eenheden,MATCH($J88,tabellen_EMD!$C$196:$C$204,0),MATCH($B88,energiedragers_EP_eenheden_titel,0)),"-")</f>
        <v>-</v>
      </c>
      <c r="U88" s="39"/>
      <c r="V88" s="154"/>
      <c r="W88" s="59">
        <f t="shared" ref="W88:W98" si="30">IF(AND(V88&lt;&gt;"",$BA88=1),V88,BG88)</f>
        <v>0</v>
      </c>
      <c r="X88" s="47" t="str">
        <f t="shared" ref="X88:X98" si="31">BH88</f>
        <v>kg/-</v>
      </c>
      <c r="Y88" s="39"/>
      <c r="Z88" s="24">
        <f t="shared" ref="Z88:Z98" si="32">S88*W88*ABS(AZ88)</f>
        <v>0</v>
      </c>
      <c r="AA88" s="47" t="s">
        <v>468</v>
      </c>
      <c r="AB88" s="67"/>
      <c r="AC88" s="995"/>
      <c r="AD88" s="1405"/>
      <c r="AE88" s="1405"/>
      <c r="AF88" s="1405"/>
      <c r="AG88" s="1405"/>
      <c r="AH88" s="1405"/>
      <c r="AI88" s="1405"/>
      <c r="AJ88" s="1405"/>
      <c r="AK88" s="1405"/>
      <c r="AL88" s="1405"/>
      <c r="AM88" s="1405"/>
      <c r="AN88" s="1405"/>
      <c r="AO88" s="1405"/>
      <c r="AP88" s="1405"/>
      <c r="AQ88" s="1405"/>
      <c r="AR88" s="1405"/>
      <c r="AS88" s="67"/>
      <c r="AT88" s="995"/>
      <c r="AU88" s="12"/>
      <c r="AV88" s="22" t="str">
        <f t="shared" si="25"/>
        <v>verwarming</v>
      </c>
      <c r="AW88" s="46">
        <f t="shared" si="26"/>
        <v>0</v>
      </c>
      <c r="AX88" s="24"/>
      <c r="AY88" s="12"/>
      <c r="AZ88" s="115">
        <v>1</v>
      </c>
      <c r="BA88" s="24">
        <f>IFERROR(INDEX(tabellen_EMD!$C$185:$N$193,MATCH($J88,tabellen_EMD!$C$185:$C$193,0),MATCH(BA$63,tabellen_EMD!$C$185:$N$185,0)),0)</f>
        <v>0</v>
      </c>
      <c r="BB88" s="115" t="e">
        <f t="shared" ref="BB88:BB98" si="33">VLOOKUP($J88,energiedragers_EP_PEF,MATCH(_xlfn.CONCAT($C88," | PEF"),energiedragers_EP_PEF_titel,0),FALSE)</f>
        <v>#N/A</v>
      </c>
      <c r="BC88" s="15"/>
      <c r="BD88" s="115">
        <f t="shared" ref="BD88:BD98" si="34">IFERROR(VLOOKUP($J88,energiedragers_EP_omrekenen,MATCH($B88,energiedragers_EP_omrekenen_titel,0),FALSE),1)</f>
        <v>1</v>
      </c>
      <c r="BE88" s="47" t="str">
        <f t="shared" ref="BE88:BE98" si="35">_xlfn.CONCAT(N88,"/",T88)</f>
        <v>MJ/-</v>
      </c>
      <c r="BF88" s="15"/>
      <c r="BG88" s="218">
        <f>IFERROR(INDEX(tabellen_EMD!$C$240:$Z$248,MATCH($J88,tabellen_EMD!$C$240:$C$248,0),MATCH($B88,tabellen_EMD!$C$240:$Z$240,0))*(F88&lt;&gt;"zomercomfort"),0)</f>
        <v>0</v>
      </c>
      <c r="BH88" s="47" t="str">
        <f t="shared" ref="BH88:BH98" si="36">"kg/"&amp;T88</f>
        <v>kg/-</v>
      </c>
      <c r="BI88" s="15"/>
    </row>
    <row r="89" spans="1:61">
      <c r="A89" s="86"/>
      <c r="B89" s="47" t="str">
        <f t="shared" si="24"/>
        <v>Enorm</v>
      </c>
      <c r="C89" s="47" t="str">
        <f t="shared" si="24"/>
        <v>NEN 7120</v>
      </c>
      <c r="D89" s="943"/>
      <c r="E89" s="14"/>
      <c r="F89" s="209" t="s">
        <v>1502</v>
      </c>
      <c r="G89" s="209"/>
      <c r="H89" s="209"/>
      <c r="I89" s="905"/>
      <c r="J89" s="1691" t="s">
        <v>465</v>
      </c>
      <c r="K89" s="1698"/>
      <c r="L89" s="16"/>
      <c r="M89" s="25"/>
      <c r="N89" s="22" t="str">
        <f t="shared" si="27"/>
        <v>MJ</v>
      </c>
      <c r="O89" s="39"/>
      <c r="P89" s="39"/>
      <c r="Q89" s="59">
        <f t="shared" si="28"/>
        <v>2.56</v>
      </c>
      <c r="R89" s="15"/>
      <c r="S89" s="24">
        <f t="shared" si="29"/>
        <v>0</v>
      </c>
      <c r="T89" s="47" t="str">
        <f>IFERROR(INDEX(energiedragers_EP_eenheden,MATCH($J89,tabellen_EMD!$C$196:$C$204,0),MATCH($B89,energiedragers_EP_eenheden_titel,0)),"-")</f>
        <v>kWh</v>
      </c>
      <c r="U89" s="39"/>
      <c r="V89" s="15"/>
      <c r="W89" s="59">
        <f t="shared" si="30"/>
        <v>0.56499999999999995</v>
      </c>
      <c r="X89" s="47" t="str">
        <f t="shared" si="31"/>
        <v>kg/kWh</v>
      </c>
      <c r="Y89" s="12"/>
      <c r="Z89" s="24">
        <f t="shared" si="32"/>
        <v>0</v>
      </c>
      <c r="AA89" s="47" t="s">
        <v>468</v>
      </c>
      <c r="AB89" s="67"/>
      <c r="AC89" s="995"/>
      <c r="AD89" s="1405"/>
      <c r="AE89" s="1405"/>
      <c r="AF89" s="1405"/>
      <c r="AG89" s="1405"/>
      <c r="AH89" s="1405"/>
      <c r="AI89" s="1405"/>
      <c r="AJ89" s="1405"/>
      <c r="AK89" s="1405"/>
      <c r="AL89" s="1405"/>
      <c r="AM89" s="1405"/>
      <c r="AN89" s="1405"/>
      <c r="AO89" s="1405"/>
      <c r="AP89" s="1405"/>
      <c r="AQ89" s="1405"/>
      <c r="AR89" s="1405"/>
      <c r="AS89" s="67"/>
      <c r="AT89" s="995"/>
      <c r="AU89" s="12"/>
      <c r="AV89" s="22" t="str">
        <f t="shared" si="25"/>
        <v>hulpenergie</v>
      </c>
      <c r="AW89" s="46" t="str">
        <f t="shared" si="26"/>
        <v>elektriciteit</v>
      </c>
      <c r="AX89" s="24"/>
      <c r="AY89" s="12"/>
      <c r="AZ89" s="115">
        <v>1</v>
      </c>
      <c r="BA89" s="24">
        <f>IFERROR(INDEX(tabellen_EMD!$C$185:$N$193,MATCH($J89,tabellen_EMD!$C$185:$C$193,0),MATCH(BA$63,tabellen_EMD!$C$185:$N$185,0)),0)</f>
        <v>0</v>
      </c>
      <c r="BB89" s="115">
        <f t="shared" si="33"/>
        <v>2.56</v>
      </c>
      <c r="BC89" s="15"/>
      <c r="BD89" s="115">
        <f t="shared" si="34"/>
        <v>3.6</v>
      </c>
      <c r="BE89" s="47" t="str">
        <f t="shared" si="35"/>
        <v>MJ/kWh</v>
      </c>
      <c r="BF89" s="15"/>
      <c r="BG89" s="218">
        <f>IFERROR(INDEX(tabellen_EMD!$C$240:$Z$248,MATCH($J89,tabellen_EMD!$C$240:$C$248,0),MATCH($B89,tabellen_EMD!$C$240:$Z$240,0))*(F89&lt;&gt;"zomercomfort"),0)</f>
        <v>0.56499999999999995</v>
      </c>
      <c r="BH89" s="47" t="str">
        <f t="shared" si="36"/>
        <v>kg/kWh</v>
      </c>
      <c r="BI89" s="15"/>
    </row>
    <row r="90" spans="1:61">
      <c r="A90" s="86"/>
      <c r="B90" s="47" t="str">
        <f>B88</f>
        <v>Enorm</v>
      </c>
      <c r="C90" s="47" t="str">
        <f>C88</f>
        <v>NEN 7120</v>
      </c>
      <c r="D90" s="943"/>
      <c r="E90" s="14"/>
      <c r="F90" s="22" t="s">
        <v>503</v>
      </c>
      <c r="G90" s="22"/>
      <c r="H90" s="22"/>
      <c r="I90" s="905"/>
      <c r="J90" s="1685"/>
      <c r="K90" s="1685"/>
      <c r="L90" s="16"/>
      <c r="M90" s="25"/>
      <c r="N90" s="22" t="str">
        <f t="shared" si="27"/>
        <v>MJ</v>
      </c>
      <c r="O90" s="39"/>
      <c r="P90" s="154"/>
      <c r="Q90" s="59">
        <f>IFERROR(IF(AND(P90&lt;&gt;"",$BA90=1),P90,BB90),1)</f>
        <v>1</v>
      </c>
      <c r="R90" s="15"/>
      <c r="S90" s="24">
        <f t="shared" si="29"/>
        <v>0</v>
      </c>
      <c r="T90" s="47" t="str">
        <f>IFERROR(INDEX(energiedragers_EP_eenheden,MATCH($J90,tabellen_EMD!$C$196:$C$204,0),MATCH($B90,energiedragers_EP_eenheden_titel,0)),"-")</f>
        <v>-</v>
      </c>
      <c r="U90" s="39"/>
      <c r="V90" s="154"/>
      <c r="W90" s="59">
        <f t="shared" si="30"/>
        <v>0</v>
      </c>
      <c r="X90" s="47" t="str">
        <f t="shared" si="31"/>
        <v>kg/-</v>
      </c>
      <c r="Y90" s="39"/>
      <c r="Z90" s="24">
        <f t="shared" si="32"/>
        <v>0</v>
      </c>
      <c r="AA90" s="47" t="s">
        <v>468</v>
      </c>
      <c r="AB90" s="67"/>
      <c r="AC90" s="995"/>
      <c r="AD90" s="1405"/>
      <c r="AE90" s="1405"/>
      <c r="AF90" s="1405"/>
      <c r="AG90" s="1405"/>
      <c r="AH90" s="1405"/>
      <c r="AI90" s="1405"/>
      <c r="AJ90" s="1405"/>
      <c r="AK90" s="1405"/>
      <c r="AL90" s="1405"/>
      <c r="AM90" s="1405"/>
      <c r="AN90" s="1405"/>
      <c r="AO90" s="1405"/>
      <c r="AP90" s="1405"/>
      <c r="AQ90" s="1405"/>
      <c r="AR90" s="1405"/>
      <c r="AS90" s="67"/>
      <c r="AT90" s="995"/>
      <c r="AU90" s="12"/>
      <c r="AV90" s="22" t="str">
        <f t="shared" si="25"/>
        <v>tapwater</v>
      </c>
      <c r="AW90" s="46">
        <f t="shared" si="26"/>
        <v>0</v>
      </c>
      <c r="AX90" s="24"/>
      <c r="AY90" s="12"/>
      <c r="AZ90" s="115">
        <v>1</v>
      </c>
      <c r="BA90" s="24">
        <f>IFERROR(INDEX(tabellen_EMD!$C$185:$N$193,MATCH($J90,tabellen_EMD!$C$185:$C$193,0),MATCH(BA$63,tabellen_EMD!$C$185:$N$185,0)),0)</f>
        <v>0</v>
      </c>
      <c r="BB90" s="115" t="e">
        <f t="shared" si="33"/>
        <v>#N/A</v>
      </c>
      <c r="BC90" s="15"/>
      <c r="BD90" s="115">
        <f t="shared" si="34"/>
        <v>1</v>
      </c>
      <c r="BE90" s="47" t="str">
        <f t="shared" si="35"/>
        <v>MJ/-</v>
      </c>
      <c r="BF90" s="15"/>
      <c r="BG90" s="218">
        <f>IFERROR(INDEX(tabellen_EMD!$C$240:$Z$248,MATCH($J90,tabellen_EMD!$C$240:$C$248,0),MATCH($B90,tabellen_EMD!$C$240:$Z$240,0))*(F90&lt;&gt;"zomercomfort"),0)</f>
        <v>0</v>
      </c>
      <c r="BH90" s="47" t="str">
        <f t="shared" si="36"/>
        <v>kg/-</v>
      </c>
      <c r="BI90" s="15"/>
    </row>
    <row r="91" spans="1:61">
      <c r="A91" s="86"/>
      <c r="B91" s="47" t="str">
        <f t="shared" si="24"/>
        <v>Enorm</v>
      </c>
      <c r="C91" s="47" t="str">
        <f t="shared" si="24"/>
        <v>NEN 7120</v>
      </c>
      <c r="D91" s="943"/>
      <c r="E91" s="14"/>
      <c r="F91" s="209" t="s">
        <v>1502</v>
      </c>
      <c r="G91" s="209"/>
      <c r="H91" s="209"/>
      <c r="I91" s="905"/>
      <c r="J91" s="1691" t="s">
        <v>465</v>
      </c>
      <c r="K91" s="1698"/>
      <c r="L91" s="16"/>
      <c r="M91" s="25"/>
      <c r="N91" s="22" t="str">
        <f t="shared" si="27"/>
        <v>MJ</v>
      </c>
      <c r="O91" s="39"/>
      <c r="P91" s="39"/>
      <c r="Q91" s="59">
        <f t="shared" si="28"/>
        <v>2.56</v>
      </c>
      <c r="R91" s="15"/>
      <c r="S91" s="24">
        <f t="shared" si="29"/>
        <v>0</v>
      </c>
      <c r="T91" s="47" t="str">
        <f>IFERROR(INDEX(energiedragers_EP_eenheden,MATCH($J91,tabellen_EMD!$C$196:$C$204,0),MATCH($B91,energiedragers_EP_eenheden_titel,0)),"-")</f>
        <v>kWh</v>
      </c>
      <c r="U91" s="39"/>
      <c r="V91" s="15"/>
      <c r="W91" s="59">
        <f t="shared" si="30"/>
        <v>0.56499999999999995</v>
      </c>
      <c r="X91" s="47" t="str">
        <f t="shared" si="31"/>
        <v>kg/kWh</v>
      </c>
      <c r="Y91" s="12"/>
      <c r="Z91" s="24">
        <f t="shared" si="32"/>
        <v>0</v>
      </c>
      <c r="AA91" s="47" t="s">
        <v>468</v>
      </c>
      <c r="AB91" s="67"/>
      <c r="AC91" s="995"/>
      <c r="AD91" s="1405"/>
      <c r="AE91" s="1405"/>
      <c r="AF91" s="1405"/>
      <c r="AG91" s="1405"/>
      <c r="AH91" s="1405"/>
      <c r="AI91" s="1405"/>
      <c r="AJ91" s="1405"/>
      <c r="AK91" s="1405"/>
      <c r="AL91" s="1405"/>
      <c r="AM91" s="1405"/>
      <c r="AN91" s="1405"/>
      <c r="AO91" s="1405"/>
      <c r="AP91" s="1405"/>
      <c r="AQ91" s="1405"/>
      <c r="AR91" s="1405"/>
      <c r="AS91" s="67"/>
      <c r="AT91" s="995"/>
      <c r="AU91" s="12"/>
      <c r="AV91" s="22" t="str">
        <f t="shared" si="25"/>
        <v>hulpenergie</v>
      </c>
      <c r="AW91" s="46" t="str">
        <f t="shared" si="26"/>
        <v>elektriciteit</v>
      </c>
      <c r="AX91" s="24"/>
      <c r="AY91" s="12"/>
      <c r="AZ91" s="115">
        <v>1</v>
      </c>
      <c r="BA91" s="24">
        <f>IFERROR(INDEX(tabellen_EMD!$C$185:$N$193,MATCH($J91,tabellen_EMD!$C$185:$C$193,0),MATCH(BA$63,tabellen_EMD!$C$185:$N$185,0)),0)</f>
        <v>0</v>
      </c>
      <c r="BB91" s="115">
        <f t="shared" si="33"/>
        <v>2.56</v>
      </c>
      <c r="BC91" s="15"/>
      <c r="BD91" s="115">
        <f t="shared" si="34"/>
        <v>3.6</v>
      </c>
      <c r="BE91" s="47" t="str">
        <f t="shared" si="35"/>
        <v>MJ/kWh</v>
      </c>
      <c r="BF91" s="15"/>
      <c r="BG91" s="218">
        <f>IFERROR(INDEX(tabellen_EMD!$C$240:$Z$248,MATCH($J91,tabellen_EMD!$C$240:$C$248,0),MATCH($B91,tabellen_EMD!$C$240:$Z$240,0))*(F91&lt;&gt;"zomercomfort"),0)</f>
        <v>0.56499999999999995</v>
      </c>
      <c r="BH91" s="47" t="str">
        <f t="shared" si="36"/>
        <v>kg/kWh</v>
      </c>
      <c r="BI91" s="15"/>
    </row>
    <row r="92" spans="1:61">
      <c r="A92" s="86"/>
      <c r="B92" s="47" t="str">
        <f>B90</f>
        <v>Enorm</v>
      </c>
      <c r="C92" s="47" t="str">
        <f>C90</f>
        <v>NEN 7120</v>
      </c>
      <c r="D92" s="943"/>
      <c r="E92" s="14"/>
      <c r="F92" s="22" t="s">
        <v>504</v>
      </c>
      <c r="G92" s="22"/>
      <c r="H92" s="22"/>
      <c r="I92" s="905"/>
      <c r="J92" s="1685"/>
      <c r="K92" s="1685"/>
      <c r="L92" s="16"/>
      <c r="M92" s="25"/>
      <c r="N92" s="22" t="str">
        <f t="shared" si="27"/>
        <v>MJ</v>
      </c>
      <c r="O92" s="39"/>
      <c r="P92" s="154"/>
      <c r="Q92" s="59">
        <f t="shared" si="28"/>
        <v>1</v>
      </c>
      <c r="R92" s="15"/>
      <c r="S92" s="24">
        <f t="shared" si="29"/>
        <v>0</v>
      </c>
      <c r="T92" s="47" t="str">
        <f>IFERROR(INDEX(energiedragers_EP_eenheden,MATCH($J92,tabellen_EMD!$C$196:$C$204,0),MATCH($B92,energiedragers_EP_eenheden_titel,0)),"-")</f>
        <v>-</v>
      </c>
      <c r="U92" s="39"/>
      <c r="V92" s="154"/>
      <c r="W92" s="59">
        <f t="shared" si="30"/>
        <v>0</v>
      </c>
      <c r="X92" s="47" t="str">
        <f t="shared" si="31"/>
        <v>kg/-</v>
      </c>
      <c r="Y92" s="39"/>
      <c r="Z92" s="24">
        <f t="shared" si="32"/>
        <v>0</v>
      </c>
      <c r="AA92" s="47" t="s">
        <v>468</v>
      </c>
      <c r="AB92" s="67"/>
      <c r="AC92" s="995"/>
      <c r="AD92" s="1405"/>
      <c r="AE92" s="1405"/>
      <c r="AF92" s="1405"/>
      <c r="AG92" s="1405"/>
      <c r="AH92" s="1405"/>
      <c r="AI92" s="1405"/>
      <c r="AJ92" s="1405"/>
      <c r="AK92" s="1405"/>
      <c r="AL92" s="1405"/>
      <c r="AM92" s="1405"/>
      <c r="AN92" s="1405"/>
      <c r="AO92" s="1405"/>
      <c r="AP92" s="1405"/>
      <c r="AQ92" s="1405"/>
      <c r="AR92" s="1405"/>
      <c r="AS92" s="67"/>
      <c r="AT92" s="995"/>
      <c r="AU92" s="12"/>
      <c r="AV92" s="22" t="str">
        <f t="shared" si="25"/>
        <v>koeling</v>
      </c>
      <c r="AW92" s="46">
        <f t="shared" si="26"/>
        <v>0</v>
      </c>
      <c r="AX92" s="24"/>
      <c r="AY92" s="12"/>
      <c r="AZ92" s="115">
        <v>1</v>
      </c>
      <c r="BA92" s="24">
        <f>IFERROR(INDEX(tabellen_EMD!$C$185:$N$193,MATCH($J92,tabellen_EMD!$C$185:$C$193,0),MATCH(BA$63,tabellen_EMD!$C$185:$N$185,0)),0)</f>
        <v>0</v>
      </c>
      <c r="BB92" s="115" t="e">
        <f t="shared" si="33"/>
        <v>#N/A</v>
      </c>
      <c r="BC92" s="15"/>
      <c r="BD92" s="115">
        <f t="shared" si="34"/>
        <v>1</v>
      </c>
      <c r="BE92" s="47" t="str">
        <f t="shared" si="35"/>
        <v>MJ/-</v>
      </c>
      <c r="BF92" s="15"/>
      <c r="BG92" s="218">
        <f>IFERROR(INDEX(tabellen_EMD!$C$240:$Z$248,MATCH($J92,tabellen_EMD!$C$240:$C$248,0),MATCH($B92,tabellen_EMD!$C$240:$Z$240,0))*(F92&lt;&gt;"zomercomfort"),0)</f>
        <v>0</v>
      </c>
      <c r="BH92" s="47" t="str">
        <f t="shared" si="36"/>
        <v>kg/-</v>
      </c>
      <c r="BI92" s="15"/>
    </row>
    <row r="93" spans="1:61">
      <c r="A93" s="86"/>
      <c r="B93" s="47" t="str">
        <f t="shared" si="24"/>
        <v>Enorm</v>
      </c>
      <c r="C93" s="47" t="str">
        <f t="shared" si="24"/>
        <v>NEN 7120</v>
      </c>
      <c r="D93" s="943"/>
      <c r="E93" s="14"/>
      <c r="F93" s="209" t="s">
        <v>1502</v>
      </c>
      <c r="G93" s="209"/>
      <c r="H93" s="209"/>
      <c r="I93" s="905"/>
      <c r="J93" s="1691" t="s">
        <v>465</v>
      </c>
      <c r="K93" s="1698"/>
      <c r="L93" s="16"/>
      <c r="M93" s="25"/>
      <c r="N93" s="22" t="str">
        <f t="shared" si="27"/>
        <v>MJ</v>
      </c>
      <c r="O93" s="39"/>
      <c r="P93" s="39"/>
      <c r="Q93" s="59">
        <f t="shared" si="28"/>
        <v>2.56</v>
      </c>
      <c r="R93" s="15"/>
      <c r="S93" s="24">
        <f t="shared" si="29"/>
        <v>0</v>
      </c>
      <c r="T93" s="47" t="str">
        <f>IFERROR(INDEX(energiedragers_EP_eenheden,MATCH($J93,tabellen_EMD!$C$196:$C$204,0),MATCH($B93,energiedragers_EP_eenheden_titel,0)),"-")</f>
        <v>kWh</v>
      </c>
      <c r="U93" s="39"/>
      <c r="V93" s="15"/>
      <c r="W93" s="59">
        <f t="shared" si="30"/>
        <v>0.56499999999999995</v>
      </c>
      <c r="X93" s="47" t="str">
        <f t="shared" si="31"/>
        <v>kg/kWh</v>
      </c>
      <c r="Y93" s="12"/>
      <c r="Z93" s="24">
        <f t="shared" si="32"/>
        <v>0</v>
      </c>
      <c r="AA93" s="47" t="s">
        <v>468</v>
      </c>
      <c r="AB93" s="67"/>
      <c r="AC93" s="995"/>
      <c r="AD93" s="1405"/>
      <c r="AE93" s="1405"/>
      <c r="AF93" s="1405"/>
      <c r="AG93" s="1405"/>
      <c r="AH93" s="1405"/>
      <c r="AI93" s="1405"/>
      <c r="AJ93" s="1405"/>
      <c r="AK93" s="1405"/>
      <c r="AL93" s="1405"/>
      <c r="AM93" s="1405"/>
      <c r="AN93" s="1405"/>
      <c r="AO93" s="1405"/>
      <c r="AP93" s="1405"/>
      <c r="AQ93" s="1405"/>
      <c r="AR93" s="1405"/>
      <c r="AS93" s="67"/>
      <c r="AT93" s="995"/>
      <c r="AU93" s="12"/>
      <c r="AV93" s="22" t="str">
        <f t="shared" si="25"/>
        <v>hulpenergie</v>
      </c>
      <c r="AW93" s="46" t="str">
        <f t="shared" si="26"/>
        <v>elektriciteit</v>
      </c>
      <c r="AX93" s="24"/>
      <c r="AY93" s="12"/>
      <c r="AZ93" s="115">
        <v>1</v>
      </c>
      <c r="BA93" s="24">
        <f>IFERROR(INDEX(tabellen_EMD!$C$185:$N$193,MATCH($J93,tabellen_EMD!$C$185:$C$193,0),MATCH(BA$63,tabellen_EMD!$C$185:$N$185,0)),0)</f>
        <v>0</v>
      </c>
      <c r="BB93" s="115">
        <f t="shared" si="33"/>
        <v>2.56</v>
      </c>
      <c r="BC93" s="15"/>
      <c r="BD93" s="115">
        <f t="shared" si="34"/>
        <v>3.6</v>
      </c>
      <c r="BE93" s="47" t="str">
        <f t="shared" si="35"/>
        <v>MJ/kWh</v>
      </c>
      <c r="BF93" s="15"/>
      <c r="BG93" s="218">
        <f>IFERROR(INDEX(tabellen_EMD!$C$240:$Z$248,MATCH($J93,tabellen_EMD!$C$240:$C$248,0),MATCH($B93,tabellen_EMD!$C$240:$Z$240,0))*(F93&lt;&gt;"zomercomfort"),0)</f>
        <v>0.56499999999999995</v>
      </c>
      <c r="BH93" s="47" t="str">
        <f t="shared" si="36"/>
        <v>kg/kWh</v>
      </c>
      <c r="BI93" s="15"/>
    </row>
    <row r="94" spans="1:61">
      <c r="A94" s="86"/>
      <c r="B94" s="47" t="str">
        <f>B92</f>
        <v>Enorm</v>
      </c>
      <c r="C94" s="47" t="str">
        <f>C92</f>
        <v>NEN 7120</v>
      </c>
      <c r="D94" s="943"/>
      <c r="E94" s="14"/>
      <c r="F94" s="22" t="s">
        <v>1396</v>
      </c>
      <c r="G94" s="22"/>
      <c r="H94" s="22"/>
      <c r="I94" s="905"/>
      <c r="J94" s="1691" t="s">
        <v>465</v>
      </c>
      <c r="K94" s="1698"/>
      <c r="L94" s="16"/>
      <c r="M94" s="25"/>
      <c r="N94" s="22" t="str">
        <f t="shared" si="27"/>
        <v>MJ</v>
      </c>
      <c r="O94" s="39"/>
      <c r="P94" s="39"/>
      <c r="Q94" s="59">
        <f t="shared" si="28"/>
        <v>2.56</v>
      </c>
      <c r="R94" s="15"/>
      <c r="S94" s="24">
        <f t="shared" si="29"/>
        <v>0</v>
      </c>
      <c r="T94" s="47" t="str">
        <f>IFERROR(INDEX(energiedragers_EP_eenheden,MATCH($J94,tabellen_EMD!$C$196:$C$204,0),MATCH($B94,energiedragers_EP_eenheden_titel,0)),"-")</f>
        <v>kWh</v>
      </c>
      <c r="U94" s="39"/>
      <c r="V94" s="15"/>
      <c r="W94" s="59">
        <f t="shared" si="30"/>
        <v>0</v>
      </c>
      <c r="X94" s="47" t="str">
        <f t="shared" si="31"/>
        <v>kg/kWh</v>
      </c>
      <c r="Y94" s="12"/>
      <c r="Z94" s="24">
        <f t="shared" si="32"/>
        <v>0</v>
      </c>
      <c r="AA94" s="47" t="s">
        <v>468</v>
      </c>
      <c r="AB94" s="67"/>
      <c r="AC94" s="995"/>
      <c r="AD94" s="1405"/>
      <c r="AE94" s="1405"/>
      <c r="AF94" s="1405"/>
      <c r="AG94" s="1405"/>
      <c r="AH94" s="1405"/>
      <c r="AI94" s="1405"/>
      <c r="AJ94" s="1405"/>
      <c r="AK94" s="1405"/>
      <c r="AL94" s="1405"/>
      <c r="AM94" s="1405"/>
      <c r="AN94" s="1405"/>
      <c r="AO94" s="1405"/>
      <c r="AP94" s="1405"/>
      <c r="AQ94" s="1405"/>
      <c r="AR94" s="1405"/>
      <c r="AS94" s="67"/>
      <c r="AT94" s="995"/>
      <c r="AU94" s="12"/>
      <c r="AV94" s="22" t="str">
        <f t="shared" si="25"/>
        <v>zomercomfort</v>
      </c>
      <c r="AW94" s="46" t="str">
        <f t="shared" si="26"/>
        <v>elektriciteit</v>
      </c>
      <c r="AX94" s="24"/>
      <c r="AY94" s="12"/>
      <c r="AZ94" s="115">
        <v>1</v>
      </c>
      <c r="BA94" s="24">
        <f>IFERROR(INDEX(tabellen_EMD!$C$185:$N$193,MATCH($J94,tabellen_EMD!$C$185:$C$193,0),MATCH(BA$63,tabellen_EMD!$C$185:$N$185,0)),0)</f>
        <v>0</v>
      </c>
      <c r="BB94" s="115">
        <f t="shared" si="33"/>
        <v>2.56</v>
      </c>
      <c r="BC94" s="15"/>
      <c r="BD94" s="115">
        <f t="shared" si="34"/>
        <v>3.6</v>
      </c>
      <c r="BE94" s="47" t="str">
        <f t="shared" si="35"/>
        <v>MJ/kWh</v>
      </c>
      <c r="BF94" s="15"/>
      <c r="BG94" s="218">
        <f>IFERROR(INDEX(tabellen_EMD!$C$240:$Z$248,MATCH($J94,tabellen_EMD!$C$240:$C$248,0),MATCH($B94,tabellen_EMD!$C$240:$Z$240,0))*(F94&lt;&gt;"zomercomfort"),0)</f>
        <v>0</v>
      </c>
      <c r="BH94" s="47" t="str">
        <f t="shared" si="36"/>
        <v>kg/kWh</v>
      </c>
      <c r="BI94" s="15"/>
    </row>
    <row r="95" spans="1:61">
      <c r="A95" s="86"/>
      <c r="B95" s="47" t="str">
        <f t="shared" si="24"/>
        <v>Enorm</v>
      </c>
      <c r="C95" s="47" t="str">
        <f t="shared" si="24"/>
        <v>NEN 7120</v>
      </c>
      <c r="D95" s="943"/>
      <c r="E95" s="14"/>
      <c r="F95" s="22" t="s">
        <v>505</v>
      </c>
      <c r="G95" s="22"/>
      <c r="H95" s="22"/>
      <c r="I95" s="905"/>
      <c r="J95" s="1691" t="s">
        <v>465</v>
      </c>
      <c r="K95" s="1698"/>
      <c r="L95" s="16"/>
      <c r="M95" s="25"/>
      <c r="N95" s="22" t="str">
        <f t="shared" si="27"/>
        <v>MJ</v>
      </c>
      <c r="O95" s="39"/>
      <c r="P95" s="39"/>
      <c r="Q95" s="59">
        <f t="shared" si="28"/>
        <v>2.56</v>
      </c>
      <c r="R95" s="15"/>
      <c r="S95" s="24">
        <f t="shared" si="29"/>
        <v>0</v>
      </c>
      <c r="T95" s="47" t="str">
        <f>IFERROR(INDEX(energiedragers_EP_eenheden,MATCH($J95,tabellen_EMD!$C$196:$C$204,0),MATCH($B95,energiedragers_EP_eenheden_titel,0)),"-")</f>
        <v>kWh</v>
      </c>
      <c r="U95" s="39"/>
      <c r="V95" s="15"/>
      <c r="W95" s="59">
        <f t="shared" si="30"/>
        <v>0.56499999999999995</v>
      </c>
      <c r="X95" s="47" t="str">
        <f t="shared" si="31"/>
        <v>kg/kWh</v>
      </c>
      <c r="Y95" s="12"/>
      <c r="Z95" s="24">
        <f t="shared" si="32"/>
        <v>0</v>
      </c>
      <c r="AA95" s="47" t="s">
        <v>468</v>
      </c>
      <c r="AB95" s="67"/>
      <c r="AC95" s="995"/>
      <c r="AD95" s="1405"/>
      <c r="AE95" s="1405"/>
      <c r="AF95" s="1405"/>
      <c r="AG95" s="1405"/>
      <c r="AH95" s="1405"/>
      <c r="AI95" s="1405"/>
      <c r="AJ95" s="1405"/>
      <c r="AK95" s="1405"/>
      <c r="AL95" s="1405"/>
      <c r="AM95" s="1405"/>
      <c r="AN95" s="1405"/>
      <c r="AO95" s="1405"/>
      <c r="AP95" s="1405"/>
      <c r="AQ95" s="1405"/>
      <c r="AR95" s="1405"/>
      <c r="AS95" s="67"/>
      <c r="AT95" s="995"/>
      <c r="AU95" s="12"/>
      <c r="AV95" s="22" t="str">
        <f t="shared" si="25"/>
        <v>bevochtiging</v>
      </c>
      <c r="AW95" s="46" t="str">
        <f t="shared" si="26"/>
        <v>elektriciteit</v>
      </c>
      <c r="AX95" s="24"/>
      <c r="AY95" s="12"/>
      <c r="AZ95" s="115">
        <v>1</v>
      </c>
      <c r="BA95" s="24">
        <f>IFERROR(INDEX(tabellen_EMD!$C$185:$N$193,MATCH($J95,tabellen_EMD!$C$185:$C$193,0),MATCH(BA$63,tabellen_EMD!$C$185:$N$185,0)),0)</f>
        <v>0</v>
      </c>
      <c r="BB95" s="115">
        <f t="shared" si="33"/>
        <v>2.56</v>
      </c>
      <c r="BC95" s="15"/>
      <c r="BD95" s="115">
        <f t="shared" si="34"/>
        <v>3.6</v>
      </c>
      <c r="BE95" s="47" t="str">
        <f t="shared" si="35"/>
        <v>MJ/kWh</v>
      </c>
      <c r="BF95" s="15"/>
      <c r="BG95" s="218">
        <f>IFERROR(INDEX(tabellen_EMD!$C$240:$Z$248,MATCH($J95,tabellen_EMD!$C$240:$C$248,0),MATCH($B95,tabellen_EMD!$C$240:$Z$240,0))*(F95&lt;&gt;"zomercomfort"),0)</f>
        <v>0.56499999999999995</v>
      </c>
      <c r="BH95" s="47" t="str">
        <f t="shared" si="36"/>
        <v>kg/kWh</v>
      </c>
      <c r="BI95" s="15"/>
    </row>
    <row r="96" spans="1:61">
      <c r="A96" s="86"/>
      <c r="B96" s="47" t="str">
        <f t="shared" si="24"/>
        <v>Enorm</v>
      </c>
      <c r="C96" s="47" t="str">
        <f t="shared" si="24"/>
        <v>NEN 7120</v>
      </c>
      <c r="D96" s="943"/>
      <c r="E96" s="14"/>
      <c r="F96" s="22" t="s">
        <v>506</v>
      </c>
      <c r="G96" s="22"/>
      <c r="H96" s="22"/>
      <c r="I96" s="905"/>
      <c r="J96" s="1691" t="s">
        <v>465</v>
      </c>
      <c r="K96" s="1698"/>
      <c r="L96" s="16"/>
      <c r="M96" s="25"/>
      <c r="N96" s="22" t="str">
        <f t="shared" si="27"/>
        <v>MJ</v>
      </c>
      <c r="O96" s="905"/>
      <c r="P96" s="39"/>
      <c r="Q96" s="59">
        <f t="shared" si="28"/>
        <v>2.56</v>
      </c>
      <c r="R96" s="15"/>
      <c r="S96" s="24">
        <f t="shared" si="29"/>
        <v>0</v>
      </c>
      <c r="T96" s="47" t="str">
        <f>IFERROR(INDEX(energiedragers_EP_eenheden,MATCH($J96,tabellen_EMD!$C$196:$C$204,0),MATCH($B96,energiedragers_EP_eenheden_titel,0)),"-")</f>
        <v>kWh</v>
      </c>
      <c r="U96" s="39"/>
      <c r="V96" s="15"/>
      <c r="W96" s="59">
        <f t="shared" si="30"/>
        <v>0.56499999999999995</v>
      </c>
      <c r="X96" s="47" t="str">
        <f t="shared" si="31"/>
        <v>kg/kWh</v>
      </c>
      <c r="Y96" s="12"/>
      <c r="Z96" s="24">
        <f t="shared" si="32"/>
        <v>0</v>
      </c>
      <c r="AA96" s="47" t="s">
        <v>468</v>
      </c>
      <c r="AB96" s="67"/>
      <c r="AC96" s="995"/>
      <c r="AD96" s="1405"/>
      <c r="AE96" s="1405"/>
      <c r="AF96" s="1405"/>
      <c r="AG96" s="1405"/>
      <c r="AH96" s="1405"/>
      <c r="AI96" s="1405"/>
      <c r="AJ96" s="1405"/>
      <c r="AK96" s="1405"/>
      <c r="AL96" s="1405"/>
      <c r="AM96" s="1405"/>
      <c r="AN96" s="1405"/>
      <c r="AO96" s="1405"/>
      <c r="AP96" s="1405"/>
      <c r="AQ96" s="1405"/>
      <c r="AR96" s="1405"/>
      <c r="AS96" s="67"/>
      <c r="AT96" s="995"/>
      <c r="AU96" s="12"/>
      <c r="AV96" s="22" t="str">
        <f t="shared" si="25"/>
        <v>ontvochtiging</v>
      </c>
      <c r="AW96" s="46" t="str">
        <f t="shared" si="26"/>
        <v>elektriciteit</v>
      </c>
      <c r="AX96" s="24"/>
      <c r="AY96" s="12"/>
      <c r="AZ96" s="115">
        <v>1</v>
      </c>
      <c r="BA96" s="24">
        <f>IFERROR(INDEX(tabellen_EMD!$C$185:$N$193,MATCH($J96,tabellen_EMD!$C$185:$C$193,0),MATCH(BA$63,tabellen_EMD!$C$185:$N$185,0)),0)</f>
        <v>0</v>
      </c>
      <c r="BB96" s="115">
        <f t="shared" si="33"/>
        <v>2.56</v>
      </c>
      <c r="BC96" s="15"/>
      <c r="BD96" s="115">
        <f t="shared" si="34"/>
        <v>3.6</v>
      </c>
      <c r="BE96" s="47" t="str">
        <f t="shared" si="35"/>
        <v>MJ/kWh</v>
      </c>
      <c r="BF96" s="15"/>
      <c r="BG96" s="218">
        <f>IFERROR(INDEX(tabellen_EMD!$C$240:$Z$248,MATCH($J96,tabellen_EMD!$C$240:$C$248,0),MATCH($B96,tabellen_EMD!$C$240:$Z$240,0))*(F96&lt;&gt;"zomercomfort"),0)</f>
        <v>0.56499999999999995</v>
      </c>
      <c r="BH96" s="47" t="str">
        <f t="shared" si="36"/>
        <v>kg/kWh</v>
      </c>
      <c r="BI96" s="15"/>
    </row>
    <row r="97" spans="1:61">
      <c r="A97" s="86"/>
      <c r="B97" s="47" t="str">
        <f t="shared" si="24"/>
        <v>Enorm</v>
      </c>
      <c r="C97" s="47" t="str">
        <f t="shared" si="24"/>
        <v>NEN 7120</v>
      </c>
      <c r="D97" s="943"/>
      <c r="E97" s="14"/>
      <c r="F97" s="22" t="s">
        <v>1375</v>
      </c>
      <c r="G97" s="22"/>
      <c r="H97" s="22"/>
      <c r="I97" s="905"/>
      <c r="J97" s="1691" t="s">
        <v>465</v>
      </c>
      <c r="K97" s="1698"/>
      <c r="L97" s="16"/>
      <c r="M97" s="25"/>
      <c r="N97" s="22" t="str">
        <f t="shared" si="27"/>
        <v>MJ</v>
      </c>
      <c r="O97" s="899"/>
      <c r="P97" s="39"/>
      <c r="Q97" s="59">
        <f t="shared" si="28"/>
        <v>2.56</v>
      </c>
      <c r="R97" s="15"/>
      <c r="S97" s="24">
        <f t="shared" si="29"/>
        <v>0</v>
      </c>
      <c r="T97" s="47" t="str">
        <f>IFERROR(INDEX(energiedragers_EP_eenheden,MATCH($J97,tabellen_EMD!$C$196:$C$204,0),MATCH($B97,energiedragers_EP_eenheden_titel,0)),"-")</f>
        <v>kWh</v>
      </c>
      <c r="U97" s="39"/>
      <c r="V97" s="15"/>
      <c r="W97" s="59">
        <f t="shared" si="30"/>
        <v>0.56499999999999995</v>
      </c>
      <c r="X97" s="47" t="str">
        <f t="shared" si="31"/>
        <v>kg/kWh</v>
      </c>
      <c r="Y97" s="12"/>
      <c r="Z97" s="24">
        <f t="shared" si="32"/>
        <v>0</v>
      </c>
      <c r="AA97" s="47" t="s">
        <v>468</v>
      </c>
      <c r="AB97" s="67"/>
      <c r="AC97" s="995"/>
      <c r="AD97" s="1405"/>
      <c r="AE97" s="1405"/>
      <c r="AF97" s="1405"/>
      <c r="AG97" s="1405"/>
      <c r="AH97" s="1405"/>
      <c r="AI97" s="1405"/>
      <c r="AJ97" s="1405"/>
      <c r="AK97" s="1405"/>
      <c r="AL97" s="1405"/>
      <c r="AM97" s="1405"/>
      <c r="AN97" s="1405"/>
      <c r="AO97" s="1405"/>
      <c r="AP97" s="1405"/>
      <c r="AQ97" s="1405"/>
      <c r="AR97" s="1405"/>
      <c r="AS97" s="67"/>
      <c r="AT97" s="995"/>
      <c r="AU97" s="12"/>
      <c r="AV97" s="22" t="str">
        <f t="shared" si="25"/>
        <v>ventilatoren</v>
      </c>
      <c r="AW97" s="46" t="str">
        <f t="shared" si="26"/>
        <v>elektriciteit</v>
      </c>
      <c r="AX97" s="24"/>
      <c r="AY97" s="12"/>
      <c r="AZ97" s="115">
        <v>1</v>
      </c>
      <c r="BA97" s="24">
        <f>IFERROR(INDEX(tabellen_EMD!$C$185:$N$193,MATCH($J97,tabellen_EMD!$C$185:$C$193,0),MATCH(BA$63,tabellen_EMD!$C$185:$N$185,0)),0)</f>
        <v>0</v>
      </c>
      <c r="BB97" s="115">
        <f t="shared" si="33"/>
        <v>2.56</v>
      </c>
      <c r="BC97" s="15"/>
      <c r="BD97" s="115">
        <f t="shared" si="34"/>
        <v>3.6</v>
      </c>
      <c r="BE97" s="47" t="str">
        <f t="shared" si="35"/>
        <v>MJ/kWh</v>
      </c>
      <c r="BF97" s="15"/>
      <c r="BG97" s="218">
        <f>IFERROR(INDEX(tabellen_EMD!$C$240:$Z$248,MATCH($J97,tabellen_EMD!$C$240:$C$248,0),MATCH($B97,tabellen_EMD!$C$240:$Z$240,0))*(F97&lt;&gt;"zomercomfort"),0)</f>
        <v>0.56499999999999995</v>
      </c>
      <c r="BH97" s="47" t="str">
        <f t="shared" si="36"/>
        <v>kg/kWh</v>
      </c>
      <c r="BI97" s="15"/>
    </row>
    <row r="98" spans="1:61">
      <c r="A98" s="18"/>
      <c r="B98" s="47" t="str">
        <f t="shared" si="24"/>
        <v>Enorm</v>
      </c>
      <c r="C98" s="47" t="str">
        <f t="shared" si="24"/>
        <v>NEN 7120</v>
      </c>
      <c r="D98" s="943"/>
      <c r="E98" s="14"/>
      <c r="F98" s="22" t="s">
        <v>507</v>
      </c>
      <c r="G98" s="22"/>
      <c r="H98" s="22"/>
      <c r="I98" s="905"/>
      <c r="J98" s="1691" t="s">
        <v>465</v>
      </c>
      <c r="K98" s="1698"/>
      <c r="L98" s="16"/>
      <c r="M98" s="25"/>
      <c r="N98" s="22" t="str">
        <f t="shared" si="27"/>
        <v>MJ</v>
      </c>
      <c r="O98" s="899"/>
      <c r="P98" s="39"/>
      <c r="Q98" s="59">
        <f t="shared" si="28"/>
        <v>2.56</v>
      </c>
      <c r="R98" s="15"/>
      <c r="S98" s="24">
        <f t="shared" si="29"/>
        <v>0</v>
      </c>
      <c r="T98" s="47" t="str">
        <f>IFERROR(INDEX(energiedragers_EP_eenheden,MATCH($J98,tabellen_EMD!$C$196:$C$204,0),MATCH($B98,energiedragers_EP_eenheden_titel,0)),"-")</f>
        <v>kWh</v>
      </c>
      <c r="U98" s="39"/>
      <c r="V98" s="15"/>
      <c r="W98" s="59">
        <f t="shared" si="30"/>
        <v>0.56499999999999995</v>
      </c>
      <c r="X98" s="47" t="str">
        <f t="shared" si="31"/>
        <v>kg/kWh</v>
      </c>
      <c r="Y98" s="12"/>
      <c r="Z98" s="24">
        <f t="shared" si="32"/>
        <v>0</v>
      </c>
      <c r="AA98" s="47" t="s">
        <v>468</v>
      </c>
      <c r="AB98" s="67"/>
      <c r="AC98" s="995"/>
      <c r="AD98" s="1405"/>
      <c r="AE98" s="1405"/>
      <c r="AF98" s="1405"/>
      <c r="AG98" s="1405"/>
      <c r="AH98" s="1405"/>
      <c r="AI98" s="1405"/>
      <c r="AJ98" s="1405"/>
      <c r="AK98" s="1405"/>
      <c r="AL98" s="1405"/>
      <c r="AM98" s="1405"/>
      <c r="AN98" s="1405"/>
      <c r="AO98" s="1405"/>
      <c r="AP98" s="1405"/>
      <c r="AQ98" s="1405"/>
      <c r="AR98" s="1405"/>
      <c r="AS98" s="67"/>
      <c r="AT98" s="995"/>
      <c r="AU98" s="12"/>
      <c r="AV98" s="22" t="str">
        <f t="shared" si="25"/>
        <v>verlichting</v>
      </c>
      <c r="AW98" s="46" t="str">
        <f t="shared" si="26"/>
        <v>elektriciteit</v>
      </c>
      <c r="AX98" s="24"/>
      <c r="AY98" s="12"/>
      <c r="AZ98" s="115">
        <v>1</v>
      </c>
      <c r="BA98" s="24">
        <f>IFERROR(INDEX(tabellen_EMD!$C$185:$N$193,MATCH($J98,tabellen_EMD!$C$185:$C$193,0),MATCH(BA$63,tabellen_EMD!$C$185:$N$185,0)),0)</f>
        <v>0</v>
      </c>
      <c r="BB98" s="115">
        <f t="shared" si="33"/>
        <v>2.56</v>
      </c>
      <c r="BC98" s="15"/>
      <c r="BD98" s="115">
        <f t="shared" si="34"/>
        <v>3.6</v>
      </c>
      <c r="BE98" s="47" t="str">
        <f t="shared" si="35"/>
        <v>MJ/kWh</v>
      </c>
      <c r="BF98" s="15"/>
      <c r="BG98" s="218">
        <f>IFERROR(INDEX(tabellen_EMD!$C$240:$Z$248,MATCH($J98,tabellen_EMD!$C$240:$C$248,0),MATCH($B98,tabellen_EMD!$C$240:$Z$240,0))*(F98&lt;&gt;"zomercomfort"),0)</f>
        <v>0.56499999999999995</v>
      </c>
      <c r="BH98" s="47" t="str">
        <f t="shared" si="36"/>
        <v>kg/kWh</v>
      </c>
      <c r="BI98" s="15"/>
    </row>
    <row r="99" spans="1:61">
      <c r="A99" s="18"/>
      <c r="B99" s="47" t="str">
        <f t="shared" si="24"/>
        <v>Enorm</v>
      </c>
      <c r="C99" s="47" t="str">
        <f t="shared" si="24"/>
        <v>NEN 7120</v>
      </c>
      <c r="D99" s="943"/>
      <c r="E99" s="14"/>
      <c r="F99" s="330" t="s">
        <v>1391</v>
      </c>
      <c r="G99" s="330"/>
      <c r="H99" s="330"/>
      <c r="I99" s="905"/>
      <c r="J99" s="965" t="s">
        <v>1391</v>
      </c>
      <c r="K99" s="965"/>
      <c r="L99" s="16"/>
      <c r="M99" s="950">
        <f>SUM(M88:M98)</f>
        <v>0</v>
      </c>
      <c r="N99" s="15" t="str">
        <f t="shared" si="27"/>
        <v>MJ</v>
      </c>
      <c r="O99" s="899"/>
      <c r="P99" s="39"/>
      <c r="Q99" s="984"/>
      <c r="R99" s="15"/>
      <c r="S99" s="15"/>
      <c r="T99" s="15"/>
      <c r="U99" s="39"/>
      <c r="V99" s="15"/>
      <c r="W99" s="984"/>
      <c r="X99" s="15"/>
      <c r="Y99" s="39"/>
      <c r="Z99" s="950">
        <f>SUM(Z88:Z98)</f>
        <v>0</v>
      </c>
      <c r="AA99" s="15" t="s">
        <v>468</v>
      </c>
      <c r="AB99" s="67"/>
      <c r="AC99" s="995"/>
      <c r="AD99" s="1405"/>
      <c r="AE99" s="1405"/>
      <c r="AF99" s="1405"/>
      <c r="AG99" s="1405"/>
      <c r="AH99" s="1405"/>
      <c r="AI99" s="1405"/>
      <c r="AJ99" s="1405"/>
      <c r="AK99" s="1405"/>
      <c r="AL99" s="1405"/>
      <c r="AM99" s="1405"/>
      <c r="AN99" s="1405"/>
      <c r="AO99" s="1405"/>
      <c r="AP99" s="1405"/>
      <c r="AQ99" s="1405"/>
      <c r="AR99" s="1405"/>
      <c r="AS99" s="67"/>
      <c r="AT99" s="995"/>
      <c r="AU99" s="12"/>
      <c r="AV99" s="22" t="str">
        <f t="shared" si="25"/>
        <v>totaal</v>
      </c>
      <c r="AW99" s="46" t="str">
        <f t="shared" si="26"/>
        <v>totaal</v>
      </c>
      <c r="AX99" s="24"/>
      <c r="AY99" s="12"/>
      <c r="AZ99" s="15"/>
      <c r="BA99" s="12"/>
      <c r="BB99" s="15"/>
      <c r="BC99" s="15"/>
      <c r="BD99" s="15"/>
      <c r="BE99" s="15"/>
      <c r="BF99" s="15"/>
      <c r="BG99" s="899"/>
      <c r="BH99" s="899"/>
      <c r="BI99" s="15"/>
    </row>
    <row r="100" spans="1:61">
      <c r="A100" s="18"/>
      <c r="B100" s="47" t="str">
        <f t="shared" si="24"/>
        <v>Enorm</v>
      </c>
      <c r="C100" s="47" t="str">
        <f t="shared" si="24"/>
        <v>NEN 7120</v>
      </c>
      <c r="D100" s="943"/>
      <c r="E100" s="14"/>
      <c r="F100" s="22" t="s">
        <v>1392</v>
      </c>
      <c r="G100" s="22"/>
      <c r="H100" s="22"/>
      <c r="I100" s="905"/>
      <c r="J100" s="1691" t="s">
        <v>466</v>
      </c>
      <c r="K100" s="1698"/>
      <c r="L100" s="16"/>
      <c r="M100" s="25"/>
      <c r="N100" s="22" t="str">
        <f t="shared" si="27"/>
        <v>MJ</v>
      </c>
      <c r="O100" s="899"/>
      <c r="P100" s="39"/>
      <c r="Q100" s="59">
        <f>IFERROR(IF(AND(P100&lt;&gt;"",$BA100=1),P100,BB100),1)</f>
        <v>2.56</v>
      </c>
      <c r="R100" s="15"/>
      <c r="S100" s="24">
        <f>M100/Q100/BD100</f>
        <v>0</v>
      </c>
      <c r="T100" s="47" t="str">
        <f>IFERROR(INDEX(energiedragers_EP_eenheden,MATCH($J100,tabellen_EMD!$C$196:$C$204,0),MATCH($B100,energiedragers_EP_eenheden_titel,0)),"-")</f>
        <v>kWh</v>
      </c>
      <c r="U100" s="39"/>
      <c r="V100" s="15"/>
      <c r="W100" s="59">
        <f>IF(AND(V100&lt;&gt;"",$BA100=1),V100,BG100)</f>
        <v>0.56499999999999995</v>
      </c>
      <c r="X100" s="47" t="str">
        <f>BH100</f>
        <v>kg/kWh</v>
      </c>
      <c r="Y100" s="12"/>
      <c r="Z100" s="24">
        <f>S100*W100*ABS(AZ100)</f>
        <v>0</v>
      </c>
      <c r="AA100" s="47" t="s">
        <v>468</v>
      </c>
      <c r="AB100" s="67"/>
      <c r="AC100" s="995"/>
      <c r="AD100" s="1405"/>
      <c r="AE100" s="1405"/>
      <c r="AF100" s="1405"/>
      <c r="AG100" s="1405"/>
      <c r="AH100" s="1405"/>
      <c r="AI100" s="1405"/>
      <c r="AJ100" s="1405"/>
      <c r="AK100" s="1405"/>
      <c r="AL100" s="1405"/>
      <c r="AM100" s="1405"/>
      <c r="AN100" s="1405"/>
      <c r="AO100" s="1405"/>
      <c r="AP100" s="1405"/>
      <c r="AQ100" s="1405"/>
      <c r="AR100" s="1405"/>
      <c r="AS100" s="67"/>
      <c r="AT100" s="995"/>
      <c r="AU100" s="12"/>
      <c r="AV100" s="22" t="str">
        <f t="shared" si="25"/>
        <v>elektriciteitsproductie gebouwgebonden</v>
      </c>
      <c r="AW100" s="46" t="str">
        <f t="shared" si="26"/>
        <v>elektriciteit opgewekt</v>
      </c>
      <c r="AX100" s="24"/>
      <c r="AY100" s="12"/>
      <c r="AZ100" s="115">
        <v>-1</v>
      </c>
      <c r="BA100" s="24">
        <f>IFERROR(INDEX(tabellen_EMD!$C$185:$N$193,MATCH($J100,tabellen_EMD!$C$185:$C$193,0),MATCH(BA$63,tabellen_EMD!$C$185:$N$185,0)),0)</f>
        <v>0</v>
      </c>
      <c r="BB100" s="115">
        <f>VLOOKUP($J100,energiedragers_EP_PEF,MATCH(_xlfn.CONCAT($C100," | PEF"),energiedragers_EP_PEF_titel,0),FALSE)</f>
        <v>2.56</v>
      </c>
      <c r="BC100" s="15"/>
      <c r="BD100" s="115">
        <f>IFERROR(VLOOKUP($J100,energiedragers_EP_omrekenen,MATCH($B100,energiedragers_EP_omrekenen_titel,0),FALSE),1)</f>
        <v>3.6</v>
      </c>
      <c r="BE100" s="47" t="str">
        <f>_xlfn.CONCAT(N100,"/",T100)</f>
        <v>MJ/kWh</v>
      </c>
      <c r="BF100" s="15"/>
      <c r="BG100" s="218">
        <f>IFERROR(INDEX(tabellen_EMD!$C$240:$Z$248,MATCH($J100,tabellen_EMD!$C$240:$C$248,0),MATCH($B100,tabellen_EMD!$C$240:$Z$240,0))*(F100&lt;&gt;"zomercomfort"),0)</f>
        <v>0.56499999999999995</v>
      </c>
      <c r="BH100" s="47" t="str">
        <f>"kg/"&amp;T100</f>
        <v>kg/kWh</v>
      </c>
      <c r="BI100" s="15"/>
    </row>
    <row r="101" spans="1:61" s="18" customFormat="1">
      <c r="B101" s="47" t="str">
        <f t="shared" si="24"/>
        <v>Enorm</v>
      </c>
      <c r="C101" s="47" t="str">
        <f t="shared" si="24"/>
        <v>NEN 7120</v>
      </c>
      <c r="D101" s="943"/>
      <c r="E101" s="14"/>
      <c r="F101" s="330" t="s">
        <v>1393</v>
      </c>
      <c r="G101" s="330"/>
      <c r="H101" s="330"/>
      <c r="I101" s="905"/>
      <c r="J101" s="965" t="s">
        <v>1391</v>
      </c>
      <c r="K101" s="965"/>
      <c r="L101" s="16"/>
      <c r="M101" s="950">
        <f>SUM(M99,M100)</f>
        <v>0</v>
      </c>
      <c r="N101" s="15" t="str">
        <f t="shared" si="27"/>
        <v>MJ</v>
      </c>
      <c r="O101" s="899"/>
      <c r="P101" s="39"/>
      <c r="Q101" s="984"/>
      <c r="R101" s="15"/>
      <c r="S101" s="15"/>
      <c r="T101" s="15"/>
      <c r="U101" s="39"/>
      <c r="V101" s="15"/>
      <c r="W101" s="984"/>
      <c r="X101" s="15"/>
      <c r="Y101" s="39"/>
      <c r="Z101" s="950">
        <f>SUM(Z99,Z100)</f>
        <v>0</v>
      </c>
      <c r="AA101" s="15" t="s">
        <v>468</v>
      </c>
      <c r="AB101" s="67"/>
      <c r="AC101" s="995"/>
      <c r="AD101" s="1405"/>
      <c r="AE101" s="1405"/>
      <c r="AF101" s="1405"/>
      <c r="AG101" s="1405"/>
      <c r="AH101" s="1405"/>
      <c r="AI101" s="1405"/>
      <c r="AJ101" s="1405"/>
      <c r="AK101" s="1405"/>
      <c r="AL101" s="1405"/>
      <c r="AM101" s="1405"/>
      <c r="AN101" s="1405"/>
      <c r="AO101" s="1405"/>
      <c r="AP101" s="1405"/>
      <c r="AQ101" s="1405"/>
      <c r="AR101" s="1405"/>
      <c r="AS101" s="67"/>
      <c r="AT101" s="995"/>
      <c r="AU101" s="12"/>
      <c r="AV101" s="22" t="str">
        <f t="shared" si="25"/>
        <v>afgenomen energie</v>
      </c>
      <c r="AW101" s="46" t="str">
        <f t="shared" si="26"/>
        <v>totaal</v>
      </c>
      <c r="AX101" s="24"/>
      <c r="AY101" s="12"/>
      <c r="AZ101" s="15"/>
      <c r="BA101" s="12"/>
      <c r="BB101" s="15"/>
      <c r="BC101" s="15"/>
      <c r="BD101" s="15"/>
      <c r="BE101" s="15"/>
      <c r="BF101" s="15"/>
      <c r="BG101" s="899"/>
      <c r="BH101" s="899"/>
      <c r="BI101" s="15"/>
    </row>
    <row r="102" spans="1:61">
      <c r="A102" s="18"/>
      <c r="B102" s="47" t="str">
        <f t="shared" si="24"/>
        <v>Enorm</v>
      </c>
      <c r="C102" s="47" t="str">
        <f t="shared" si="24"/>
        <v>NEN 7120</v>
      </c>
      <c r="D102" s="943"/>
      <c r="E102" s="14"/>
      <c r="F102" s="22" t="s">
        <v>1394</v>
      </c>
      <c r="G102" s="22"/>
      <c r="H102" s="22"/>
      <c r="I102" s="905"/>
      <c r="J102" s="1691" t="s">
        <v>1538</v>
      </c>
      <c r="K102" s="1698"/>
      <c r="L102" s="16"/>
      <c r="M102" s="25"/>
      <c r="N102" s="22" t="str">
        <f t="shared" si="27"/>
        <v>MJ</v>
      </c>
      <c r="O102" s="899"/>
      <c r="P102" s="39"/>
      <c r="Q102" s="59">
        <f>IFERROR(IF(AND(P102&lt;&gt;"",$BA102=1),P102,BB102),1)</f>
        <v>2</v>
      </c>
      <c r="R102" s="15"/>
      <c r="S102" s="24">
        <f>M102/Q102/BD102</f>
        <v>0</v>
      </c>
      <c r="T102" s="47" t="str">
        <f>IFERROR(INDEX(energiedragers_EP_eenheden,MATCH($J102,tabellen_EMD!$C$196:$C$204,0),MATCH($B102,energiedragers_EP_eenheden_titel,0)),"-")</f>
        <v>kWh</v>
      </c>
      <c r="U102" s="39"/>
      <c r="V102" s="15"/>
      <c r="W102" s="59">
        <f>IF(AND(V102&lt;&gt;"",$BA102=1),V102,BG102)</f>
        <v>0.56499999999999995</v>
      </c>
      <c r="X102" s="47" t="str">
        <f>BH102</f>
        <v>kg/kWh</v>
      </c>
      <c r="Y102" s="12"/>
      <c r="Z102" s="24">
        <f>S102*W102*ABS(AZ102)</f>
        <v>0</v>
      </c>
      <c r="AA102" s="47" t="s">
        <v>468</v>
      </c>
      <c r="AB102" s="67"/>
      <c r="AC102" s="995"/>
      <c r="AD102" s="1405"/>
      <c r="AE102" s="1405"/>
      <c r="AF102" s="1405"/>
      <c r="AG102" s="1405"/>
      <c r="AH102" s="1405"/>
      <c r="AI102" s="1405"/>
      <c r="AJ102" s="1405"/>
      <c r="AK102" s="1405"/>
      <c r="AL102" s="1405"/>
      <c r="AM102" s="1405"/>
      <c r="AN102" s="1405"/>
      <c r="AO102" s="1405"/>
      <c r="AP102" s="1405"/>
      <c r="AQ102" s="1405"/>
      <c r="AR102" s="1405"/>
      <c r="AS102" s="67"/>
      <c r="AT102" s="995"/>
      <c r="AU102" s="12"/>
      <c r="AV102" s="22" t="str">
        <f t="shared" si="25"/>
        <v>geëxporteerde energie</v>
      </c>
      <c r="AW102" s="46" t="str">
        <f t="shared" si="26"/>
        <v>elektriciteit geëxporteerd</v>
      </c>
      <c r="AX102" s="24"/>
      <c r="AY102" s="12"/>
      <c r="AZ102" s="115">
        <v>-1</v>
      </c>
      <c r="BA102" s="24">
        <f>IFERROR(INDEX(tabellen_EMD!$C$185:$N$193,MATCH($J102,tabellen_EMD!$C$185:$C$193,0),MATCH(BA$63,tabellen_EMD!$C$185:$N$185,0)),0)</f>
        <v>0</v>
      </c>
      <c r="BB102" s="115">
        <f>VLOOKUP($J102,energiedragers_EP_PEF,MATCH(_xlfn.CONCAT($C102," | PEF"),energiedragers_EP_PEF_titel,0),FALSE)</f>
        <v>2</v>
      </c>
      <c r="BC102" s="15"/>
      <c r="BD102" s="115">
        <f>IFERROR(VLOOKUP($J102,energiedragers_EP_omrekenen,MATCH($B102,energiedragers_EP_omrekenen_titel,0),FALSE),1)</f>
        <v>3.6</v>
      </c>
      <c r="BE102" s="47" t="str">
        <f>_xlfn.CONCAT(N102,"/",T102)</f>
        <v>MJ/kWh</v>
      </c>
      <c r="BF102" s="15"/>
      <c r="BG102" s="218">
        <f>IFERROR(INDEX(tabellen_EMD!$C$240:$Z$248,MATCH($J102,tabellen_EMD!$C$240:$C$248,0),MATCH($B102,tabellen_EMD!$C$240:$Z$240,0))*(F102&lt;&gt;"zomercomfort"),0)</f>
        <v>0.56499999999999995</v>
      </c>
      <c r="BH102" s="47" t="str">
        <f>"kg/"&amp;T102</f>
        <v>kg/kWh</v>
      </c>
      <c r="BI102" s="15"/>
    </row>
    <row r="103" spans="1:61">
      <c r="A103" s="18"/>
      <c r="B103" s="47" t="str">
        <f t="shared" ref="B103:C106" si="37">B102</f>
        <v>Enorm</v>
      </c>
      <c r="C103" s="47" t="str">
        <f t="shared" si="37"/>
        <v>NEN 7120</v>
      </c>
      <c r="D103" s="943"/>
      <c r="E103" s="14"/>
      <c r="F103" s="22" t="s">
        <v>1395</v>
      </c>
      <c r="G103" s="22"/>
      <c r="H103" s="22"/>
      <c r="I103" s="905"/>
      <c r="J103" s="1691" t="s">
        <v>466</v>
      </c>
      <c r="K103" s="1698"/>
      <c r="L103" s="16"/>
      <c r="M103" s="25"/>
      <c r="N103" s="22" t="str">
        <f t="shared" si="27"/>
        <v>MJ</v>
      </c>
      <c r="O103" s="899"/>
      <c r="P103" s="39"/>
      <c r="Q103" s="59">
        <f>IFERROR(IF(AND(P103&lt;&gt;"",$BA103=1),P103,BB103),1)</f>
        <v>2.56</v>
      </c>
      <c r="R103" s="15"/>
      <c r="S103" s="24">
        <f>M103/Q103/BD103</f>
        <v>0</v>
      </c>
      <c r="T103" s="47" t="str">
        <f>IFERROR(INDEX(energiedragers_EP_eenheden,MATCH($J103,tabellen_EMD!$C$196:$C$204,0),MATCH($B103,energiedragers_EP_eenheden_titel,0)),"-")</f>
        <v>kWh</v>
      </c>
      <c r="U103" s="39"/>
      <c r="V103" s="15"/>
      <c r="W103" s="59">
        <f>IF(AND(V103&lt;&gt;"",$BA103=1),V103,BG103)</f>
        <v>0.56499999999999995</v>
      </c>
      <c r="X103" s="47" t="str">
        <f>BH103</f>
        <v>kg/kWh</v>
      </c>
      <c r="Y103" s="12"/>
      <c r="Z103" s="24">
        <f>S103*W103*ABS(AZ103)</f>
        <v>0</v>
      </c>
      <c r="AA103" s="47" t="s">
        <v>468</v>
      </c>
      <c r="AB103" s="67"/>
      <c r="AC103" s="995"/>
      <c r="AD103" s="1405"/>
      <c r="AE103" s="1405"/>
      <c r="AF103" s="1405"/>
      <c r="AG103" s="1405"/>
      <c r="AH103" s="1405"/>
      <c r="AI103" s="1405"/>
      <c r="AJ103" s="1405"/>
      <c r="AK103" s="1405"/>
      <c r="AL103" s="1405"/>
      <c r="AM103" s="1405"/>
      <c r="AN103" s="1405"/>
      <c r="AO103" s="1405"/>
      <c r="AP103" s="1405"/>
      <c r="AQ103" s="1405"/>
      <c r="AR103" s="1405"/>
      <c r="AS103" s="67"/>
      <c r="AT103" s="995"/>
      <c r="AU103" s="12"/>
      <c r="AV103" s="22" t="str">
        <f t="shared" si="25"/>
        <v>elektriciteitsproductie niet-gebouwgebonden</v>
      </c>
      <c r="AW103" s="46" t="str">
        <f t="shared" si="26"/>
        <v>elektriciteit opgewekt</v>
      </c>
      <c r="AX103" s="24"/>
      <c r="AY103" s="12"/>
      <c r="AZ103" s="115">
        <v>-1</v>
      </c>
      <c r="BA103" s="24">
        <f>IFERROR(INDEX(tabellen_EMD!$C$185:$N$193,MATCH($J103,tabellen_EMD!$C$185:$C$193,0),MATCH(BA$63,tabellen_EMD!$C$185:$N$185,0)),0)</f>
        <v>0</v>
      </c>
      <c r="BB103" s="115">
        <f>VLOOKUP($J103,energiedragers_EP_PEF,MATCH(_xlfn.CONCAT($C103," | PEF"),energiedragers_EP_PEF_titel,0),FALSE)</f>
        <v>2.56</v>
      </c>
      <c r="BC103" s="15"/>
      <c r="BD103" s="115">
        <f>IFERROR(VLOOKUP($J103,energiedragers_EP_omrekenen,MATCH($B103,energiedragers_EP_omrekenen_titel,0),FALSE),1)</f>
        <v>3.6</v>
      </c>
      <c r="BE103" s="47" t="str">
        <f>_xlfn.CONCAT(N103,"/",T103)</f>
        <v>MJ/kWh</v>
      </c>
      <c r="BF103" s="15"/>
      <c r="BG103" s="218">
        <f>IFERROR(INDEX(tabellen_EMD!$C$240:$Z$248,MATCH($J103,tabellen_EMD!$C$240:$C$248,0),MATCH($B103,tabellen_EMD!$C$240:$Z$240,0))*(F103&lt;&gt;"zomercomfort"),0)</f>
        <v>0.56499999999999995</v>
      </c>
      <c r="BH103" s="47" t="str">
        <f>"kg/"&amp;T103</f>
        <v>kg/kWh</v>
      </c>
      <c r="BI103" s="15"/>
    </row>
    <row r="104" spans="1:61">
      <c r="A104" s="86"/>
      <c r="B104" s="47" t="str">
        <f t="shared" si="37"/>
        <v>Enorm</v>
      </c>
      <c r="C104" s="47" t="str">
        <f t="shared" si="37"/>
        <v>NEN 7120</v>
      </c>
      <c r="D104" s="943"/>
      <c r="E104" s="50"/>
      <c r="F104" s="15" t="s">
        <v>1480</v>
      </c>
      <c r="G104" s="15"/>
      <c r="H104" s="15"/>
      <c r="I104" s="905"/>
      <c r="J104" s="43" t="s">
        <v>1391</v>
      </c>
      <c r="K104" s="43"/>
      <c r="L104" s="16"/>
      <c r="M104" s="950">
        <f>SUM(M101,M102,M103)</f>
        <v>0</v>
      </c>
      <c r="N104" s="15" t="str">
        <f t="shared" si="27"/>
        <v>MJ</v>
      </c>
      <c r="O104" s="15"/>
      <c r="P104" s="15"/>
      <c r="Q104" s="15"/>
      <c r="R104" s="15"/>
      <c r="S104" s="39"/>
      <c r="T104" s="39"/>
      <c r="U104" s="39"/>
      <c r="V104" s="899"/>
      <c r="W104" s="39"/>
      <c r="X104" s="39"/>
      <c r="Y104" s="39"/>
      <c r="Z104" s="922">
        <f>SUM(Z101,Z102,Z103)</f>
        <v>0</v>
      </c>
      <c r="AA104" s="47" t="s">
        <v>468</v>
      </c>
      <c r="AB104" s="1393"/>
      <c r="AC104" s="1001"/>
      <c r="AD104" s="1405"/>
      <c r="AE104" s="1405"/>
      <c r="AF104" s="1405"/>
      <c r="AG104" s="1405"/>
      <c r="AH104" s="1405"/>
      <c r="AI104" s="1405"/>
      <c r="AJ104" s="1405"/>
      <c r="AK104" s="1405"/>
      <c r="AL104" s="1405"/>
      <c r="AM104" s="1405"/>
      <c r="AN104" s="1405"/>
      <c r="AO104" s="1405"/>
      <c r="AP104" s="1405"/>
      <c r="AQ104" s="1405"/>
      <c r="AR104" s="1405"/>
      <c r="AS104" s="1393"/>
      <c r="AT104" s="1001"/>
      <c r="AU104" s="12"/>
      <c r="AV104" s="22" t="str">
        <f t="shared" si="25"/>
        <v>Eptot</v>
      </c>
      <c r="AW104" s="46" t="str">
        <f t="shared" si="26"/>
        <v>totaal</v>
      </c>
      <c r="AX104" s="24"/>
      <c r="AY104" s="12"/>
      <c r="AZ104" s="15"/>
      <c r="BA104" s="12"/>
      <c r="BB104" s="15"/>
      <c r="BC104" s="15"/>
      <c r="BD104" s="15"/>
      <c r="BE104" s="15"/>
      <c r="BF104" s="15"/>
      <c r="BG104" s="899"/>
      <c r="BH104" s="899"/>
      <c r="BI104" s="15"/>
    </row>
    <row r="105" spans="1:61" s="49" customFormat="1">
      <c r="A105" s="139" t="s">
        <v>396</v>
      </c>
      <c r="B105" s="47" t="str">
        <f t="shared" si="37"/>
        <v>Enorm</v>
      </c>
      <c r="C105" s="47" t="str">
        <f t="shared" si="37"/>
        <v>NEN 7120</v>
      </c>
      <c r="D105" s="943"/>
      <c r="E105" s="50"/>
      <c r="F105" s="452" t="str">
        <f>IFERROR(IF($P$23=$B105,_xlfn.CONCAT("Bij 1.1 ingevuld: ",FIXED($J$35,2,FALSE)," ",$K$35),""),"invoer niet correct")</f>
        <v/>
      </c>
      <c r="G105" s="452"/>
      <c r="H105" s="452"/>
      <c r="I105" s="905"/>
      <c r="J105" s="909" t="str">
        <f>IFERROR(IF($P$23=$B105,IF(ABS((M105-$J$35)/$J$35)&gt;1%,"Afwijking &gt;1% met subthema 1.1",""),""),"invoer niet correct")</f>
        <v/>
      </c>
      <c r="K105" s="909"/>
      <c r="L105" s="910"/>
      <c r="M105" s="1339" t="str">
        <f>IFERROR(IF($P$23=$B105,M104/$J$59,""),"")</f>
        <v/>
      </c>
      <c r="N105" s="452" t="str">
        <f>IF($P$23=$B105,_xlfn.CONCAT(N104,"/m2"),"")</f>
        <v/>
      </c>
      <c r="O105" s="452"/>
      <c r="P105" s="39"/>
      <c r="Q105" s="39"/>
      <c r="R105" s="899"/>
      <c r="S105" s="899"/>
      <c r="T105" s="899"/>
      <c r="U105" s="39"/>
      <c r="V105" s="39"/>
      <c r="W105" s="910" t="str">
        <f>IFERROR(IF($P$23=$B105,_xlfn.CONCAT("Bij 1.1 ingevuld: ",FIXED($AG$40,1,FALSE)," ",$AH$40),""),"invoer niet correct")</f>
        <v/>
      </c>
      <c r="X105" s="909" t="str">
        <f>IFERROR(IF($P$23=$B105,IF(ABS((Z105-$AG$40)/$AG$40)&gt;1%,"afwijking &gt;1% met subthema 1.1",""),""),"invoer niet correct")</f>
        <v/>
      </c>
      <c r="Y105" s="12"/>
      <c r="Z105" s="951" t="str">
        <f>IFERROR(IF($P$23=$B105,Z104/$J$58,""),"")</f>
        <v/>
      </c>
      <c r="AA105" s="452" t="str">
        <f>IF($P$23=$B105,_xlfn.CONCAT(AA104,"/m2"),"")</f>
        <v/>
      </c>
      <c r="AB105" s="1393"/>
      <c r="AC105" s="1001"/>
      <c r="AD105" s="1405"/>
      <c r="AE105" s="1405"/>
      <c r="AF105" s="1405"/>
      <c r="AG105" s="1405"/>
      <c r="AH105" s="1405"/>
      <c r="AI105" s="1405"/>
      <c r="AJ105" s="1405"/>
      <c r="AK105" s="1405"/>
      <c r="AL105" s="1405"/>
      <c r="AM105" s="1405"/>
      <c r="AN105" s="1405"/>
      <c r="AO105" s="1405"/>
      <c r="AP105" s="1405"/>
      <c r="AQ105" s="1405"/>
      <c r="AR105" s="1405"/>
      <c r="AS105" s="1393"/>
      <c r="AT105" s="1001"/>
      <c r="AU105" s="12"/>
      <c r="AV105" s="452"/>
      <c r="AW105" s="452"/>
      <c r="AX105" s="452"/>
      <c r="AY105" s="452"/>
      <c r="AZ105" s="452"/>
      <c r="BA105" s="452"/>
      <c r="BB105" s="452"/>
      <c r="BC105" s="452"/>
      <c r="BD105" s="452"/>
      <c r="BE105" s="452"/>
      <c r="BF105" s="452"/>
      <c r="BG105" s="452"/>
      <c r="BH105" s="452"/>
      <c r="BI105" s="899"/>
    </row>
    <row r="106" spans="1:61" s="49" customFormat="1">
      <c r="B106" s="47" t="str">
        <f t="shared" si="37"/>
        <v>Enorm</v>
      </c>
      <c r="C106" s="47" t="str">
        <f t="shared" si="37"/>
        <v>NEN 7120</v>
      </c>
      <c r="D106" s="943"/>
      <c r="E106" s="50"/>
      <c r="F106" s="43"/>
      <c r="G106" s="43"/>
      <c r="H106" s="43"/>
      <c r="I106" s="905"/>
      <c r="J106" s="44"/>
      <c r="K106" s="44"/>
      <c r="L106" s="44"/>
      <c r="M106" s="44"/>
      <c r="N106" s="44"/>
      <c r="O106" s="44"/>
      <c r="P106" s="39"/>
      <c r="Q106" s="39"/>
      <c r="R106" s="39"/>
      <c r="S106" s="899"/>
      <c r="T106" s="899"/>
      <c r="U106" s="899"/>
      <c r="V106" s="899"/>
      <c r="W106" s="39"/>
      <c r="X106" s="39"/>
      <c r="Y106" s="39"/>
      <c r="Z106" s="899"/>
      <c r="AA106" s="899"/>
      <c r="AB106" s="1393"/>
      <c r="AC106" s="1001"/>
      <c r="AD106" s="1405"/>
      <c r="AE106" s="1405"/>
      <c r="AF106" s="1405"/>
      <c r="AG106" s="1405"/>
      <c r="AH106" s="1405"/>
      <c r="AI106" s="1405"/>
      <c r="AJ106" s="1405"/>
      <c r="AK106" s="1405"/>
      <c r="AL106" s="1405"/>
      <c r="AM106" s="1405"/>
      <c r="AN106" s="1405"/>
      <c r="AO106" s="1405"/>
      <c r="AP106" s="1405"/>
      <c r="AQ106" s="1405"/>
      <c r="AR106" s="1405"/>
      <c r="AS106" s="1393"/>
      <c r="AT106" s="1001"/>
      <c r="AU106" s="12"/>
      <c r="AV106" s="12"/>
      <c r="AW106" s="12"/>
      <c r="AX106" s="12"/>
      <c r="AY106" s="12"/>
      <c r="AZ106" s="44"/>
      <c r="BA106" s="12"/>
      <c r="BB106" s="44"/>
      <c r="BC106" s="899"/>
      <c r="BD106" s="899"/>
      <c r="BE106" s="899"/>
      <c r="BF106" s="899"/>
      <c r="BG106" s="899"/>
      <c r="BH106" s="899"/>
      <c r="BI106" s="899"/>
    </row>
    <row r="107" spans="1:61">
      <c r="A107" s="139" t="s">
        <v>396</v>
      </c>
      <c r="B107" s="939" t="str">
        <f>tabellen_EMD!$C$176</f>
        <v>Uniec 2 per functie</v>
      </c>
      <c r="C107" s="939" t="str">
        <f>VLOOKUP(B107,'EP naar GPR4'!$AV$40:$AY$48,COLUMNS($AV$40:$AX$40),FALSE)</f>
        <v>NEN 7120</v>
      </c>
      <c r="D107" s="943"/>
      <c r="E107" s="14"/>
      <c r="F107" s="15" t="str">
        <f>_xlfn.CONCAT("Overnemen uit '",B107,"': ",VLOOKUP(B107,$AV$41:$AZ$48,COLUMNS($AV$40:$AZ$40),FALSE))</f>
        <v>Overnemen uit 'Uniec 2 per functie': Jaarlijkse hoeveelheid primaire energie voor de energiefunctie</v>
      </c>
      <c r="G107" s="15"/>
      <c r="H107" s="15"/>
      <c r="I107" s="905"/>
      <c r="J107" s="41"/>
      <c r="K107" s="41"/>
      <c r="L107" s="12"/>
      <c r="M107" s="909" t="s">
        <v>1485</v>
      </c>
      <c r="N107" s="41"/>
      <c r="O107" s="41"/>
      <c r="P107" s="453" t="s">
        <v>1487</v>
      </c>
      <c r="Q107" s="39"/>
      <c r="R107" s="39"/>
      <c r="S107" s="453" t="s">
        <v>1484</v>
      </c>
      <c r="T107" s="39"/>
      <c r="U107" s="39"/>
      <c r="V107" s="453" t="s">
        <v>1613</v>
      </c>
      <c r="W107" s="39"/>
      <c r="X107" s="39"/>
      <c r="Y107" s="12"/>
      <c r="Z107" s="453" t="s">
        <v>1536</v>
      </c>
      <c r="AA107" s="12"/>
      <c r="AB107" s="67"/>
      <c r="AC107" s="995"/>
      <c r="AD107" s="1405"/>
      <c r="AE107" s="1405"/>
      <c r="AF107" s="1405"/>
      <c r="AG107" s="1405"/>
      <c r="AH107" s="1405"/>
      <c r="AI107" s="1405"/>
      <c r="AJ107" s="1405"/>
      <c r="AK107" s="1405"/>
      <c r="AL107" s="1405"/>
      <c r="AM107" s="1405"/>
      <c r="AN107" s="1405"/>
      <c r="AO107" s="1405"/>
      <c r="AP107" s="1405"/>
      <c r="AQ107" s="1405"/>
      <c r="AR107" s="1405"/>
      <c r="AS107" s="67"/>
      <c r="AT107" s="995"/>
      <c r="AU107" s="12"/>
      <c r="AV107" s="12"/>
      <c r="AW107" s="12"/>
      <c r="AX107" s="12"/>
      <c r="AY107" s="12"/>
      <c r="AZ107" s="888" t="str">
        <f>AZ$63</f>
        <v>Eenheid energie</v>
      </c>
      <c r="BA107" s="888" t="s">
        <v>1628</v>
      </c>
      <c r="BB107" s="888" t="str">
        <f>BB$63</f>
        <v>PEF finaal → primair</v>
      </c>
      <c r="BC107" s="452"/>
      <c r="BD107" s="452" t="str">
        <f>BD$63</f>
        <v>eenheden omrekenen</v>
      </c>
      <c r="BE107" s="452"/>
      <c r="BF107" s="452"/>
      <c r="BG107" s="888" t="str">
        <f>BG$63</f>
        <v>CO2</v>
      </c>
      <c r="BH107" s="39"/>
      <c r="BI107" s="39"/>
    </row>
    <row r="108" spans="1:61">
      <c r="A108" s="86"/>
      <c r="B108" s="47" t="str">
        <f t="shared" ref="B108:C123" si="38">B107</f>
        <v>Uniec 2 per functie</v>
      </c>
      <c r="C108" s="47" t="str">
        <f t="shared" si="38"/>
        <v>NEN 7120</v>
      </c>
      <c r="D108" s="943"/>
      <c r="E108" s="14"/>
      <c r="F108" s="892" t="s">
        <v>496</v>
      </c>
      <c r="G108" s="892"/>
      <c r="H108" s="892"/>
      <c r="I108" s="905"/>
      <c r="J108" s="909" t="s">
        <v>458</v>
      </c>
      <c r="K108" s="909"/>
      <c r="L108" s="889"/>
      <c r="M108" s="910" t="s">
        <v>1534</v>
      </c>
      <c r="N108" s="452" t="s">
        <v>204</v>
      </c>
      <c r="O108" s="39"/>
      <c r="P108" s="888" t="s">
        <v>1533</v>
      </c>
      <c r="Q108" s="910" t="s">
        <v>1532</v>
      </c>
      <c r="R108" s="452"/>
      <c r="S108" s="888" t="s">
        <v>1534</v>
      </c>
      <c r="T108" s="889" t="s">
        <v>204</v>
      </c>
      <c r="U108" s="39"/>
      <c r="V108" s="888" t="s">
        <v>1533</v>
      </c>
      <c r="W108" s="910" t="s">
        <v>1532</v>
      </c>
      <c r="X108" s="889" t="s">
        <v>204</v>
      </c>
      <c r="Y108" s="12"/>
      <c r="Z108" s="888" t="s">
        <v>1534</v>
      </c>
      <c r="AA108" s="889" t="s">
        <v>204</v>
      </c>
      <c r="AB108" s="67"/>
      <c r="AC108" s="995"/>
      <c r="AD108" s="1405"/>
      <c r="AE108" s="1405"/>
      <c r="AF108" s="1405"/>
      <c r="AG108" s="1405"/>
      <c r="AH108" s="1405"/>
      <c r="AI108" s="1405"/>
      <c r="AJ108" s="1405"/>
      <c r="AK108" s="1405"/>
      <c r="AL108" s="1405"/>
      <c r="AM108" s="1405"/>
      <c r="AN108" s="1405"/>
      <c r="AO108" s="1405"/>
      <c r="AP108" s="1405"/>
      <c r="AQ108" s="1405"/>
      <c r="AR108" s="1405"/>
      <c r="AS108" s="67"/>
      <c r="AT108" s="995"/>
      <c r="AU108" s="12"/>
      <c r="AV108" s="892" t="str">
        <f t="shared" ref="AV108:AV121" si="39">F108</f>
        <v>energiefunctie</v>
      </c>
      <c r="AW108" s="452" t="str">
        <f t="shared" ref="AW108:AW121" si="40">J108</f>
        <v>energiedrager</v>
      </c>
      <c r="AX108" s="910"/>
      <c r="AY108" s="12"/>
      <c r="AZ108" s="888" t="str">
        <f>AZ$64</f>
        <v>pos/neg</v>
      </c>
      <c r="BA108" s="888"/>
      <c r="BB108" s="888" t="str">
        <f>BB$64</f>
        <v>default</v>
      </c>
      <c r="BC108" s="452"/>
      <c r="BD108" s="452" t="str">
        <f>BD$64</f>
        <v>waarde</v>
      </c>
      <c r="BE108" s="452" t="str">
        <f>BE$64</f>
        <v>eenheden</v>
      </c>
      <c r="BF108" s="452"/>
      <c r="BG108" s="888" t="str">
        <f>BG$64</f>
        <v>default</v>
      </c>
      <c r="BH108" s="888" t="str">
        <f>BH$64</f>
        <v>eenheid</v>
      </c>
      <c r="BI108" s="452"/>
    </row>
    <row r="109" spans="1:61">
      <c r="A109" s="86"/>
      <c r="B109" s="47" t="str">
        <f t="shared" si="38"/>
        <v>Uniec 2 per functie</v>
      </c>
      <c r="C109" s="47" t="str">
        <f t="shared" si="38"/>
        <v>NEN 7120</v>
      </c>
      <c r="D109" s="943"/>
      <c r="E109" s="14"/>
      <c r="F109" s="22" t="s">
        <v>1506</v>
      </c>
      <c r="G109" s="22"/>
      <c r="H109" s="22"/>
      <c r="I109" s="905"/>
      <c r="J109" s="1685"/>
      <c r="K109" s="1685"/>
      <c r="L109" s="16"/>
      <c r="M109" s="25"/>
      <c r="N109" s="22" t="str">
        <f t="shared" ref="N109:N121" si="41">INDEX(EP_methode_eenheid,1,MATCH($C109,EP_methode,0))</f>
        <v>MJ</v>
      </c>
      <c r="O109" s="213" t="s">
        <v>396</v>
      </c>
      <c r="P109" s="1326"/>
      <c r="Q109" s="59">
        <f t="shared" ref="Q109:Q120" si="42">IFERROR(IF(AND(P109&lt;&gt;"",$BA109=1),P109,BB109),1)</f>
        <v>1</v>
      </c>
      <c r="R109" s="15"/>
      <c r="S109" s="24">
        <f t="shared" ref="S109:S120" si="43">M109/Q109/BD109</f>
        <v>0</v>
      </c>
      <c r="T109" s="47" t="str">
        <f>IFERROR(INDEX(energiedragers_EP_eenheden,MATCH($J109,tabellen_EMD!$C$196:$C$204,0),MATCH($B109,energiedragers_EP_eenheden_titel,0)),"-")</f>
        <v>-</v>
      </c>
      <c r="U109" s="39"/>
      <c r="V109" s="1326"/>
      <c r="W109" s="59">
        <f t="shared" ref="W109:W120" si="44">IF(AND(V109&lt;&gt;"",$BA109=1),V109,BG109)</f>
        <v>0</v>
      </c>
      <c r="X109" s="47" t="str">
        <f t="shared" ref="X109:X120" si="45">BH109</f>
        <v>kg/-</v>
      </c>
      <c r="Y109" s="12"/>
      <c r="Z109" s="24">
        <f t="shared" ref="Z109:Z120" si="46">S109*W109*ABS(AZ109)</f>
        <v>0</v>
      </c>
      <c r="AA109" s="47" t="s">
        <v>468</v>
      </c>
      <c r="AB109" s="67"/>
      <c r="AC109" s="995"/>
      <c r="AD109" s="1405"/>
      <c r="AE109" s="1405"/>
      <c r="AF109" s="1405"/>
      <c r="AG109" s="1405"/>
      <c r="AH109" s="1405"/>
      <c r="AI109" s="1405"/>
      <c r="AJ109" s="1405"/>
      <c r="AK109" s="1405"/>
      <c r="AL109" s="1405"/>
      <c r="AM109" s="1405"/>
      <c r="AN109" s="1405"/>
      <c r="AO109" s="1405"/>
      <c r="AP109" s="1405"/>
      <c r="AQ109" s="1405"/>
      <c r="AR109" s="1405"/>
      <c r="AS109" s="67"/>
      <c r="AT109" s="995"/>
      <c r="AU109" s="12"/>
      <c r="AV109" s="22" t="str">
        <f t="shared" si="39"/>
        <v>verwarming (excl. hulpenergie)</v>
      </c>
      <c r="AW109" s="46">
        <f t="shared" si="40"/>
        <v>0</v>
      </c>
      <c r="AX109" s="115"/>
      <c r="AY109" s="12"/>
      <c r="AZ109" s="115">
        <v>1</v>
      </c>
      <c r="BA109" s="24">
        <f>IFERROR(INDEX(tabellen_EMD!$C$185:$N$193,MATCH($J109,tabellen_EMD!$C$185:$C$193,0),MATCH(BA$63,tabellen_EMD!$C$185:$N$185,0)),0)</f>
        <v>0</v>
      </c>
      <c r="BB109" s="115" t="e">
        <f t="shared" ref="BB109:BB120" si="47">VLOOKUP($J109,energiedragers_EP_PEF,MATCH(_xlfn.CONCAT($C109," | PEF"),energiedragers_EP_PEF_titel,0),FALSE)</f>
        <v>#N/A</v>
      </c>
      <c r="BC109" s="15"/>
      <c r="BD109" s="115">
        <f t="shared" ref="BD109:BD120" si="48">IFERROR(VLOOKUP($J109,energiedragers_EP_omrekenen,MATCH($B109,energiedragers_EP_omrekenen_titel,0),FALSE),1)</f>
        <v>1</v>
      </c>
      <c r="BE109" s="47" t="str">
        <f t="shared" ref="BE109:BE120" si="49">_xlfn.CONCAT(N109,"/",T109)</f>
        <v>MJ/-</v>
      </c>
      <c r="BF109" s="15"/>
      <c r="BG109" s="218">
        <f>IFERROR(INDEX(tabellen_EMD!$C$240:$Z$248,MATCH($J109,tabellen_EMD!$C$240:$C$248,0),MATCH($B109,tabellen_EMD!$C$240:$Z$240,0))*(F109&lt;&gt;"zomercomfort"),0)</f>
        <v>0</v>
      </c>
      <c r="BH109" s="47" t="str">
        <f t="shared" ref="BH109:BH120" si="50">"kg/"&amp;T109</f>
        <v>kg/-</v>
      </c>
      <c r="BI109" s="15"/>
    </row>
    <row r="110" spans="1:61">
      <c r="A110" s="86"/>
      <c r="B110" s="47" t="str">
        <f t="shared" si="38"/>
        <v>Uniec 2 per functie</v>
      </c>
      <c r="C110" s="47" t="str">
        <f t="shared" si="38"/>
        <v>NEN 7120</v>
      </c>
      <c r="D110" s="943"/>
      <c r="E110" s="14"/>
      <c r="F110" s="209" t="s">
        <v>1502</v>
      </c>
      <c r="G110" s="209"/>
      <c r="H110" s="209"/>
      <c r="I110" s="905"/>
      <c r="J110" s="1691" t="s">
        <v>465</v>
      </c>
      <c r="K110" s="1698"/>
      <c r="L110" s="16"/>
      <c r="M110" s="25"/>
      <c r="N110" s="22" t="str">
        <f t="shared" si="41"/>
        <v>MJ</v>
      </c>
      <c r="O110" s="15"/>
      <c r="P110" s="39"/>
      <c r="Q110" s="59">
        <f t="shared" si="42"/>
        <v>2.56</v>
      </c>
      <c r="R110" s="15"/>
      <c r="S110" s="24">
        <f t="shared" si="43"/>
        <v>0</v>
      </c>
      <c r="T110" s="47" t="str">
        <f>IFERROR(INDEX(energiedragers_EP_eenheden,MATCH($J110,tabellen_EMD!$C$196:$C$204,0),MATCH($B110,energiedragers_EP_eenheden_titel,0)),"-")</f>
        <v>kWh</v>
      </c>
      <c r="U110" s="39"/>
      <c r="V110" s="15"/>
      <c r="W110" s="59">
        <f t="shared" si="44"/>
        <v>0.56499999999999995</v>
      </c>
      <c r="X110" s="47" t="str">
        <f t="shared" si="45"/>
        <v>kg/kWh</v>
      </c>
      <c r="Y110" s="12"/>
      <c r="Z110" s="24">
        <f t="shared" si="46"/>
        <v>0</v>
      </c>
      <c r="AA110" s="47" t="s">
        <v>468</v>
      </c>
      <c r="AB110" s="67"/>
      <c r="AC110" s="995"/>
      <c r="AD110" s="1405"/>
      <c r="AE110" s="1405"/>
      <c r="AF110" s="1405"/>
      <c r="AG110" s="1405"/>
      <c r="AH110" s="1405"/>
      <c r="AI110" s="1405"/>
      <c r="AJ110" s="1405"/>
      <c r="AK110" s="1405"/>
      <c r="AL110" s="1405"/>
      <c r="AM110" s="1405"/>
      <c r="AN110" s="1405"/>
      <c r="AO110" s="1405"/>
      <c r="AP110" s="1405"/>
      <c r="AQ110" s="1405"/>
      <c r="AR110" s="1405"/>
      <c r="AS110" s="67"/>
      <c r="AT110" s="995"/>
      <c r="AU110" s="12"/>
      <c r="AV110" s="22" t="str">
        <f t="shared" si="39"/>
        <v>hulpenergie</v>
      </c>
      <c r="AW110" s="46" t="str">
        <f t="shared" si="40"/>
        <v>elektriciteit</v>
      </c>
      <c r="AX110" s="115"/>
      <c r="AY110" s="12"/>
      <c r="AZ110" s="115">
        <v>1</v>
      </c>
      <c r="BA110" s="24">
        <f>IFERROR(INDEX(tabellen_EMD!$C$185:$N$193,MATCH($J110,tabellen_EMD!$C$185:$C$193,0),MATCH(BA$63,tabellen_EMD!$C$185:$N$185,0)),0)</f>
        <v>0</v>
      </c>
      <c r="BB110" s="115">
        <f t="shared" si="47"/>
        <v>2.56</v>
      </c>
      <c r="BC110" s="15"/>
      <c r="BD110" s="115">
        <f t="shared" si="48"/>
        <v>3.6</v>
      </c>
      <c r="BE110" s="47" t="str">
        <f t="shared" si="49"/>
        <v>MJ/kWh</v>
      </c>
      <c r="BF110" s="15"/>
      <c r="BG110" s="218">
        <f>IFERROR(INDEX(tabellen_EMD!$C$240:$Z$248,MATCH($J110,tabellen_EMD!$C$240:$C$248,0),MATCH($B110,tabellen_EMD!$C$240:$Z$240,0))*(F110&lt;&gt;"zomercomfort"),0)</f>
        <v>0.56499999999999995</v>
      </c>
      <c r="BH110" s="47" t="str">
        <f t="shared" si="50"/>
        <v>kg/kWh</v>
      </c>
      <c r="BI110" s="15"/>
    </row>
    <row r="111" spans="1:61">
      <c r="A111" s="86"/>
      <c r="B111" s="47" t="str">
        <f t="shared" si="38"/>
        <v>Uniec 2 per functie</v>
      </c>
      <c r="C111" s="47" t="str">
        <f t="shared" si="38"/>
        <v>NEN 7120</v>
      </c>
      <c r="D111" s="943"/>
      <c r="E111" s="14"/>
      <c r="F111" s="22" t="s">
        <v>1507</v>
      </c>
      <c r="G111" s="22"/>
      <c r="H111" s="22"/>
      <c r="I111" s="905"/>
      <c r="J111" s="1685"/>
      <c r="K111" s="1685"/>
      <c r="L111" s="16"/>
      <c r="M111" s="25"/>
      <c r="N111" s="22" t="str">
        <f t="shared" si="41"/>
        <v>MJ</v>
      </c>
      <c r="O111" s="15"/>
      <c r="P111" s="154"/>
      <c r="Q111" s="59">
        <f t="shared" si="42"/>
        <v>1</v>
      </c>
      <c r="R111" s="15"/>
      <c r="S111" s="24">
        <f t="shared" si="43"/>
        <v>0</v>
      </c>
      <c r="T111" s="47" t="str">
        <f>IFERROR(INDEX(energiedragers_EP_eenheden,MATCH($J111,tabellen_EMD!$C$196:$C$204,0),MATCH($B111,energiedragers_EP_eenheden_titel,0)),"-")</f>
        <v>-</v>
      </c>
      <c r="U111" s="39"/>
      <c r="V111" s="1326"/>
      <c r="W111" s="59">
        <f t="shared" si="44"/>
        <v>0</v>
      </c>
      <c r="X111" s="47" t="str">
        <f t="shared" si="45"/>
        <v>kg/-</v>
      </c>
      <c r="Y111" s="12"/>
      <c r="Z111" s="24">
        <f t="shared" si="46"/>
        <v>0</v>
      </c>
      <c r="AA111" s="47" t="s">
        <v>468</v>
      </c>
      <c r="AB111" s="67"/>
      <c r="AC111" s="995"/>
      <c r="AD111" s="1405"/>
      <c r="AE111" s="1405"/>
      <c r="AF111" s="1405"/>
      <c r="AG111" s="1405"/>
      <c r="AH111" s="1405"/>
      <c r="AI111" s="1405"/>
      <c r="AJ111" s="1405"/>
      <c r="AK111" s="1405"/>
      <c r="AL111" s="1405"/>
      <c r="AM111" s="1405"/>
      <c r="AN111" s="1405"/>
      <c r="AO111" s="1405"/>
      <c r="AP111" s="1405"/>
      <c r="AQ111" s="1405"/>
      <c r="AR111" s="1405"/>
      <c r="AS111" s="67"/>
      <c r="AT111" s="995"/>
      <c r="AU111" s="12"/>
      <c r="AV111" s="22" t="str">
        <f t="shared" si="39"/>
        <v>warm tapwater (excl. hulpenergie)</v>
      </c>
      <c r="AW111" s="46">
        <f t="shared" si="40"/>
        <v>0</v>
      </c>
      <c r="AX111" s="115"/>
      <c r="AY111" s="12"/>
      <c r="AZ111" s="115">
        <v>1</v>
      </c>
      <c r="BA111" s="24">
        <f>IFERROR(INDEX(tabellen_EMD!$C$185:$N$193,MATCH($J111,tabellen_EMD!$C$185:$C$193,0),MATCH(BA$63,tabellen_EMD!$C$185:$N$185,0)),0)</f>
        <v>0</v>
      </c>
      <c r="BB111" s="115" t="e">
        <f t="shared" si="47"/>
        <v>#N/A</v>
      </c>
      <c r="BC111" s="15"/>
      <c r="BD111" s="115">
        <f t="shared" si="48"/>
        <v>1</v>
      </c>
      <c r="BE111" s="47" t="str">
        <f t="shared" si="49"/>
        <v>MJ/-</v>
      </c>
      <c r="BF111" s="15"/>
      <c r="BG111" s="218">
        <f>IFERROR(INDEX(tabellen_EMD!$C$240:$Z$248,MATCH($J111,tabellen_EMD!$C$240:$C$248,0),MATCH($B111,tabellen_EMD!$C$240:$Z$240,0))*(F111&lt;&gt;"zomercomfort"),0)</f>
        <v>0</v>
      </c>
      <c r="BH111" s="47" t="str">
        <f t="shared" si="50"/>
        <v>kg/-</v>
      </c>
      <c r="BI111" s="15"/>
    </row>
    <row r="112" spans="1:61">
      <c r="A112" s="86"/>
      <c r="B112" s="47" t="str">
        <f t="shared" si="38"/>
        <v>Uniec 2 per functie</v>
      </c>
      <c r="C112" s="47" t="str">
        <f t="shared" si="38"/>
        <v>NEN 7120</v>
      </c>
      <c r="D112" s="943"/>
      <c r="E112" s="14"/>
      <c r="F112" s="209" t="s">
        <v>1502</v>
      </c>
      <c r="G112" s="209"/>
      <c r="H112" s="209"/>
      <c r="I112" s="905"/>
      <c r="J112" s="1691" t="s">
        <v>465</v>
      </c>
      <c r="K112" s="1698"/>
      <c r="L112" s="16"/>
      <c r="M112" s="25"/>
      <c r="N112" s="22" t="str">
        <f t="shared" si="41"/>
        <v>MJ</v>
      </c>
      <c r="O112" s="15"/>
      <c r="P112" s="39"/>
      <c r="Q112" s="59">
        <f t="shared" si="42"/>
        <v>2.56</v>
      </c>
      <c r="R112" s="15"/>
      <c r="S112" s="24">
        <f t="shared" si="43"/>
        <v>0</v>
      </c>
      <c r="T112" s="47" t="str">
        <f>IFERROR(INDEX(energiedragers_EP_eenheden,MATCH($J112,tabellen_EMD!$C$196:$C$204,0),MATCH($B112,energiedragers_EP_eenheden_titel,0)),"-")</f>
        <v>kWh</v>
      </c>
      <c r="U112" s="39"/>
      <c r="V112" s="15"/>
      <c r="W112" s="59">
        <f t="shared" si="44"/>
        <v>0.56499999999999995</v>
      </c>
      <c r="X112" s="47" t="str">
        <f t="shared" si="45"/>
        <v>kg/kWh</v>
      </c>
      <c r="Y112" s="12"/>
      <c r="Z112" s="24">
        <f t="shared" si="46"/>
        <v>0</v>
      </c>
      <c r="AA112" s="47" t="s">
        <v>468</v>
      </c>
      <c r="AB112" s="67"/>
      <c r="AC112" s="995"/>
      <c r="AD112" s="1405"/>
      <c r="AE112" s="1405"/>
      <c r="AF112" s="1405"/>
      <c r="AG112" s="1405"/>
      <c r="AH112" s="1405"/>
      <c r="AI112" s="1405"/>
      <c r="AJ112" s="1405"/>
      <c r="AK112" s="1405"/>
      <c r="AL112" s="1405"/>
      <c r="AM112" s="1405"/>
      <c r="AN112" s="1405"/>
      <c r="AO112" s="1405"/>
      <c r="AP112" s="1405"/>
      <c r="AQ112" s="1405"/>
      <c r="AR112" s="1405"/>
      <c r="AS112" s="67"/>
      <c r="AT112" s="995"/>
      <c r="AU112" s="12"/>
      <c r="AV112" s="22" t="str">
        <f t="shared" si="39"/>
        <v>hulpenergie</v>
      </c>
      <c r="AW112" s="46" t="str">
        <f t="shared" si="40"/>
        <v>elektriciteit</v>
      </c>
      <c r="AX112" s="115"/>
      <c r="AY112" s="12"/>
      <c r="AZ112" s="115">
        <v>1</v>
      </c>
      <c r="BA112" s="24">
        <f>IFERROR(INDEX(tabellen_EMD!$C$185:$N$193,MATCH($J112,tabellen_EMD!$C$185:$C$193,0),MATCH(BA$63,tabellen_EMD!$C$185:$N$185,0)),0)</f>
        <v>0</v>
      </c>
      <c r="BB112" s="115">
        <f t="shared" si="47"/>
        <v>2.56</v>
      </c>
      <c r="BC112" s="15"/>
      <c r="BD112" s="115">
        <f t="shared" si="48"/>
        <v>3.6</v>
      </c>
      <c r="BE112" s="47" t="str">
        <f t="shared" si="49"/>
        <v>MJ/kWh</v>
      </c>
      <c r="BF112" s="15"/>
      <c r="BG112" s="218">
        <f>IFERROR(INDEX(tabellen_EMD!$C$240:$Z$248,MATCH($J112,tabellen_EMD!$C$240:$C$248,0),MATCH($B112,tabellen_EMD!$C$240:$Z$240,0))*(F112&lt;&gt;"zomercomfort"),0)</f>
        <v>0.56499999999999995</v>
      </c>
      <c r="BH112" s="47" t="str">
        <f t="shared" si="50"/>
        <v>kg/kWh</v>
      </c>
      <c r="BI112" s="15"/>
    </row>
    <row r="113" spans="1:61">
      <c r="A113" s="86"/>
      <c r="B113" s="47" t="str">
        <f t="shared" si="38"/>
        <v>Uniec 2 per functie</v>
      </c>
      <c r="C113" s="47" t="str">
        <f t="shared" si="38"/>
        <v>NEN 7120</v>
      </c>
      <c r="D113" s="943"/>
      <c r="E113" s="14"/>
      <c r="F113" s="22" t="s">
        <v>1508</v>
      </c>
      <c r="G113" s="22"/>
      <c r="H113" s="22"/>
      <c r="I113" s="905"/>
      <c r="J113" s="1685"/>
      <c r="K113" s="1685"/>
      <c r="L113" s="16"/>
      <c r="M113" s="25"/>
      <c r="N113" s="22" t="str">
        <f t="shared" si="41"/>
        <v>MJ</v>
      </c>
      <c r="O113" s="15"/>
      <c r="P113" s="1326"/>
      <c r="Q113" s="59">
        <f t="shared" si="42"/>
        <v>1</v>
      </c>
      <c r="R113" s="15"/>
      <c r="S113" s="59">
        <f t="shared" si="43"/>
        <v>0</v>
      </c>
      <c r="T113" s="47" t="str">
        <f>IFERROR(INDEX(energiedragers_EP_eenheden,MATCH($J113,tabellen_EMD!$C$196:$C$204,0),MATCH($B113,energiedragers_EP_eenheden_titel,0)),"-")</f>
        <v>-</v>
      </c>
      <c r="U113" s="39"/>
      <c r="V113" s="154"/>
      <c r="W113" s="59">
        <f t="shared" si="44"/>
        <v>0</v>
      </c>
      <c r="X113" s="47" t="str">
        <f t="shared" si="45"/>
        <v>kg/-</v>
      </c>
      <c r="Y113" s="12"/>
      <c r="Z113" s="24">
        <f t="shared" si="46"/>
        <v>0</v>
      </c>
      <c r="AA113" s="47" t="s">
        <v>468</v>
      </c>
      <c r="AB113" s="67"/>
      <c r="AC113" s="995"/>
      <c r="AD113" s="1405"/>
      <c r="AE113" s="1405"/>
      <c r="AF113" s="1405"/>
      <c r="AG113" s="1405"/>
      <c r="AH113" s="1405"/>
      <c r="AI113" s="1405"/>
      <c r="AJ113" s="1405"/>
      <c r="AK113" s="1405"/>
      <c r="AL113" s="1405"/>
      <c r="AM113" s="1405"/>
      <c r="AN113" s="1405"/>
      <c r="AO113" s="1405"/>
      <c r="AP113" s="1405"/>
      <c r="AQ113" s="1405"/>
      <c r="AR113" s="1405"/>
      <c r="AS113" s="67"/>
      <c r="AT113" s="995"/>
      <c r="AU113" s="12"/>
      <c r="AV113" s="22" t="str">
        <f t="shared" si="39"/>
        <v>koeling (excl. hulpenergie)</v>
      </c>
      <c r="AW113" s="46">
        <f t="shared" si="40"/>
        <v>0</v>
      </c>
      <c r="AX113" s="115"/>
      <c r="AY113" s="12"/>
      <c r="AZ113" s="115">
        <v>1</v>
      </c>
      <c r="BA113" s="24">
        <f>IFERROR(INDEX(tabellen_EMD!$C$185:$N$193,MATCH($J113,tabellen_EMD!$C$185:$C$193,0),MATCH(BA$63,tabellen_EMD!$C$185:$N$185,0)),0)</f>
        <v>0</v>
      </c>
      <c r="BB113" s="115" t="e">
        <f t="shared" si="47"/>
        <v>#N/A</v>
      </c>
      <c r="BC113" s="15"/>
      <c r="BD113" s="115">
        <f t="shared" si="48"/>
        <v>1</v>
      </c>
      <c r="BE113" s="47" t="str">
        <f t="shared" si="49"/>
        <v>MJ/-</v>
      </c>
      <c r="BF113" s="15"/>
      <c r="BG113" s="218">
        <f>IFERROR(INDEX(tabellen_EMD!$C$240:$Z$248,MATCH($J113,tabellen_EMD!$C$240:$C$248,0),MATCH($B113,tabellen_EMD!$C$240:$Z$240,0))*(F113&lt;&gt;"zomercomfort"),0)</f>
        <v>0</v>
      </c>
      <c r="BH113" s="47" t="str">
        <f t="shared" si="50"/>
        <v>kg/-</v>
      </c>
      <c r="BI113" s="15"/>
    </row>
    <row r="114" spans="1:61">
      <c r="A114" s="86"/>
      <c r="B114" s="47" t="str">
        <f t="shared" si="38"/>
        <v>Uniec 2 per functie</v>
      </c>
      <c r="C114" s="47" t="str">
        <f t="shared" si="38"/>
        <v>NEN 7120</v>
      </c>
      <c r="D114" s="943"/>
      <c r="E114" s="14"/>
      <c r="F114" s="209" t="s">
        <v>1502</v>
      </c>
      <c r="G114" s="209"/>
      <c r="H114" s="209"/>
      <c r="I114" s="905"/>
      <c r="J114" s="1691" t="s">
        <v>465</v>
      </c>
      <c r="K114" s="1698"/>
      <c r="L114" s="16"/>
      <c r="M114" s="25"/>
      <c r="N114" s="22" t="str">
        <f t="shared" si="41"/>
        <v>MJ</v>
      </c>
      <c r="O114" s="15"/>
      <c r="P114" s="39"/>
      <c r="Q114" s="59">
        <f t="shared" si="42"/>
        <v>2.56</v>
      </c>
      <c r="R114" s="15"/>
      <c r="S114" s="24">
        <f t="shared" si="43"/>
        <v>0</v>
      </c>
      <c r="T114" s="47" t="str">
        <f>IFERROR(INDEX(energiedragers_EP_eenheden,MATCH($J114,tabellen_EMD!$C$196:$C$204,0),MATCH($B114,energiedragers_EP_eenheden_titel,0)),"-")</f>
        <v>kWh</v>
      </c>
      <c r="U114" s="39"/>
      <c r="V114" s="15"/>
      <c r="W114" s="59">
        <f t="shared" si="44"/>
        <v>0.56499999999999995</v>
      </c>
      <c r="X114" s="47" t="str">
        <f t="shared" si="45"/>
        <v>kg/kWh</v>
      </c>
      <c r="Y114" s="12"/>
      <c r="Z114" s="24">
        <f t="shared" si="46"/>
        <v>0</v>
      </c>
      <c r="AA114" s="47" t="s">
        <v>468</v>
      </c>
      <c r="AB114" s="67"/>
      <c r="AC114" s="995"/>
      <c r="AD114" s="1405"/>
      <c r="AE114" s="1405"/>
      <c r="AF114" s="1405"/>
      <c r="AG114" s="1405"/>
      <c r="AH114" s="1405"/>
      <c r="AI114" s="1405"/>
      <c r="AJ114" s="1405"/>
      <c r="AK114" s="1405"/>
      <c r="AL114" s="1405"/>
      <c r="AM114" s="1405"/>
      <c r="AN114" s="1405"/>
      <c r="AO114" s="1405"/>
      <c r="AP114" s="1405"/>
      <c r="AQ114" s="1405"/>
      <c r="AR114" s="1405"/>
      <c r="AS114" s="67"/>
      <c r="AT114" s="995"/>
      <c r="AU114" s="12"/>
      <c r="AV114" s="22" t="str">
        <f t="shared" si="39"/>
        <v>hulpenergie</v>
      </c>
      <c r="AW114" s="46" t="str">
        <f t="shared" si="40"/>
        <v>elektriciteit</v>
      </c>
      <c r="AX114" s="115"/>
      <c r="AY114" s="12"/>
      <c r="AZ114" s="115">
        <v>1</v>
      </c>
      <c r="BA114" s="24">
        <f>IFERROR(INDEX(tabellen_EMD!$C$185:$N$193,MATCH($J114,tabellen_EMD!$C$185:$C$193,0),MATCH(BA$63,tabellen_EMD!$C$185:$N$185,0)),0)</f>
        <v>0</v>
      </c>
      <c r="BB114" s="115">
        <f t="shared" si="47"/>
        <v>2.56</v>
      </c>
      <c r="BC114" s="15"/>
      <c r="BD114" s="115">
        <f t="shared" si="48"/>
        <v>3.6</v>
      </c>
      <c r="BE114" s="47" t="str">
        <f t="shared" si="49"/>
        <v>MJ/kWh</v>
      </c>
      <c r="BF114" s="15"/>
      <c r="BG114" s="218">
        <f>IFERROR(INDEX(tabellen_EMD!$C$240:$Z$248,MATCH($J114,tabellen_EMD!$C$240:$C$248,0),MATCH($B114,tabellen_EMD!$C$240:$Z$240,0))*(F114&lt;&gt;"zomercomfort"),0)</f>
        <v>0.56499999999999995</v>
      </c>
      <c r="BH114" s="47" t="str">
        <f t="shared" si="50"/>
        <v>kg/kWh</v>
      </c>
      <c r="BI114" s="15"/>
    </row>
    <row r="115" spans="1:61">
      <c r="A115" s="18"/>
      <c r="B115" s="47" t="str">
        <f t="shared" si="38"/>
        <v>Uniec 2 per functie</v>
      </c>
      <c r="C115" s="47" t="str">
        <f t="shared" si="38"/>
        <v>NEN 7120</v>
      </c>
      <c r="D115" s="943"/>
      <c r="E115" s="14"/>
      <c r="F115" s="22" t="s">
        <v>1396</v>
      </c>
      <c r="G115" s="22"/>
      <c r="H115" s="22"/>
      <c r="I115" s="905"/>
      <c r="J115" s="1691" t="s">
        <v>465</v>
      </c>
      <c r="K115" s="1698"/>
      <c r="L115" s="16"/>
      <c r="M115" s="25"/>
      <c r="N115" s="22" t="str">
        <f t="shared" si="41"/>
        <v>MJ</v>
      </c>
      <c r="O115" s="15"/>
      <c r="P115" s="39"/>
      <c r="Q115" s="59">
        <f t="shared" si="42"/>
        <v>2.56</v>
      </c>
      <c r="R115" s="15"/>
      <c r="S115" s="24">
        <f t="shared" si="43"/>
        <v>0</v>
      </c>
      <c r="T115" s="47" t="str">
        <f>IFERROR(INDEX(energiedragers_EP_eenheden,MATCH($J115,tabellen_EMD!$C$196:$C$204,0),MATCH($B115,energiedragers_EP_eenheden_titel,0)),"-")</f>
        <v>kWh</v>
      </c>
      <c r="U115" s="39"/>
      <c r="V115" s="15"/>
      <c r="W115" s="59">
        <f t="shared" si="44"/>
        <v>0</v>
      </c>
      <c r="X115" s="47" t="str">
        <f t="shared" si="45"/>
        <v>kg/kWh</v>
      </c>
      <c r="Y115" s="12"/>
      <c r="Z115" s="24">
        <f t="shared" si="46"/>
        <v>0</v>
      </c>
      <c r="AA115" s="47" t="s">
        <v>468</v>
      </c>
      <c r="AB115" s="67"/>
      <c r="AC115" s="995"/>
      <c r="AD115" s="1405"/>
      <c r="AE115" s="1405"/>
      <c r="AF115" s="1405"/>
      <c r="AG115" s="1405"/>
      <c r="AH115" s="1405"/>
      <c r="AI115" s="1405"/>
      <c r="AJ115" s="1405"/>
      <c r="AK115" s="1405"/>
      <c r="AL115" s="1405"/>
      <c r="AM115" s="1405"/>
      <c r="AN115" s="1405"/>
      <c r="AO115" s="1405"/>
      <c r="AP115" s="1405"/>
      <c r="AQ115" s="1405"/>
      <c r="AR115" s="1405"/>
      <c r="AS115" s="67"/>
      <c r="AT115" s="995"/>
      <c r="AU115" s="12"/>
      <c r="AV115" s="22" t="str">
        <f t="shared" si="39"/>
        <v>zomercomfort</v>
      </c>
      <c r="AW115" s="46" t="str">
        <f t="shared" si="40"/>
        <v>elektriciteit</v>
      </c>
      <c r="AX115" s="115"/>
      <c r="AY115" s="12"/>
      <c r="AZ115" s="115">
        <v>1</v>
      </c>
      <c r="BA115" s="24">
        <f>IFERROR(INDEX(tabellen_EMD!$C$185:$N$193,MATCH($J115,tabellen_EMD!$C$185:$C$193,0),MATCH(BA$63,tabellen_EMD!$C$185:$N$185,0)),0)</f>
        <v>0</v>
      </c>
      <c r="BB115" s="115">
        <f t="shared" si="47"/>
        <v>2.56</v>
      </c>
      <c r="BC115" s="15"/>
      <c r="BD115" s="115">
        <f t="shared" si="48"/>
        <v>3.6</v>
      </c>
      <c r="BE115" s="47" t="str">
        <f t="shared" si="49"/>
        <v>MJ/kWh</v>
      </c>
      <c r="BF115" s="15"/>
      <c r="BG115" s="218">
        <f>IFERROR(INDEX(tabellen_EMD!$C$240:$Z$248,MATCH($J115,tabellen_EMD!$C$240:$C$248,0),MATCH($B115,tabellen_EMD!$C$240:$Z$240,0))*(F115&lt;&gt;"zomercomfort"),0)</f>
        <v>0</v>
      </c>
      <c r="BH115" s="47" t="str">
        <f t="shared" si="50"/>
        <v>kg/kWh</v>
      </c>
      <c r="BI115" s="15"/>
    </row>
    <row r="116" spans="1:61">
      <c r="A116" s="18"/>
      <c r="B116" s="47" t="str">
        <f t="shared" si="38"/>
        <v>Uniec 2 per functie</v>
      </c>
      <c r="C116" s="47" t="str">
        <f t="shared" si="38"/>
        <v>NEN 7120</v>
      </c>
      <c r="D116" s="943"/>
      <c r="E116" s="14"/>
      <c r="F116" s="22" t="s">
        <v>1375</v>
      </c>
      <c r="G116" s="22"/>
      <c r="H116" s="22"/>
      <c r="I116" s="905"/>
      <c r="J116" s="1691" t="s">
        <v>465</v>
      </c>
      <c r="K116" s="1698"/>
      <c r="L116" s="16"/>
      <c r="M116" s="25"/>
      <c r="N116" s="22" t="str">
        <f t="shared" si="41"/>
        <v>MJ</v>
      </c>
      <c r="O116" s="15"/>
      <c r="P116" s="39"/>
      <c r="Q116" s="59">
        <f t="shared" si="42"/>
        <v>2.56</v>
      </c>
      <c r="R116" s="15"/>
      <c r="S116" s="24">
        <f t="shared" si="43"/>
        <v>0</v>
      </c>
      <c r="T116" s="47" t="str">
        <f>IFERROR(INDEX(energiedragers_EP_eenheden,MATCH($J116,tabellen_EMD!$C$196:$C$204,0),MATCH($B116,energiedragers_EP_eenheden_titel,0)),"-")</f>
        <v>kWh</v>
      </c>
      <c r="U116" s="39"/>
      <c r="V116" s="15"/>
      <c r="W116" s="59">
        <f t="shared" si="44"/>
        <v>0.56499999999999995</v>
      </c>
      <c r="X116" s="47" t="str">
        <f t="shared" si="45"/>
        <v>kg/kWh</v>
      </c>
      <c r="Y116" s="12"/>
      <c r="Z116" s="24">
        <f t="shared" si="46"/>
        <v>0</v>
      </c>
      <c r="AA116" s="47" t="s">
        <v>468</v>
      </c>
      <c r="AB116" s="67"/>
      <c r="AC116" s="995"/>
      <c r="AD116" s="1405"/>
      <c r="AE116" s="1405"/>
      <c r="AF116" s="1405"/>
      <c r="AG116" s="1405"/>
      <c r="AH116" s="1405"/>
      <c r="AI116" s="1405"/>
      <c r="AJ116" s="1405"/>
      <c r="AK116" s="1405"/>
      <c r="AL116" s="1405"/>
      <c r="AM116" s="1405"/>
      <c r="AN116" s="1405"/>
      <c r="AO116" s="1405"/>
      <c r="AP116" s="1405"/>
      <c r="AQ116" s="1405"/>
      <c r="AR116" s="1405"/>
      <c r="AS116" s="67"/>
      <c r="AT116" s="995"/>
      <c r="AU116" s="12"/>
      <c r="AV116" s="22" t="str">
        <f t="shared" si="39"/>
        <v>ventilatoren</v>
      </c>
      <c r="AW116" s="46" t="str">
        <f t="shared" si="40"/>
        <v>elektriciteit</v>
      </c>
      <c r="AX116" s="115"/>
      <c r="AY116" s="12"/>
      <c r="AZ116" s="115">
        <v>1</v>
      </c>
      <c r="BA116" s="24">
        <f>IFERROR(INDEX(tabellen_EMD!$C$185:$N$193,MATCH($J116,tabellen_EMD!$C$185:$C$193,0),MATCH(BA$63,tabellen_EMD!$C$185:$N$185,0)),0)</f>
        <v>0</v>
      </c>
      <c r="BB116" s="115">
        <f t="shared" si="47"/>
        <v>2.56</v>
      </c>
      <c r="BC116" s="899"/>
      <c r="BD116" s="115">
        <f t="shared" si="48"/>
        <v>3.6</v>
      </c>
      <c r="BE116" s="47" t="str">
        <f t="shared" si="49"/>
        <v>MJ/kWh</v>
      </c>
      <c r="BF116" s="899"/>
      <c r="BG116" s="218">
        <f>IFERROR(INDEX(tabellen_EMD!$C$240:$Z$248,MATCH($J116,tabellen_EMD!$C$240:$C$248,0),MATCH($B116,tabellen_EMD!$C$240:$Z$240,0))*(F116&lt;&gt;"zomercomfort"),0)</f>
        <v>0.56499999999999995</v>
      </c>
      <c r="BH116" s="47" t="str">
        <f t="shared" si="50"/>
        <v>kg/kWh</v>
      </c>
      <c r="BI116" s="899"/>
    </row>
    <row r="117" spans="1:61" s="18" customFormat="1">
      <c r="A117" s="86"/>
      <c r="B117" s="47" t="str">
        <f t="shared" si="38"/>
        <v>Uniec 2 per functie</v>
      </c>
      <c r="C117" s="47" t="str">
        <f t="shared" si="38"/>
        <v>NEN 7120</v>
      </c>
      <c r="D117" s="943"/>
      <c r="E117" s="14"/>
      <c r="F117" s="22" t="s">
        <v>507</v>
      </c>
      <c r="G117" s="22"/>
      <c r="H117" s="22"/>
      <c r="I117" s="905"/>
      <c r="J117" s="1691" t="s">
        <v>465</v>
      </c>
      <c r="K117" s="1698"/>
      <c r="L117" s="16"/>
      <c r="M117" s="25"/>
      <c r="N117" s="22" t="str">
        <f t="shared" si="41"/>
        <v>MJ</v>
      </c>
      <c r="O117" s="15"/>
      <c r="P117" s="39"/>
      <c r="Q117" s="59">
        <f t="shared" si="42"/>
        <v>2.56</v>
      </c>
      <c r="R117" s="15"/>
      <c r="S117" s="24">
        <f t="shared" si="43"/>
        <v>0</v>
      </c>
      <c r="T117" s="47" t="str">
        <f>IFERROR(INDEX(energiedragers_EP_eenheden,MATCH($J117,tabellen_EMD!$C$196:$C$204,0),MATCH($B117,energiedragers_EP_eenheden_titel,0)),"-")</f>
        <v>kWh</v>
      </c>
      <c r="U117" s="39"/>
      <c r="V117" s="15"/>
      <c r="W117" s="59">
        <f t="shared" si="44"/>
        <v>0.56499999999999995</v>
      </c>
      <c r="X117" s="47" t="str">
        <f t="shared" si="45"/>
        <v>kg/kWh</v>
      </c>
      <c r="Y117" s="12"/>
      <c r="Z117" s="24">
        <f t="shared" si="46"/>
        <v>0</v>
      </c>
      <c r="AA117" s="47" t="s">
        <v>468</v>
      </c>
      <c r="AB117" s="67"/>
      <c r="AC117" s="995"/>
      <c r="AD117" s="1405"/>
      <c r="AE117" s="1405"/>
      <c r="AF117" s="1405"/>
      <c r="AG117" s="1405"/>
      <c r="AH117" s="1405"/>
      <c r="AI117" s="1405"/>
      <c r="AJ117" s="1405"/>
      <c r="AK117" s="1405"/>
      <c r="AL117" s="1405"/>
      <c r="AM117" s="1405"/>
      <c r="AN117" s="1405"/>
      <c r="AO117" s="1405"/>
      <c r="AP117" s="1405"/>
      <c r="AQ117" s="1405"/>
      <c r="AR117" s="1405"/>
      <c r="AS117" s="67"/>
      <c r="AT117" s="995"/>
      <c r="AU117" s="12"/>
      <c r="AV117" s="22" t="str">
        <f t="shared" si="39"/>
        <v>verlichting</v>
      </c>
      <c r="AW117" s="46" t="str">
        <f t="shared" si="40"/>
        <v>elektriciteit</v>
      </c>
      <c r="AX117" s="115"/>
      <c r="AY117" s="12"/>
      <c r="AZ117" s="115">
        <v>1</v>
      </c>
      <c r="BA117" s="24">
        <f>IFERROR(INDEX(tabellen_EMD!$C$185:$N$193,MATCH($J117,tabellen_EMD!$C$185:$C$193,0),MATCH(BA$63,tabellen_EMD!$C$185:$N$185,0)),0)</f>
        <v>0</v>
      </c>
      <c r="BB117" s="115">
        <f t="shared" si="47"/>
        <v>2.56</v>
      </c>
      <c r="BC117" s="899"/>
      <c r="BD117" s="115">
        <f t="shared" si="48"/>
        <v>3.6</v>
      </c>
      <c r="BE117" s="47" t="str">
        <f t="shared" si="49"/>
        <v>MJ/kWh</v>
      </c>
      <c r="BF117" s="899"/>
      <c r="BG117" s="218">
        <f>IFERROR(INDEX(tabellen_EMD!$C$240:$Z$248,MATCH($J117,tabellen_EMD!$C$240:$C$248,0),MATCH($B117,tabellen_EMD!$C$240:$Z$240,0))*(F117&lt;&gt;"zomercomfort"),0)</f>
        <v>0.56499999999999995</v>
      </c>
      <c r="BH117" s="47" t="str">
        <f t="shared" si="50"/>
        <v>kg/kWh</v>
      </c>
      <c r="BI117" s="899"/>
    </row>
    <row r="118" spans="1:61">
      <c r="A118" s="86"/>
      <c r="B118" s="47" t="str">
        <f t="shared" si="38"/>
        <v>Uniec 2 per functie</v>
      </c>
      <c r="C118" s="47" t="str">
        <f t="shared" si="38"/>
        <v>NEN 7120</v>
      </c>
      <c r="D118" s="943"/>
      <c r="E118" s="14"/>
      <c r="F118" s="22" t="s">
        <v>1503</v>
      </c>
      <c r="G118" s="22"/>
      <c r="H118" s="22"/>
      <c r="I118" s="905"/>
      <c r="J118" s="1691" t="s">
        <v>1538</v>
      </c>
      <c r="K118" s="1698"/>
      <c r="L118" s="16"/>
      <c r="M118" s="25"/>
      <c r="N118" s="22" t="str">
        <f t="shared" si="41"/>
        <v>MJ</v>
      </c>
      <c r="O118" s="15"/>
      <c r="P118" s="39"/>
      <c r="Q118" s="59">
        <f t="shared" si="42"/>
        <v>2</v>
      </c>
      <c r="R118" s="15"/>
      <c r="S118" s="24">
        <f t="shared" si="43"/>
        <v>0</v>
      </c>
      <c r="T118" s="47" t="str">
        <f>IFERROR(INDEX(energiedragers_EP_eenheden,MATCH($J118,tabellen_EMD!$C$196:$C$204,0),MATCH($B118,energiedragers_EP_eenheden_titel,0)),"-")</f>
        <v>kWh</v>
      </c>
      <c r="U118" s="39"/>
      <c r="V118" s="15"/>
      <c r="W118" s="59">
        <f t="shared" si="44"/>
        <v>0.56499999999999995</v>
      </c>
      <c r="X118" s="47" t="str">
        <f t="shared" si="45"/>
        <v>kg/kWh</v>
      </c>
      <c r="Y118" s="12"/>
      <c r="Z118" s="24">
        <f t="shared" si="46"/>
        <v>0</v>
      </c>
      <c r="AA118" s="47" t="s">
        <v>468</v>
      </c>
      <c r="AB118" s="67"/>
      <c r="AC118" s="995"/>
      <c r="AD118" s="1405"/>
      <c r="AE118" s="1405"/>
      <c r="AF118" s="1405"/>
      <c r="AG118" s="1405"/>
      <c r="AH118" s="1405"/>
      <c r="AI118" s="1405"/>
      <c r="AJ118" s="1405"/>
      <c r="AK118" s="1405"/>
      <c r="AL118" s="1405"/>
      <c r="AM118" s="1405"/>
      <c r="AN118" s="1405"/>
      <c r="AO118" s="1405"/>
      <c r="AP118" s="1405"/>
      <c r="AQ118" s="1405"/>
      <c r="AR118" s="1405"/>
      <c r="AS118" s="67"/>
      <c r="AT118" s="995"/>
      <c r="AU118" s="12"/>
      <c r="AV118" s="22" t="str">
        <f t="shared" si="39"/>
        <v>geëxporteerde elektriciteit</v>
      </c>
      <c r="AW118" s="46" t="str">
        <f t="shared" si="40"/>
        <v>elektriciteit geëxporteerd</v>
      </c>
      <c r="AX118" s="115"/>
      <c r="AY118" s="12"/>
      <c r="AZ118" s="115">
        <v>1</v>
      </c>
      <c r="BA118" s="24">
        <f>IFERROR(INDEX(tabellen_EMD!$C$185:$N$193,MATCH($J118,tabellen_EMD!$C$185:$C$193,0),MATCH(BA$63,tabellen_EMD!$C$185:$N$185,0)),0)</f>
        <v>0</v>
      </c>
      <c r="BB118" s="115">
        <f t="shared" si="47"/>
        <v>2</v>
      </c>
      <c r="BC118" s="899"/>
      <c r="BD118" s="115">
        <f t="shared" si="48"/>
        <v>3.6</v>
      </c>
      <c r="BE118" s="47" t="str">
        <f t="shared" si="49"/>
        <v>MJ/kWh</v>
      </c>
      <c r="BF118" s="899"/>
      <c r="BG118" s="218">
        <f>IFERROR(INDEX(tabellen_EMD!$C$240:$Z$248,MATCH($J118,tabellen_EMD!$C$240:$C$248,0),MATCH($B118,tabellen_EMD!$C$240:$Z$240,0))*(F118&lt;&gt;"zomercomfort"),0)</f>
        <v>0.56499999999999995</v>
      </c>
      <c r="BH118" s="47" t="str">
        <f t="shared" si="50"/>
        <v>kg/kWh</v>
      </c>
      <c r="BI118" s="899"/>
    </row>
    <row r="119" spans="1:61">
      <c r="A119" s="86"/>
      <c r="B119" s="47" t="str">
        <f t="shared" si="38"/>
        <v>Uniec 2 per functie</v>
      </c>
      <c r="C119" s="47" t="str">
        <f t="shared" si="38"/>
        <v>NEN 7120</v>
      </c>
      <c r="D119" s="943"/>
      <c r="E119" s="14"/>
      <c r="F119" s="22" t="s">
        <v>1504</v>
      </c>
      <c r="G119" s="22"/>
      <c r="H119" s="22"/>
      <c r="I119" s="905"/>
      <c r="J119" s="1691" t="s">
        <v>466</v>
      </c>
      <c r="K119" s="1698"/>
      <c r="L119" s="16"/>
      <c r="M119" s="25"/>
      <c r="N119" s="22" t="str">
        <f t="shared" si="41"/>
        <v>MJ</v>
      </c>
      <c r="O119" s="15"/>
      <c r="P119" s="39"/>
      <c r="Q119" s="59">
        <f t="shared" si="42"/>
        <v>2.56</v>
      </c>
      <c r="R119" s="15"/>
      <c r="S119" s="24">
        <f t="shared" si="43"/>
        <v>0</v>
      </c>
      <c r="T119" s="47" t="str">
        <f>IFERROR(INDEX(energiedragers_EP_eenheden,MATCH($J119,tabellen_EMD!$C$196:$C$204,0),MATCH($B119,energiedragers_EP_eenheden_titel,0)),"-")</f>
        <v>kWh</v>
      </c>
      <c r="U119" s="39"/>
      <c r="V119" s="15"/>
      <c r="W119" s="59">
        <f t="shared" si="44"/>
        <v>0.56499999999999995</v>
      </c>
      <c r="X119" s="47" t="str">
        <f t="shared" si="45"/>
        <v>kg/kWh</v>
      </c>
      <c r="Y119" s="12"/>
      <c r="Z119" s="24">
        <f t="shared" si="46"/>
        <v>0</v>
      </c>
      <c r="AA119" s="47" t="s">
        <v>468</v>
      </c>
      <c r="AB119" s="67"/>
      <c r="AC119" s="995"/>
      <c r="AD119" s="1405"/>
      <c r="AE119" s="1405"/>
      <c r="AF119" s="1405"/>
      <c r="AG119" s="1405"/>
      <c r="AH119" s="1405"/>
      <c r="AI119" s="1405"/>
      <c r="AJ119" s="1405"/>
      <c r="AK119" s="1405"/>
      <c r="AL119" s="1405"/>
      <c r="AM119" s="1405"/>
      <c r="AN119" s="1405"/>
      <c r="AO119" s="1405"/>
      <c r="AP119" s="1405"/>
      <c r="AQ119" s="1405"/>
      <c r="AR119" s="1405"/>
      <c r="AS119" s="67"/>
      <c r="AT119" s="995"/>
      <c r="AU119" s="12"/>
      <c r="AV119" s="22" t="str">
        <f t="shared" si="39"/>
        <v>op eigen perceel opgewekte &amp; verbruikte elektriciteit</v>
      </c>
      <c r="AW119" s="46" t="str">
        <f t="shared" si="40"/>
        <v>elektriciteit opgewekt</v>
      </c>
      <c r="AX119" s="115"/>
      <c r="AY119" s="12"/>
      <c r="AZ119" s="115">
        <v>1</v>
      </c>
      <c r="BA119" s="24">
        <f>IFERROR(INDEX(tabellen_EMD!$C$185:$N$193,MATCH($J119,tabellen_EMD!$C$185:$C$193,0),MATCH(BA$63,tabellen_EMD!$C$185:$N$185,0)),0)</f>
        <v>0</v>
      </c>
      <c r="BB119" s="115">
        <f t="shared" si="47"/>
        <v>2.56</v>
      </c>
      <c r="BC119" s="899"/>
      <c r="BD119" s="115">
        <f t="shared" si="48"/>
        <v>3.6</v>
      </c>
      <c r="BE119" s="47" t="str">
        <f t="shared" si="49"/>
        <v>MJ/kWh</v>
      </c>
      <c r="BF119" s="899"/>
      <c r="BG119" s="218">
        <f>IFERROR(INDEX(tabellen_EMD!$C$240:$Z$248,MATCH($J119,tabellen_EMD!$C$240:$C$248,0),MATCH($B119,tabellen_EMD!$C$240:$Z$240,0))*(F119&lt;&gt;"zomercomfort"),0)</f>
        <v>0.56499999999999995</v>
      </c>
      <c r="BH119" s="47" t="str">
        <f t="shared" si="50"/>
        <v>kg/kWh</v>
      </c>
      <c r="BI119" s="899"/>
    </row>
    <row r="120" spans="1:61">
      <c r="A120" s="86"/>
      <c r="B120" s="47" t="str">
        <f t="shared" si="38"/>
        <v>Uniec 2 per functie</v>
      </c>
      <c r="C120" s="47" t="str">
        <f t="shared" si="38"/>
        <v>NEN 7120</v>
      </c>
      <c r="D120" s="943"/>
      <c r="E120" s="14"/>
      <c r="F120" s="22" t="s">
        <v>1505</v>
      </c>
      <c r="G120" s="22"/>
      <c r="H120" s="22"/>
      <c r="I120" s="905"/>
      <c r="J120" s="1691" t="s">
        <v>466</v>
      </c>
      <c r="K120" s="1698"/>
      <c r="L120" s="16"/>
      <c r="M120" s="25"/>
      <c r="N120" s="22" t="str">
        <f t="shared" si="41"/>
        <v>MJ</v>
      </c>
      <c r="O120" s="15"/>
      <c r="P120" s="39"/>
      <c r="Q120" s="59">
        <f t="shared" si="42"/>
        <v>2.56</v>
      </c>
      <c r="R120" s="15"/>
      <c r="S120" s="24">
        <f t="shared" si="43"/>
        <v>0</v>
      </c>
      <c r="T120" s="47" t="str">
        <f>IFERROR(INDEX(energiedragers_EP_eenheden,MATCH($J120,tabellen_EMD!$C$196:$C$204,0),MATCH($B120,energiedragers_EP_eenheden_titel,0)),"-")</f>
        <v>kWh</v>
      </c>
      <c r="U120" s="39"/>
      <c r="V120" s="15"/>
      <c r="W120" s="59">
        <f t="shared" si="44"/>
        <v>0.56499999999999995</v>
      </c>
      <c r="X120" s="47" t="str">
        <f t="shared" si="45"/>
        <v>kg/kWh</v>
      </c>
      <c r="Y120" s="12"/>
      <c r="Z120" s="24">
        <f t="shared" si="46"/>
        <v>0</v>
      </c>
      <c r="AA120" s="47" t="s">
        <v>468</v>
      </c>
      <c r="AB120" s="67"/>
      <c r="AC120" s="995"/>
      <c r="AD120" s="1405"/>
      <c r="AE120" s="1405"/>
      <c r="AF120" s="1405"/>
      <c r="AG120" s="1405"/>
      <c r="AH120" s="1405"/>
      <c r="AI120" s="1405"/>
      <c r="AJ120" s="1405"/>
      <c r="AK120" s="1405"/>
      <c r="AL120" s="1405"/>
      <c r="AM120" s="1405"/>
      <c r="AN120" s="1405"/>
      <c r="AO120" s="1405"/>
      <c r="AP120" s="1405"/>
      <c r="AQ120" s="1405"/>
      <c r="AR120" s="1405"/>
      <c r="AS120" s="67"/>
      <c r="AT120" s="995"/>
      <c r="AU120" s="12"/>
      <c r="AV120" s="22" t="str">
        <f t="shared" si="39"/>
        <v>in het gebied opgewekte elektriciteit</v>
      </c>
      <c r="AW120" s="46" t="str">
        <f t="shared" si="40"/>
        <v>elektriciteit opgewekt</v>
      </c>
      <c r="AX120" s="115"/>
      <c r="AY120" s="12"/>
      <c r="AZ120" s="115">
        <v>1</v>
      </c>
      <c r="BA120" s="24">
        <f>IFERROR(INDEX(tabellen_EMD!$C$185:$N$193,MATCH($J120,tabellen_EMD!$C$185:$C$193,0),MATCH(BA$63,tabellen_EMD!$C$185:$N$185,0)),0)</f>
        <v>0</v>
      </c>
      <c r="BB120" s="115">
        <f t="shared" si="47"/>
        <v>2.56</v>
      </c>
      <c r="BC120" s="899"/>
      <c r="BD120" s="115">
        <f t="shared" si="48"/>
        <v>3.6</v>
      </c>
      <c r="BE120" s="47" t="str">
        <f t="shared" si="49"/>
        <v>MJ/kWh</v>
      </c>
      <c r="BF120" s="899"/>
      <c r="BG120" s="218">
        <f>IFERROR(INDEX(tabellen_EMD!$C$240:$Z$248,MATCH($J120,tabellen_EMD!$C$240:$C$248,0),MATCH($B120,tabellen_EMD!$C$240:$Z$240,0))*(F120&lt;&gt;"zomercomfort"),0)</f>
        <v>0.56499999999999995</v>
      </c>
      <c r="BH120" s="47" t="str">
        <f t="shared" si="50"/>
        <v>kg/kWh</v>
      </c>
      <c r="BI120" s="899"/>
    </row>
    <row r="121" spans="1:61" s="940" customFormat="1">
      <c r="A121" s="86"/>
      <c r="B121" s="47" t="str">
        <f t="shared" si="38"/>
        <v>Uniec 2 per functie</v>
      </c>
      <c r="C121" s="47" t="str">
        <f t="shared" si="38"/>
        <v>NEN 7120</v>
      </c>
      <c r="D121" s="943"/>
      <c r="E121" s="14"/>
      <c r="F121" s="15" t="s">
        <v>1391</v>
      </c>
      <c r="G121" s="15"/>
      <c r="H121" s="15"/>
      <c r="I121" s="905"/>
      <c r="J121" s="43" t="s">
        <v>1391</v>
      </c>
      <c r="K121" s="43"/>
      <c r="L121" s="16"/>
      <c r="M121" s="950">
        <f>SUM(M109:M117)-SUM(M118:M120)</f>
        <v>0</v>
      </c>
      <c r="N121" s="15" t="str">
        <f t="shared" si="41"/>
        <v>MJ</v>
      </c>
      <c r="O121" s="15"/>
      <c r="P121" s="39"/>
      <c r="Q121" s="39"/>
      <c r="R121" s="15"/>
      <c r="S121" s="899"/>
      <c r="T121" s="899"/>
      <c r="U121" s="39"/>
      <c r="V121" s="39"/>
      <c r="W121" s="39"/>
      <c r="X121" s="39"/>
      <c r="Y121" s="12"/>
      <c r="Z121" s="950">
        <f>SUM(Z109:Z117)-SUM(Z118:Z120)</f>
        <v>0</v>
      </c>
      <c r="AA121" s="15" t="s">
        <v>468</v>
      </c>
      <c r="AB121" s="67"/>
      <c r="AC121" s="995"/>
      <c r="AD121" s="1405"/>
      <c r="AE121" s="1405"/>
      <c r="AF121" s="1405"/>
      <c r="AG121" s="1405"/>
      <c r="AH121" s="1405"/>
      <c r="AI121" s="1405"/>
      <c r="AJ121" s="1405"/>
      <c r="AK121" s="1405"/>
      <c r="AL121" s="1405"/>
      <c r="AM121" s="1405"/>
      <c r="AN121" s="1405"/>
      <c r="AO121" s="1405"/>
      <c r="AP121" s="1405"/>
      <c r="AQ121" s="1405"/>
      <c r="AR121" s="1405"/>
      <c r="AS121" s="67"/>
      <c r="AT121" s="995"/>
      <c r="AU121" s="12"/>
      <c r="AV121" s="22" t="str">
        <f t="shared" si="39"/>
        <v>totaal</v>
      </c>
      <c r="AW121" s="46" t="str">
        <f t="shared" si="40"/>
        <v>totaal</v>
      </c>
      <c r="AX121" s="115"/>
      <c r="AY121" s="12"/>
      <c r="AZ121" s="12"/>
      <c r="BA121" s="12"/>
      <c r="BB121" s="12"/>
      <c r="BC121" s="899"/>
      <c r="BD121" s="899"/>
      <c r="BE121" s="899"/>
      <c r="BF121" s="899"/>
      <c r="BG121" s="15"/>
      <c r="BH121" s="15"/>
      <c r="BI121" s="899"/>
    </row>
    <row r="122" spans="1:61" s="49" customFormat="1">
      <c r="A122" s="212"/>
      <c r="B122" s="47" t="str">
        <f t="shared" si="38"/>
        <v>Uniec 2 per functie</v>
      </c>
      <c r="C122" s="47" t="str">
        <f t="shared" si="38"/>
        <v>NEN 7120</v>
      </c>
      <c r="D122" s="943"/>
      <c r="E122" s="50"/>
      <c r="F122" s="452" t="str">
        <f>IFERROR(IF($P$23=$B122,_xlfn.CONCAT("Bij 1.1 ingevuld: ",FIXED($J$35,2,FALSE)," ",$K$35),""),"invoer niet correct")</f>
        <v/>
      </c>
      <c r="G122" s="452"/>
      <c r="H122" s="452"/>
      <c r="I122" s="905"/>
      <c r="J122" s="909" t="str">
        <f>IFERROR(IF($P$23=$B122,IF(ABS((M122-$J$35)/$J$35)&gt;1%,"Afwijking &gt;1% met subthema 1.1",""),""),"invoer niet correct")</f>
        <v/>
      </c>
      <c r="K122" s="909"/>
      <c r="L122" s="910"/>
      <c r="M122" s="1339" t="str">
        <f>IFERROR(IF($P$23=$B122,M121/$J$59,""),"")</f>
        <v/>
      </c>
      <c r="N122" s="452" t="str">
        <f>IF($P$23=$B122,_xlfn.CONCAT(N121,"/m2"),"")</f>
        <v/>
      </c>
      <c r="O122" s="452"/>
      <c r="P122" s="39"/>
      <c r="Q122" s="39"/>
      <c r="R122" s="899"/>
      <c r="S122" s="899"/>
      <c r="T122" s="899"/>
      <c r="U122" s="39"/>
      <c r="V122" s="39"/>
      <c r="W122" s="910" t="str">
        <f>IFERROR(IF($P$23=$B122,_xlfn.CONCAT("Bij 1.1 ingevuld: ",FIXED($AG$40,1,FALSE)," ",$AH$40),""),"invoer niet correct")</f>
        <v/>
      </c>
      <c r="X122" s="909" t="str">
        <f>IFERROR(IF($P$23=$B122,IF(ABS((Z122-$AG$40)/$AG$40)&gt;1%,"afwijking &gt;1% met subthema 1.1",""),""),"invoer niet correct")</f>
        <v/>
      </c>
      <c r="Y122" s="12"/>
      <c r="Z122" s="951" t="str">
        <f>IFERROR(IF($P$23=$B122,Z121/$J$58,""),"")</f>
        <v/>
      </c>
      <c r="AA122" s="452" t="str">
        <f>IF($P$23=$B122,_xlfn.CONCAT(AA121,"/m2"),"")</f>
        <v/>
      </c>
      <c r="AB122" s="1393"/>
      <c r="AC122" s="1001"/>
      <c r="AD122" s="1405"/>
      <c r="AE122" s="1405"/>
      <c r="AF122" s="1405"/>
      <c r="AG122" s="1405"/>
      <c r="AH122" s="1405"/>
      <c r="AI122" s="1405"/>
      <c r="AJ122" s="1405"/>
      <c r="AK122" s="1405"/>
      <c r="AL122" s="1405"/>
      <c r="AM122" s="1405"/>
      <c r="AN122" s="1405"/>
      <c r="AO122" s="1405"/>
      <c r="AP122" s="1405"/>
      <c r="AQ122" s="1405"/>
      <c r="AR122" s="1405"/>
      <c r="AS122" s="1393"/>
      <c r="AT122" s="1001"/>
      <c r="AU122" s="12"/>
      <c r="AV122" s="452"/>
      <c r="AW122" s="452"/>
      <c r="AX122" s="452"/>
      <c r="AY122" s="452"/>
      <c r="AZ122" s="452"/>
      <c r="BA122" s="452"/>
      <c r="BB122" s="452"/>
      <c r="BC122" s="452"/>
      <c r="BD122" s="452"/>
      <c r="BE122" s="452"/>
      <c r="BF122" s="452"/>
      <c r="BG122" s="452"/>
      <c r="BH122" s="452"/>
      <c r="BI122" s="899"/>
    </row>
    <row r="123" spans="1:61" s="49" customFormat="1">
      <c r="B123" s="47" t="str">
        <f t="shared" si="38"/>
        <v>Uniec 2 per functie</v>
      </c>
      <c r="C123" s="47" t="str">
        <f t="shared" si="38"/>
        <v>NEN 7120</v>
      </c>
      <c r="D123" s="943"/>
      <c r="E123" s="50"/>
      <c r="F123" s="43"/>
      <c r="G123" s="43"/>
      <c r="H123" s="43"/>
      <c r="I123" s="905"/>
      <c r="J123" s="44"/>
      <c r="K123" s="44"/>
      <c r="L123" s="44"/>
      <c r="M123" s="917"/>
      <c r="N123" s="44"/>
      <c r="O123" s="44"/>
      <c r="P123" s="39"/>
      <c r="Q123" s="39"/>
      <c r="R123" s="899"/>
      <c r="S123" s="899"/>
      <c r="T123" s="899"/>
      <c r="U123" s="39"/>
      <c r="V123" s="1155"/>
      <c r="W123" s="39"/>
      <c r="X123" s="39"/>
      <c r="Y123" s="12"/>
      <c r="Z123" s="899"/>
      <c r="AA123" s="899"/>
      <c r="AB123" s="1393"/>
      <c r="AC123" s="1001"/>
      <c r="AD123" s="1405"/>
      <c r="AE123" s="1405"/>
      <c r="AF123" s="1405"/>
      <c r="AG123" s="1405"/>
      <c r="AH123" s="1405"/>
      <c r="AI123" s="1405"/>
      <c r="AJ123" s="1405"/>
      <c r="AK123" s="1405"/>
      <c r="AL123" s="1405"/>
      <c r="AM123" s="1405"/>
      <c r="AN123" s="1405"/>
      <c r="AO123" s="1405"/>
      <c r="AP123" s="1405"/>
      <c r="AQ123" s="1405"/>
      <c r="AR123" s="1405"/>
      <c r="AS123" s="1393"/>
      <c r="AT123" s="1001"/>
      <c r="AU123" s="12"/>
      <c r="AV123" s="12"/>
      <c r="AW123" s="12"/>
      <c r="AX123" s="12"/>
      <c r="AY123" s="12"/>
      <c r="AZ123" s="44"/>
      <c r="BA123" s="12"/>
      <c r="BB123" s="44"/>
      <c r="BC123" s="899"/>
      <c r="BD123" s="899"/>
      <c r="BE123" s="899"/>
      <c r="BF123" s="899"/>
      <c r="BG123" s="899"/>
      <c r="BH123" s="899"/>
      <c r="BI123" s="899"/>
    </row>
    <row r="124" spans="1:61">
      <c r="A124" s="86"/>
      <c r="B124" s="939" t="str">
        <f>tabellen_EMD!$C$177</f>
        <v>Uniec 2 finaal</v>
      </c>
      <c r="C124" s="939" t="str">
        <f>VLOOKUP(B124,'EP naar GPR4'!$AV$40:$AY$48,COLUMNS($AV$40:$AX$40),FALSE)</f>
        <v>NEN 7120</v>
      </c>
      <c r="D124" s="943"/>
      <c r="E124" s="14"/>
      <c r="F124" s="15" t="str">
        <f>_xlfn.CONCAT("Overnemen uit '",B124,"': ",VLOOKUP(B124,$AV$41:$AZ$48,COLUMNS($AV$40:$AZ$40),FALSE))</f>
        <v>Overnemen uit 'Uniec 2 finaal': Jaarlijkse hoeveelheid primaire energie voor de energiefunctie</v>
      </c>
      <c r="G124" s="15"/>
      <c r="H124" s="15"/>
      <c r="I124" s="905"/>
      <c r="J124" s="43"/>
      <c r="K124" s="43"/>
      <c r="L124" s="16"/>
      <c r="M124" s="909" t="s">
        <v>1485</v>
      </c>
      <c r="N124" s="41"/>
      <c r="O124" s="41"/>
      <c r="P124" s="453" t="s">
        <v>1487</v>
      </c>
      <c r="Q124" s="39"/>
      <c r="R124" s="39"/>
      <c r="S124" s="453" t="s">
        <v>1484</v>
      </c>
      <c r="T124" s="39"/>
      <c r="U124" s="39"/>
      <c r="V124" s="453" t="s">
        <v>1613</v>
      </c>
      <c r="W124" s="39"/>
      <c r="X124" s="39"/>
      <c r="Y124" s="12"/>
      <c r="Z124" s="453" t="s">
        <v>1536</v>
      </c>
      <c r="AA124" s="12"/>
      <c r="AB124" s="67"/>
      <c r="AC124" s="995"/>
      <c r="AD124" s="1405"/>
      <c r="AE124" s="1405"/>
      <c r="AF124" s="1405"/>
      <c r="AG124" s="1405"/>
      <c r="AH124" s="1405"/>
      <c r="AI124" s="1405"/>
      <c r="AJ124" s="1405"/>
      <c r="AK124" s="1405"/>
      <c r="AL124" s="1405"/>
      <c r="AM124" s="1405"/>
      <c r="AN124" s="1405"/>
      <c r="AO124" s="1405"/>
      <c r="AP124" s="1405"/>
      <c r="AQ124" s="1405"/>
      <c r="AR124" s="1405"/>
      <c r="AS124" s="67"/>
      <c r="AT124" s="995"/>
      <c r="AU124" s="12"/>
      <c r="AV124" s="12"/>
      <c r="AW124" s="12"/>
      <c r="AX124" s="12"/>
      <c r="AY124" s="12"/>
      <c r="AZ124" s="888" t="str">
        <f>AZ$63</f>
        <v>Eenheid energie</v>
      </c>
      <c r="BA124" s="888" t="s">
        <v>1628</v>
      </c>
      <c r="BB124" s="888" t="str">
        <f>BB$63</f>
        <v>PEF finaal → primair</v>
      </c>
      <c r="BC124" s="452"/>
      <c r="BD124" s="452" t="str">
        <f>BD$63</f>
        <v>eenheden omrekenen</v>
      </c>
      <c r="BE124" s="452"/>
      <c r="BF124" s="452"/>
      <c r="BG124" s="888" t="str">
        <f>BG$63</f>
        <v>CO2</v>
      </c>
      <c r="BH124" s="39"/>
      <c r="BI124" s="899"/>
    </row>
    <row r="125" spans="1:61">
      <c r="A125" s="86"/>
      <c r="B125" s="47" t="str">
        <f t="shared" ref="B125:C135" si="51">B124</f>
        <v>Uniec 2 finaal</v>
      </c>
      <c r="C125" s="47" t="str">
        <f t="shared" si="51"/>
        <v>NEN 7120</v>
      </c>
      <c r="D125" s="943"/>
      <c r="E125" s="14"/>
      <c r="F125" s="892" t="s">
        <v>496</v>
      </c>
      <c r="G125" s="892"/>
      <c r="H125" s="892"/>
      <c r="I125" s="905"/>
      <c r="J125" s="909" t="s">
        <v>458</v>
      </c>
      <c r="K125" s="909"/>
      <c r="L125" s="889"/>
      <c r="M125" s="910" t="s">
        <v>1534</v>
      </c>
      <c r="N125" s="452" t="s">
        <v>204</v>
      </c>
      <c r="O125" s="39"/>
      <c r="P125" s="888" t="s">
        <v>1533</v>
      </c>
      <c r="Q125" s="910" t="s">
        <v>1532</v>
      </c>
      <c r="R125" s="452"/>
      <c r="S125" s="888" t="s">
        <v>1534</v>
      </c>
      <c r="T125" s="889" t="s">
        <v>204</v>
      </c>
      <c r="U125" s="39"/>
      <c r="V125" s="888" t="s">
        <v>1533</v>
      </c>
      <c r="W125" s="910" t="s">
        <v>1532</v>
      </c>
      <c r="X125" s="889" t="s">
        <v>204</v>
      </c>
      <c r="Y125" s="12"/>
      <c r="Z125" s="888" t="s">
        <v>1534</v>
      </c>
      <c r="AA125" s="889" t="s">
        <v>204</v>
      </c>
      <c r="AB125" s="67"/>
      <c r="AC125" s="995"/>
      <c r="AD125" s="1405"/>
      <c r="AE125" s="1405"/>
      <c r="AF125" s="1405"/>
      <c r="AG125" s="1405"/>
      <c r="AH125" s="1405"/>
      <c r="AI125" s="1405"/>
      <c r="AJ125" s="1405"/>
      <c r="AK125" s="1405"/>
      <c r="AL125" s="1405"/>
      <c r="AM125" s="1405"/>
      <c r="AN125" s="1405"/>
      <c r="AO125" s="1405"/>
      <c r="AP125" s="1405"/>
      <c r="AQ125" s="1405"/>
      <c r="AR125" s="1405"/>
      <c r="AS125" s="67"/>
      <c r="AT125" s="995"/>
      <c r="AU125" s="12"/>
      <c r="AV125" s="892" t="str">
        <f t="shared" ref="AV125:AV133" si="52">F125</f>
        <v>energiefunctie</v>
      </c>
      <c r="AW125" s="452" t="str">
        <f t="shared" ref="AW125:AW133" si="53">J125</f>
        <v>energiedrager</v>
      </c>
      <c r="AX125" s="910"/>
      <c r="AY125" s="12"/>
      <c r="AZ125" s="888" t="str">
        <f>AZ$64</f>
        <v>pos/neg</v>
      </c>
      <c r="BA125" s="888"/>
      <c r="BB125" s="888" t="str">
        <f>BB$64</f>
        <v>default</v>
      </c>
      <c r="BC125" s="452"/>
      <c r="BD125" s="452" t="str">
        <f>BD$64</f>
        <v>waarde</v>
      </c>
      <c r="BE125" s="452" t="str">
        <f>BE$64</f>
        <v>eenheden</v>
      </c>
      <c r="BF125" s="452"/>
      <c r="BG125" s="888" t="str">
        <f>BG$64</f>
        <v>default</v>
      </c>
      <c r="BH125" s="888" t="str">
        <f>BH$64</f>
        <v>eenheid</v>
      </c>
      <c r="BI125" s="452"/>
    </row>
    <row r="126" spans="1:61">
      <c r="A126" s="86"/>
      <c r="B126" s="47" t="str">
        <f t="shared" si="51"/>
        <v>Uniec 2 finaal</v>
      </c>
      <c r="C126" s="47" t="str">
        <f t="shared" si="51"/>
        <v>NEN 7120</v>
      </c>
      <c r="D126" s="943"/>
      <c r="E126" s="14"/>
      <c r="F126" s="22" t="s">
        <v>498</v>
      </c>
      <c r="G126" s="22"/>
      <c r="H126" s="22"/>
      <c r="I126" s="905"/>
      <c r="J126" s="1691" t="s">
        <v>465</v>
      </c>
      <c r="K126" s="1698"/>
      <c r="L126" s="16"/>
      <c r="M126" s="24">
        <f>Q126*S126*BD126</f>
        <v>0</v>
      </c>
      <c r="N126" s="47" t="str">
        <f t="shared" ref="N126:N133" si="54">INDEX(EP_methode_eenheid,1,MATCH($C126,EP_methode,0))</f>
        <v>MJ</v>
      </c>
      <c r="O126" s="909"/>
      <c r="P126" s="39"/>
      <c r="Q126" s="59">
        <f>IFERROR(IF(AND(P126&lt;&gt;"",$BA126=1),P126,BB126),1)</f>
        <v>2.56</v>
      </c>
      <c r="R126" s="15"/>
      <c r="S126" s="25"/>
      <c r="T126" s="47" t="str">
        <f>IFERROR(INDEX(energiedragers_EP_eenheden,MATCH($J126,tabellen_EMD!$C$196:$C$204,0),MATCH($B126,energiedragers_EP_eenheden_titel,0)),"-")</f>
        <v>kWh</v>
      </c>
      <c r="U126" s="39"/>
      <c r="V126" s="15"/>
      <c r="W126" s="59">
        <f>IF(AND(V126&lt;&gt;"",$BA126=1),V126,BG126)</f>
        <v>0.56499999999999995</v>
      </c>
      <c r="X126" s="47" t="str">
        <f t="shared" ref="X126:X132" si="55">BH126</f>
        <v>kg/kWh</v>
      </c>
      <c r="Y126" s="12"/>
      <c r="Z126" s="24">
        <f>S126*W126*ABS(AZ126)</f>
        <v>0</v>
      </c>
      <c r="AA126" s="47" t="s">
        <v>468</v>
      </c>
      <c r="AB126" s="67"/>
      <c r="AC126" s="995"/>
      <c r="AD126" s="1405"/>
      <c r="AE126" s="1405"/>
      <c r="AF126" s="1405"/>
      <c r="AG126" s="1405"/>
      <c r="AH126" s="1405"/>
      <c r="AI126" s="1405"/>
      <c r="AJ126" s="1405"/>
      <c r="AK126" s="1405"/>
      <c r="AL126" s="1405"/>
      <c r="AM126" s="1405"/>
      <c r="AN126" s="1405"/>
      <c r="AO126" s="1405"/>
      <c r="AP126" s="1405"/>
      <c r="AQ126" s="1405"/>
      <c r="AR126" s="1405"/>
      <c r="AS126" s="67"/>
      <c r="AT126" s="995"/>
      <c r="AU126" s="12"/>
      <c r="AV126" s="22" t="str">
        <f t="shared" si="52"/>
        <v>elektriciteit: gebouwgebonden installaties</v>
      </c>
      <c r="AW126" s="46" t="str">
        <f t="shared" si="53"/>
        <v>elektriciteit</v>
      </c>
      <c r="AX126" s="24"/>
      <c r="AY126" s="12"/>
      <c r="AZ126" s="115">
        <v>1</v>
      </c>
      <c r="BA126" s="24">
        <f>IFERROR(INDEX(tabellen_EMD!$C$185:$N$193,MATCH($J126,tabellen_EMD!$C$185:$C$193,0),MATCH(BA$63,tabellen_EMD!$C$185:$N$185,0)),0)</f>
        <v>0</v>
      </c>
      <c r="BB126" s="115">
        <f>VLOOKUP($J126,energiedragers_EP_PEF,MATCH(_xlfn.CONCAT($C126," | PEF"),energiedragers_EP_PEF_titel,0),FALSE)</f>
        <v>2.56</v>
      </c>
      <c r="BC126" s="899"/>
      <c r="BD126" s="115">
        <f t="shared" ref="BD126:BD132" si="56">IFERROR(VLOOKUP($J126,energiedragers_EP_omrekenen,MATCH($B126,energiedragers_EP_omrekenen_titel,0),FALSE),1)</f>
        <v>3.6</v>
      </c>
      <c r="BE126" s="47" t="str">
        <f t="shared" ref="BE126:BE132" si="57">_xlfn.CONCAT(N126,"/",T126)</f>
        <v>MJ/kWh</v>
      </c>
      <c r="BF126" s="899"/>
      <c r="BG126" s="218">
        <f>IFERROR(INDEX(tabellen_EMD!$C$240:$Z$248,MATCH($J126,tabellen_EMD!$C$240:$C$248,0),MATCH($B126,tabellen_EMD!$C$240:$Z$240,0))*(F126&lt;&gt;"zomercomfort"),0)</f>
        <v>0.56499999999999995</v>
      </c>
      <c r="BH126" s="47" t="str">
        <f t="shared" ref="BH126:BH132" si="58">"kg/"&amp;T126</f>
        <v>kg/kWh</v>
      </c>
      <c r="BI126" s="899"/>
    </row>
    <row r="127" spans="1:61">
      <c r="A127" s="86"/>
      <c r="B127" s="47" t="str">
        <f t="shared" si="51"/>
        <v>Uniec 2 finaal</v>
      </c>
      <c r="C127" s="47" t="str">
        <f t="shared" si="51"/>
        <v>NEN 7120</v>
      </c>
      <c r="D127" s="943"/>
      <c r="E127" s="14"/>
      <c r="F127" s="22" t="s">
        <v>1461</v>
      </c>
      <c r="G127" s="22"/>
      <c r="H127" s="22"/>
      <c r="I127" s="905"/>
      <c r="J127" s="965"/>
      <c r="K127" s="965"/>
      <c r="L127" s="965"/>
      <c r="M127" s="965"/>
      <c r="N127" s="965"/>
      <c r="O127" s="965"/>
      <c r="P127" s="965"/>
      <c r="Q127" s="965"/>
      <c r="R127" s="965"/>
      <c r="S127" s="965"/>
      <c r="T127" s="965"/>
      <c r="U127" s="965"/>
      <c r="V127" s="965"/>
      <c r="W127" s="965"/>
      <c r="X127" s="965"/>
      <c r="Y127" s="965"/>
      <c r="Z127" s="965"/>
      <c r="AA127" s="965"/>
      <c r="AB127" s="67"/>
      <c r="AC127" s="995"/>
      <c r="AD127" s="1405"/>
      <c r="AE127" s="1405"/>
      <c r="AF127" s="1405"/>
      <c r="AG127" s="1405"/>
      <c r="AH127" s="1405"/>
      <c r="AI127" s="1405"/>
      <c r="AJ127" s="1405"/>
      <c r="AK127" s="1405"/>
      <c r="AL127" s="1405"/>
      <c r="AM127" s="1405"/>
      <c r="AN127" s="1405"/>
      <c r="AO127" s="1405"/>
      <c r="AP127" s="1405"/>
      <c r="AQ127" s="1405"/>
      <c r="AR127" s="1405"/>
      <c r="AS127" s="67"/>
      <c r="AT127" s="995"/>
      <c r="AU127" s="12"/>
      <c r="AV127" s="22" t="str">
        <f t="shared" si="52"/>
        <v>elek: niet gebouwgebonden installaties (stelpost)</v>
      </c>
      <c r="AW127" s="46">
        <f t="shared" si="53"/>
        <v>0</v>
      </c>
      <c r="AX127" s="899"/>
      <c r="AY127" s="899"/>
      <c r="AZ127" s="115">
        <v>1</v>
      </c>
      <c r="BA127" s="24">
        <f>IFERROR(INDEX(tabellen_EMD!$C$185:$N$193,MATCH($J127,tabellen_EMD!$C$185:$C$193,0),MATCH(BA$63,tabellen_EMD!$C$185:$N$185,0)),0)</f>
        <v>0</v>
      </c>
      <c r="BB127" s="115" t="e">
        <f>VLOOKUP($J127,energiedragers_EP_PEF,MATCH(_xlfn.CONCAT($C127," | PEF"),energiedragers_EP_PEF_titel,0),FALSE)</f>
        <v>#N/A</v>
      </c>
      <c r="BC127" s="899"/>
      <c r="BD127" s="115">
        <f t="shared" si="56"/>
        <v>1</v>
      </c>
      <c r="BE127" s="47" t="str">
        <f t="shared" si="57"/>
        <v>/</v>
      </c>
      <c r="BF127" s="899"/>
      <c r="BG127" s="218">
        <f>IFERROR(INDEX(tabellen_EMD!$C$240:$Z$248,MATCH($J127,tabellen_EMD!$C$240:$C$248,0),MATCH($B127,tabellen_EMD!$C$240:$Z$240,0))*(F127&lt;&gt;"zomercomfort"),0)</f>
        <v>0</v>
      </c>
      <c r="BH127" s="47" t="str">
        <f t="shared" si="58"/>
        <v>kg/</v>
      </c>
      <c r="BI127" s="899"/>
    </row>
    <row r="128" spans="1:61">
      <c r="A128" s="86"/>
      <c r="B128" s="47" t="str">
        <f t="shared" si="51"/>
        <v>Uniec 2 finaal</v>
      </c>
      <c r="C128" s="47" t="str">
        <f t="shared" si="51"/>
        <v>NEN 7120</v>
      </c>
      <c r="D128" s="943"/>
      <c r="E128" s="14"/>
      <c r="F128" s="22" t="s">
        <v>1462</v>
      </c>
      <c r="G128" s="22"/>
      <c r="H128" s="22"/>
      <c r="I128" s="905"/>
      <c r="J128" s="1691" t="s">
        <v>466</v>
      </c>
      <c r="K128" s="1698"/>
      <c r="L128" s="16"/>
      <c r="M128" s="24">
        <f>Q128*S128*BD128</f>
        <v>0</v>
      </c>
      <c r="N128" s="47" t="str">
        <f t="shared" si="54"/>
        <v>MJ</v>
      </c>
      <c r="O128" s="909"/>
      <c r="P128" s="39"/>
      <c r="Q128" s="59">
        <f>IFERROR(IF(AND(P128&lt;&gt;"",$BA128=1),P128,BB128),1)</f>
        <v>2.56</v>
      </c>
      <c r="R128" s="15"/>
      <c r="S128" s="25"/>
      <c r="T128" s="47" t="str">
        <f>IFERROR(INDEX(energiedragers_EP_eenheden,MATCH($J128,tabellen_EMD!$C$196:$C$204,0),MATCH($B128,energiedragers_EP_eenheden_titel,0)),"-")</f>
        <v>kWh</v>
      </c>
      <c r="U128" s="39"/>
      <c r="V128" s="15"/>
      <c r="W128" s="59">
        <f>IF(AND(V128&lt;&gt;"",$BA128=1),V128,BG128)</f>
        <v>0.56499999999999995</v>
      </c>
      <c r="X128" s="47" t="str">
        <f t="shared" si="55"/>
        <v>kg/kWh</v>
      </c>
      <c r="Y128" s="12"/>
      <c r="Z128" s="24">
        <f>S128*W128*ABS(AZ128)</f>
        <v>0</v>
      </c>
      <c r="AA128" s="47" t="s">
        <v>468</v>
      </c>
      <c r="AB128" s="67"/>
      <c r="AC128" s="995"/>
      <c r="AD128" s="1405"/>
      <c r="AE128" s="1405"/>
      <c r="AF128" s="1405"/>
      <c r="AG128" s="1405"/>
      <c r="AH128" s="1405"/>
      <c r="AI128" s="1405"/>
      <c r="AJ128" s="1405"/>
      <c r="AK128" s="1405"/>
      <c r="AL128" s="1405"/>
      <c r="AM128" s="1405"/>
      <c r="AN128" s="1405"/>
      <c r="AO128" s="1405"/>
      <c r="AP128" s="1405"/>
      <c r="AQ128" s="1405"/>
      <c r="AR128" s="1405"/>
      <c r="AS128" s="67"/>
      <c r="AT128" s="995"/>
      <c r="AU128" s="12"/>
      <c r="AV128" s="22" t="str">
        <f t="shared" si="52"/>
        <v>opgewekte &amp; verbruikte elektriciteit</v>
      </c>
      <c r="AW128" s="46" t="str">
        <f t="shared" si="53"/>
        <v>elektriciteit opgewekt</v>
      </c>
      <c r="AX128" s="24"/>
      <c r="AY128" s="12"/>
      <c r="AZ128" s="115">
        <v>1</v>
      </c>
      <c r="BA128" s="24">
        <f>IFERROR(INDEX(tabellen_EMD!$C$185:$N$193,MATCH($J128,tabellen_EMD!$C$185:$C$193,0),MATCH(BA$63,tabellen_EMD!$C$185:$N$185,0)),0)</f>
        <v>0</v>
      </c>
      <c r="BB128" s="115">
        <f>VLOOKUP($J128,energiedragers_EP_PEF,MATCH(_xlfn.CONCAT($C128," | PEF"),energiedragers_EP_PEF_titel,0),FALSE)</f>
        <v>2.56</v>
      </c>
      <c r="BC128" s="899"/>
      <c r="BD128" s="115">
        <f t="shared" si="56"/>
        <v>3.6</v>
      </c>
      <c r="BE128" s="47" t="str">
        <f t="shared" si="57"/>
        <v>MJ/kWh</v>
      </c>
      <c r="BF128" s="899"/>
      <c r="BG128" s="218">
        <f>IFERROR(INDEX(tabellen_EMD!$C$240:$Z$248,MATCH($J128,tabellen_EMD!$C$240:$C$248,0),MATCH($B128,tabellen_EMD!$C$240:$Z$240,0))*(F128&lt;&gt;"zomercomfort"),0)</f>
        <v>0.56499999999999995</v>
      </c>
      <c r="BH128" s="47" t="str">
        <f t="shared" si="58"/>
        <v>kg/kWh</v>
      </c>
      <c r="BI128" s="899"/>
    </row>
    <row r="129" spans="1:61">
      <c r="A129" s="86"/>
      <c r="B129" s="47" t="str">
        <f t="shared" si="51"/>
        <v>Uniec 2 finaal</v>
      </c>
      <c r="C129" s="47" t="str">
        <f t="shared" si="51"/>
        <v>NEN 7120</v>
      </c>
      <c r="D129" s="943"/>
      <c r="E129" s="14"/>
      <c r="F129" s="22" t="s">
        <v>1450</v>
      </c>
      <c r="G129" s="22"/>
      <c r="H129" s="22"/>
      <c r="I129" s="905"/>
      <c r="J129" s="1691" t="s">
        <v>463</v>
      </c>
      <c r="K129" s="1698"/>
      <c r="L129" s="16"/>
      <c r="M129" s="24">
        <f>Q129*S129*BD129</f>
        <v>0</v>
      </c>
      <c r="N129" s="47" t="str">
        <f t="shared" si="54"/>
        <v>MJ</v>
      </c>
      <c r="O129" s="909"/>
      <c r="P129" s="39"/>
      <c r="Q129" s="59">
        <f>IFERROR(IF(AND(P129&lt;&gt;"",$BA129=1),P129,BB129),1)</f>
        <v>1</v>
      </c>
      <c r="R129" s="15"/>
      <c r="S129" s="25"/>
      <c r="T129" s="47" t="str">
        <f>IFERROR(INDEX(energiedragers_EP_eenheden,MATCH($J129,tabellen_EMD!$C$196:$C$204,0),MATCH($B129,energiedragers_EP_eenheden_titel,0)),"-")</f>
        <v>m3 aeq</v>
      </c>
      <c r="U129" s="39"/>
      <c r="V129" s="15"/>
      <c r="W129" s="59">
        <f>IF(AND(V129&lt;&gt;"",$BA129=1),V129,BG129)</f>
        <v>1.78</v>
      </c>
      <c r="X129" s="47" t="str">
        <f t="shared" si="55"/>
        <v>kg/m3 aeq</v>
      </c>
      <c r="Y129" s="12"/>
      <c r="Z129" s="24">
        <f>S129*W129*ABS(AZ129)</f>
        <v>0</v>
      </c>
      <c r="AA129" s="47" t="s">
        <v>468</v>
      </c>
      <c r="AB129" s="67"/>
      <c r="AC129" s="995"/>
      <c r="AD129" s="1405"/>
      <c r="AE129" s="1405"/>
      <c r="AF129" s="1405"/>
      <c r="AG129" s="1405"/>
      <c r="AH129" s="1405"/>
      <c r="AI129" s="1405"/>
      <c r="AJ129" s="1405"/>
      <c r="AK129" s="1405"/>
      <c r="AL129" s="1405"/>
      <c r="AM129" s="1405"/>
      <c r="AN129" s="1405"/>
      <c r="AO129" s="1405"/>
      <c r="AP129" s="1405"/>
      <c r="AQ129" s="1405"/>
      <c r="AR129" s="1405"/>
      <c r="AS129" s="67"/>
      <c r="AT129" s="995"/>
      <c r="AU129" s="12"/>
      <c r="AV129" s="22" t="str">
        <f t="shared" si="52"/>
        <v>gas (tbv verwarming / tapwater)</v>
      </c>
      <c r="AW129" s="46" t="str">
        <f t="shared" si="53"/>
        <v>aardgas</v>
      </c>
      <c r="AX129" s="24"/>
      <c r="AY129" s="12"/>
      <c r="AZ129" s="115">
        <v>1</v>
      </c>
      <c r="BA129" s="24">
        <f>IFERROR(INDEX(tabellen_EMD!$C$185:$N$193,MATCH($J129,tabellen_EMD!$C$185:$C$193,0),MATCH(BA$63,tabellen_EMD!$C$185:$N$185,0)),0)</f>
        <v>0</v>
      </c>
      <c r="BB129" s="115">
        <f>VLOOKUP($J129,energiedragers_EP_PEF,MATCH(_xlfn.CONCAT($C$65," | PEF"),energiedragers_EP_PEF_titel,0),FALSE)</f>
        <v>1</v>
      </c>
      <c r="BC129" s="899"/>
      <c r="BD129" s="115">
        <f t="shared" si="56"/>
        <v>35.17</v>
      </c>
      <c r="BE129" s="47" t="str">
        <f t="shared" si="57"/>
        <v>MJ/m3 aeq</v>
      </c>
      <c r="BF129" s="899"/>
      <c r="BG129" s="218">
        <f>IFERROR(INDEX(tabellen_EMD!$C$240:$Z$248,MATCH($J129,tabellen_EMD!$C$240:$C$248,0),MATCH($B129,tabellen_EMD!$C$240:$Z$240,0))*(F129&lt;&gt;"zomercomfort"),0)</f>
        <v>1.78</v>
      </c>
      <c r="BH129" s="47" t="str">
        <f t="shared" si="58"/>
        <v>kg/m3 aeq</v>
      </c>
      <c r="BI129" s="899"/>
    </row>
    <row r="130" spans="1:61">
      <c r="A130" s="139" t="s">
        <v>396</v>
      </c>
      <c r="B130" s="47" t="str">
        <f t="shared" si="51"/>
        <v>Uniec 2 finaal</v>
      </c>
      <c r="C130" s="47" t="str">
        <f t="shared" si="51"/>
        <v>NEN 7120</v>
      </c>
      <c r="D130" s="943"/>
      <c r="E130" s="14"/>
      <c r="F130" s="22" t="s">
        <v>1449</v>
      </c>
      <c r="G130" s="22"/>
      <c r="H130" s="22"/>
      <c r="I130" s="905"/>
      <c r="J130" s="1691" t="s">
        <v>467</v>
      </c>
      <c r="K130" s="1698"/>
      <c r="L130" s="16"/>
      <c r="M130" s="24">
        <f>Q130*S130*BD130</f>
        <v>0</v>
      </c>
      <c r="N130" s="47" t="str">
        <f t="shared" si="54"/>
        <v>MJ</v>
      </c>
      <c r="O130" s="909"/>
      <c r="P130" s="1326"/>
      <c r="Q130" s="59">
        <f>IFERROR(IF(AND(P130&lt;&gt;"",$BA130=1),P130,BB130),1)</f>
        <v>1</v>
      </c>
      <c r="R130" s="15"/>
      <c r="S130" s="25"/>
      <c r="T130" s="47" t="str">
        <f>IFERROR(INDEX(energiedragers_EP_eenheden,MATCH($J130,tabellen_EMD!$C$196:$C$204,0),MATCH($B130,energiedragers_EP_eenheden_titel,0)),"-")</f>
        <v>MJ</v>
      </c>
      <c r="U130" s="39"/>
      <c r="V130" s="1326"/>
      <c r="W130" s="59">
        <f>IF(AND(V130&lt;&gt;"",$BA130=1),V130,BG130)</f>
        <v>0.109</v>
      </c>
      <c r="X130" s="47" t="str">
        <f t="shared" si="55"/>
        <v>kg/MJ</v>
      </c>
      <c r="Y130" s="12"/>
      <c r="Z130" s="24">
        <f>S130*W130*ABS(AZ130)</f>
        <v>0</v>
      </c>
      <c r="AA130" s="47" t="s">
        <v>468</v>
      </c>
      <c r="AB130" s="67"/>
      <c r="AC130" s="995"/>
      <c r="AD130" s="1405"/>
      <c r="AE130" s="1405"/>
      <c r="AF130" s="1405"/>
      <c r="AG130" s="1405"/>
      <c r="AH130" s="1405"/>
      <c r="AI130" s="1405"/>
      <c r="AJ130" s="1405"/>
      <c r="AK130" s="1405"/>
      <c r="AL130" s="1405"/>
      <c r="AM130" s="1405"/>
      <c r="AN130" s="1405"/>
      <c r="AO130" s="1405"/>
      <c r="AP130" s="1405"/>
      <c r="AQ130" s="1405"/>
      <c r="AR130" s="1405"/>
      <c r="AS130" s="67"/>
      <c r="AT130" s="995"/>
      <c r="AU130" s="12"/>
      <c r="AV130" s="22" t="str">
        <f t="shared" si="52"/>
        <v>biomassa (tbv verwarming / tapwater)</v>
      </c>
      <c r="AW130" s="46" t="str">
        <f t="shared" si="53"/>
        <v>hout / biomassa</v>
      </c>
      <c r="AX130" s="24"/>
      <c r="AY130" s="12"/>
      <c r="AZ130" s="115">
        <v>1</v>
      </c>
      <c r="BA130" s="24">
        <f>IFERROR(INDEX(tabellen_EMD!$C$185:$N$193,MATCH($J130,tabellen_EMD!$C$185:$C$193,0),MATCH(BA$63,tabellen_EMD!$C$185:$N$185,0)),0)</f>
        <v>1</v>
      </c>
      <c r="BB130" s="115">
        <f>VLOOKUP($J130,energiedragers_EP_PEF,MATCH(_xlfn.CONCAT($C$65," | PEF"),energiedragers_EP_PEF_titel,0),FALSE)</f>
        <v>1</v>
      </c>
      <c r="BC130" s="899"/>
      <c r="BD130" s="115">
        <f t="shared" si="56"/>
        <v>1</v>
      </c>
      <c r="BE130" s="47" t="str">
        <f t="shared" si="57"/>
        <v>MJ/MJ</v>
      </c>
      <c r="BF130" s="899"/>
      <c r="BG130" s="218">
        <f>IFERROR(INDEX(tabellen_EMD!$C$240:$Z$248,MATCH($J130,tabellen_EMD!$C$240:$C$248,0),MATCH($B130,tabellen_EMD!$C$240:$Z$240,0))*(F130&lt;&gt;"zomercomfort"),0)</f>
        <v>0.109</v>
      </c>
      <c r="BH130" s="47" t="str">
        <f t="shared" si="58"/>
        <v>kg/MJ</v>
      </c>
      <c r="BI130" s="899"/>
    </row>
    <row r="131" spans="1:61">
      <c r="A131" s="139" t="s">
        <v>396</v>
      </c>
      <c r="B131" s="47" t="str">
        <f>B130</f>
        <v>Uniec 2 finaal</v>
      </c>
      <c r="C131" s="47" t="str">
        <f>C130</f>
        <v>NEN 7120</v>
      </c>
      <c r="D131" s="943"/>
      <c r="E131" s="14"/>
      <c r="F131" s="52" t="s">
        <v>500</v>
      </c>
      <c r="G131" s="52"/>
      <c r="H131" s="52"/>
      <c r="I131" s="905"/>
      <c r="J131" s="1691" t="s">
        <v>1539</v>
      </c>
      <c r="K131" s="1698"/>
      <c r="L131" s="16"/>
      <c r="M131" s="24">
        <f>Q131*S131*BD131</f>
        <v>0</v>
      </c>
      <c r="N131" s="47" t="str">
        <f t="shared" si="54"/>
        <v>MJ</v>
      </c>
      <c r="O131" s="909"/>
      <c r="P131" s="1326"/>
      <c r="Q131" s="59">
        <f>IFERROR(IF(AND(P131&lt;&gt;"",$BA131=1),P131,BB131),1)</f>
        <v>0.90909090909090906</v>
      </c>
      <c r="R131" s="15"/>
      <c r="S131" s="789"/>
      <c r="T131" s="47" t="str">
        <f>IFERROR(INDEX(energiedragers_EP_eenheden,MATCH($J131,tabellen_EMD!$C$196:$C$204,0),MATCH($B131,energiedragers_EP_eenheden_titel,0)),"-")</f>
        <v>GJ</v>
      </c>
      <c r="U131" s="39"/>
      <c r="V131" s="1326"/>
      <c r="W131" s="59">
        <f>IF(AND(V131&lt;&gt;"",$BA131=1),V131,BG131)</f>
        <v>87.7</v>
      </c>
      <c r="X131" s="47" t="str">
        <f t="shared" si="55"/>
        <v>kg/GJ</v>
      </c>
      <c r="Y131" s="12"/>
      <c r="Z131" s="24">
        <f>S131*W131*ABS(AZ131)</f>
        <v>0</v>
      </c>
      <c r="AA131" s="47" t="s">
        <v>468</v>
      </c>
      <c r="AB131" s="67"/>
      <c r="AC131" s="995"/>
      <c r="AD131" s="1405"/>
      <c r="AE131" s="1405"/>
      <c r="AF131" s="1405"/>
      <c r="AG131" s="1405"/>
      <c r="AH131" s="1405"/>
      <c r="AI131" s="1405"/>
      <c r="AJ131" s="1405"/>
      <c r="AK131" s="1405"/>
      <c r="AL131" s="1405"/>
      <c r="AM131" s="1405"/>
      <c r="AN131" s="1405"/>
      <c r="AO131" s="1405"/>
      <c r="AP131" s="1405"/>
      <c r="AQ131" s="1405"/>
      <c r="AR131" s="1405"/>
      <c r="AS131" s="67"/>
      <c r="AT131" s="995"/>
      <c r="AU131" s="12"/>
      <c r="AV131" s="22" t="str">
        <f t="shared" si="52"/>
        <v>externe warmtelevering</v>
      </c>
      <c r="AW131" s="46" t="str">
        <f t="shared" si="53"/>
        <v>externe warmte</v>
      </c>
      <c r="AX131" s="24"/>
      <c r="AY131" s="12"/>
      <c r="AZ131" s="115">
        <v>1</v>
      </c>
      <c r="BA131" s="24">
        <f>IFERROR(INDEX(tabellen_EMD!$C$185:$N$193,MATCH($J131,tabellen_EMD!$C$185:$C$193,0),MATCH(BA$63,tabellen_EMD!$C$185:$N$185,0)),0)</f>
        <v>1</v>
      </c>
      <c r="BB131" s="115">
        <f>VLOOKUP($J131,energiedragers_EP_PEF,MATCH(_xlfn.CONCAT($C$65," | PEF"),energiedragers_EP_PEF_titel,0),FALSE)</f>
        <v>0.90909090909090906</v>
      </c>
      <c r="BC131" s="899"/>
      <c r="BD131" s="115">
        <f t="shared" si="56"/>
        <v>1000</v>
      </c>
      <c r="BE131" s="47" t="str">
        <f t="shared" si="57"/>
        <v>MJ/GJ</v>
      </c>
      <c r="BF131" s="899"/>
      <c r="BG131" s="218">
        <f>IFERROR(INDEX(tabellen_EMD!$C$240:$Z$248,MATCH($J131,tabellen_EMD!$C$240:$C$248,0),MATCH($B131,tabellen_EMD!$C$240:$Z$240,0))*(F131&lt;&gt;"zomercomfort"),0)</f>
        <v>87.7</v>
      </c>
      <c r="BH131" s="47" t="str">
        <f t="shared" si="58"/>
        <v>kg/GJ</v>
      </c>
      <c r="BI131" s="899"/>
    </row>
    <row r="132" spans="1:61">
      <c r="A132" s="139" t="s">
        <v>396</v>
      </c>
      <c r="B132" s="47" t="str">
        <f>B131</f>
        <v>Uniec 2 finaal</v>
      </c>
      <c r="C132" s="47" t="str">
        <f>C131</f>
        <v>NEN 7120</v>
      </c>
      <c r="D132" s="943"/>
      <c r="E132" s="14"/>
      <c r="F132" s="52" t="s">
        <v>1598</v>
      </c>
      <c r="G132" s="52"/>
      <c r="H132" s="52"/>
      <c r="I132" s="905"/>
      <c r="J132" s="1691" t="s">
        <v>1599</v>
      </c>
      <c r="K132" s="1698"/>
      <c r="L132" s="16"/>
      <c r="M132" s="24">
        <f>Q132*S132*BD132</f>
        <v>0</v>
      </c>
      <c r="N132" s="47" t="str">
        <f t="shared" si="54"/>
        <v>MJ</v>
      </c>
      <c r="O132" s="909"/>
      <c r="P132" s="1326"/>
      <c r="Q132" s="59">
        <f>IFERROR(IF(AND(P132&lt;&gt;"",$BA132=1),P132,BB132),1)</f>
        <v>0.90909090909090906</v>
      </c>
      <c r="R132" s="15"/>
      <c r="S132" s="789"/>
      <c r="T132" s="47" t="str">
        <f>IFERROR(INDEX(energiedragers_EP_eenheden,MATCH($J132,tabellen_EMD!$C$196:$C$204,0),MATCH($B132,energiedragers_EP_eenheden_titel,0)),"-")</f>
        <v>GJ</v>
      </c>
      <c r="U132" s="39"/>
      <c r="V132" s="1326"/>
      <c r="W132" s="59">
        <f>IF(AND(V132&lt;&gt;"",$BA132=1),V132,BG132)</f>
        <v>87.7</v>
      </c>
      <c r="X132" s="47" t="str">
        <f t="shared" si="55"/>
        <v>kg/GJ</v>
      </c>
      <c r="Y132" s="12"/>
      <c r="Z132" s="24">
        <f>S132*W132*ABS(AZ132)</f>
        <v>0</v>
      </c>
      <c r="AA132" s="47" t="s">
        <v>468</v>
      </c>
      <c r="AB132" s="67"/>
      <c r="AC132" s="995"/>
      <c r="AD132" s="1405"/>
      <c r="AE132" s="1405"/>
      <c r="AF132" s="1405"/>
      <c r="AG132" s="1405"/>
      <c r="AH132" s="1405"/>
      <c r="AI132" s="1405"/>
      <c r="AJ132" s="1405"/>
      <c r="AK132" s="1405"/>
      <c r="AL132" s="1405"/>
      <c r="AM132" s="1405"/>
      <c r="AN132" s="1405"/>
      <c r="AO132" s="1405"/>
      <c r="AP132" s="1405"/>
      <c r="AQ132" s="1405"/>
      <c r="AR132" s="1405"/>
      <c r="AS132" s="67"/>
      <c r="AT132" s="995"/>
      <c r="AU132" s="12"/>
      <c r="AV132" s="22" t="str">
        <f t="shared" si="52"/>
        <v>externe koudelevering</v>
      </c>
      <c r="AW132" s="46" t="str">
        <f t="shared" si="53"/>
        <v>externe koude</v>
      </c>
      <c r="AX132" s="24"/>
      <c r="AY132" s="12"/>
      <c r="AZ132" s="115">
        <v>1</v>
      </c>
      <c r="BA132" s="24">
        <f>IFERROR(INDEX(tabellen_EMD!$C$185:$N$193,MATCH($J132,tabellen_EMD!$C$185:$C$193,0),MATCH(BA$63,tabellen_EMD!$C$185:$N$185,0)),0)</f>
        <v>1</v>
      </c>
      <c r="BB132" s="115">
        <f>VLOOKUP($J132,energiedragers_EP_PEF,MATCH(_xlfn.CONCAT($C$65," | PEF"),energiedragers_EP_PEF_titel,0),FALSE)</f>
        <v>0.90909090909090906</v>
      </c>
      <c r="BC132" s="899"/>
      <c r="BD132" s="115">
        <f t="shared" si="56"/>
        <v>1000</v>
      </c>
      <c r="BE132" s="47" t="str">
        <f t="shared" si="57"/>
        <v>MJ/GJ</v>
      </c>
      <c r="BF132" s="899"/>
      <c r="BG132" s="218">
        <f>IFERROR(INDEX(tabellen_EMD!$C$240:$Z$248,MATCH($J132,tabellen_EMD!$C$240:$C$248,0),MATCH($B132,tabellen_EMD!$C$240:$Z$240,0))*(F132&lt;&gt;"zomercomfort"),0)</f>
        <v>87.7</v>
      </c>
      <c r="BH132" s="47" t="str">
        <f t="shared" si="58"/>
        <v>kg/GJ</v>
      </c>
      <c r="BI132" s="899"/>
    </row>
    <row r="133" spans="1:61" s="940" customFormat="1">
      <c r="A133" s="86"/>
      <c r="B133" s="47" t="str">
        <f>B131</f>
        <v>Uniec 2 finaal</v>
      </c>
      <c r="C133" s="47" t="str">
        <f>C131</f>
        <v>NEN 7120</v>
      </c>
      <c r="D133" s="943"/>
      <c r="E133" s="14"/>
      <c r="F133" s="15" t="s">
        <v>1391</v>
      </c>
      <c r="G133" s="15"/>
      <c r="H133" s="15"/>
      <c r="I133" s="905"/>
      <c r="J133" s="43" t="s">
        <v>1391</v>
      </c>
      <c r="K133" s="43"/>
      <c r="L133" s="16"/>
      <c r="M133" s="950">
        <f>SUM(M126,M129:M132)-M128</f>
        <v>0</v>
      </c>
      <c r="N133" s="15" t="str">
        <f t="shared" si="54"/>
        <v>MJ</v>
      </c>
      <c r="O133" s="15"/>
      <c r="P133" s="39"/>
      <c r="Q133" s="39"/>
      <c r="R133" s="15"/>
      <c r="S133" s="899"/>
      <c r="T133" s="899"/>
      <c r="U133" s="39"/>
      <c r="V133" s="39"/>
      <c r="W133" s="39"/>
      <c r="X133" s="39"/>
      <c r="Y133" s="12"/>
      <c r="Z133" s="950">
        <f>SUM(Z126,Z129:Z132)-Z128</f>
        <v>0</v>
      </c>
      <c r="AA133" s="15" t="s">
        <v>468</v>
      </c>
      <c r="AB133" s="67"/>
      <c r="AC133" s="995"/>
      <c r="AD133" s="1405"/>
      <c r="AE133" s="1405"/>
      <c r="AF133" s="1405"/>
      <c r="AG133" s="1405"/>
      <c r="AH133" s="1405"/>
      <c r="AI133" s="1405"/>
      <c r="AJ133" s="1405"/>
      <c r="AK133" s="1405"/>
      <c r="AL133" s="1405"/>
      <c r="AM133" s="1405"/>
      <c r="AN133" s="1405"/>
      <c r="AO133" s="1405"/>
      <c r="AP133" s="1405"/>
      <c r="AQ133" s="1405"/>
      <c r="AR133" s="1405"/>
      <c r="AS133" s="67"/>
      <c r="AT133" s="995"/>
      <c r="AU133" s="12"/>
      <c r="AV133" s="22" t="str">
        <f t="shared" si="52"/>
        <v>totaal</v>
      </c>
      <c r="AW133" s="46" t="str">
        <f t="shared" si="53"/>
        <v>totaal</v>
      </c>
      <c r="AX133" s="24"/>
      <c r="AY133" s="12"/>
      <c r="AZ133" s="12"/>
      <c r="BA133" s="12"/>
      <c r="BB133" s="12"/>
      <c r="BC133" s="899"/>
      <c r="BD133" s="899"/>
      <c r="BE133" s="899"/>
      <c r="BF133" s="899"/>
      <c r="BG133" s="15"/>
      <c r="BH133" s="15"/>
      <c r="BI133" s="899"/>
    </row>
    <row r="134" spans="1:61" s="49" customFormat="1">
      <c r="A134" s="212"/>
      <c r="B134" s="47" t="str">
        <f t="shared" si="51"/>
        <v>Uniec 2 finaal</v>
      </c>
      <c r="C134" s="47" t="str">
        <f t="shared" si="51"/>
        <v>NEN 7120</v>
      </c>
      <c r="D134" s="943"/>
      <c r="E134" s="50"/>
      <c r="F134" s="452" t="str">
        <f>IFERROR(IF($P$23=$B134,_xlfn.CONCAT("Bij 1.1 ingevuld: ",FIXED($J$35,2,FALSE)," ",$K$35),""),"invoer niet correct")</f>
        <v/>
      </c>
      <c r="G134" s="452"/>
      <c r="H134" s="452"/>
      <c r="I134" s="905"/>
      <c r="J134" s="909" t="str">
        <f>IFERROR(IF($P$23=$B134,IF(ABS((M134-$J$35)/$J$35)&gt;1%,"Afwijking &gt;1% met subthema 1.1",""),""),"invoer niet correct")</f>
        <v/>
      </c>
      <c r="K134" s="909"/>
      <c r="L134" s="910"/>
      <c r="M134" s="1339" t="str">
        <f>IFERROR(IF($P$23=$B134,M133/$J$59,""),"")</f>
        <v/>
      </c>
      <c r="N134" s="452" t="str">
        <f>IF($P$23=$B134,_xlfn.CONCAT(N133,"/m2"),"")</f>
        <v/>
      </c>
      <c r="O134" s="452"/>
      <c r="P134" s="39"/>
      <c r="Q134" s="39"/>
      <c r="R134" s="899"/>
      <c r="S134" s="899"/>
      <c r="T134" s="899"/>
      <c r="U134" s="39"/>
      <c r="V134" s="39"/>
      <c r="W134" s="910" t="str">
        <f>IFERROR(IF($P$23=$B134,_xlfn.CONCAT("Bij 1.1 ingevuld: ",FIXED($AG$40,1,FALSE)," ",$AH$40),""),"invoer niet correct")</f>
        <v/>
      </c>
      <c r="X134" s="909" t="str">
        <f>IFERROR(IF($P$23=$B134,IF(ABS((Z134-$AG$40)/$AG$40)&gt;1%,"afwijking &gt;1% met subthema 1.1",""),""),"invoer niet correct")</f>
        <v/>
      </c>
      <c r="Y134" s="12"/>
      <c r="Z134" s="951" t="str">
        <f>IFERROR(IF($P$23=$B134,Z133/$J$58,""),"")</f>
        <v/>
      </c>
      <c r="AA134" s="452" t="str">
        <f>IF($P$23=$B134,_xlfn.CONCAT(AA133,"/m2"),"")</f>
        <v/>
      </c>
      <c r="AB134" s="1393"/>
      <c r="AC134" s="1001"/>
      <c r="AD134" s="1405"/>
      <c r="AE134" s="1405"/>
      <c r="AF134" s="1405"/>
      <c r="AG134" s="1405"/>
      <c r="AH134" s="1405"/>
      <c r="AI134" s="1405"/>
      <c r="AJ134" s="1405"/>
      <c r="AK134" s="1405"/>
      <c r="AL134" s="1405"/>
      <c r="AM134" s="1405"/>
      <c r="AN134" s="1405"/>
      <c r="AO134" s="1405"/>
      <c r="AP134" s="1405"/>
      <c r="AQ134" s="1405"/>
      <c r="AR134" s="1405"/>
      <c r="AS134" s="1393"/>
      <c r="AT134" s="1001"/>
      <c r="AU134" s="12"/>
      <c r="AV134" s="452"/>
      <c r="AW134" s="452"/>
      <c r="AX134" s="452"/>
      <c r="AY134" s="452"/>
      <c r="AZ134" s="452"/>
      <c r="BA134" s="452"/>
      <c r="BB134" s="452"/>
      <c r="BC134" s="452"/>
      <c r="BD134" s="452"/>
      <c r="BE134" s="452"/>
      <c r="BF134" s="452"/>
      <c r="BG134" s="452"/>
      <c r="BH134" s="452"/>
      <c r="BI134" s="899"/>
    </row>
    <row r="135" spans="1:61">
      <c r="A135" s="86"/>
      <c r="B135" s="47" t="str">
        <f t="shared" si="51"/>
        <v>Uniec 2 finaal</v>
      </c>
      <c r="C135" s="47" t="str">
        <f t="shared" si="51"/>
        <v>NEN 7120</v>
      </c>
      <c r="D135" s="943"/>
      <c r="E135" s="14"/>
      <c r="F135" s="43"/>
      <c r="G135" s="43"/>
      <c r="H135" s="43"/>
      <c r="I135" s="905"/>
      <c r="J135" s="55"/>
      <c r="K135" s="55"/>
      <c r="L135" s="53"/>
      <c r="M135" s="55"/>
      <c r="N135" s="56"/>
      <c r="O135" s="148"/>
      <c r="P135" s="39"/>
      <c r="Q135" s="39"/>
      <c r="R135" s="53"/>
      <c r="S135" s="1"/>
      <c r="T135" s="53"/>
      <c r="U135" s="39"/>
      <c r="V135" s="39"/>
      <c r="W135" s="39"/>
      <c r="X135" s="39"/>
      <c r="Y135" s="12"/>
      <c r="Z135" s="16"/>
      <c r="AA135" s="13"/>
      <c r="AB135" s="67"/>
      <c r="AC135" s="995"/>
      <c r="AD135" s="1405"/>
      <c r="AE135" s="1405"/>
      <c r="AF135" s="1405"/>
      <c r="AG135" s="1405"/>
      <c r="AH135" s="1405"/>
      <c r="AI135" s="1405"/>
      <c r="AJ135" s="1405"/>
      <c r="AK135" s="1405"/>
      <c r="AL135" s="1405"/>
      <c r="AM135" s="1405"/>
      <c r="AN135" s="1405"/>
      <c r="AO135" s="1405"/>
      <c r="AP135" s="1405"/>
      <c r="AQ135" s="1405"/>
      <c r="AR135" s="1405"/>
      <c r="AS135" s="67"/>
      <c r="AT135" s="995"/>
      <c r="AU135" s="12"/>
      <c r="AV135" s="12"/>
      <c r="AW135" s="12"/>
      <c r="AX135" s="12"/>
      <c r="AY135" s="12"/>
      <c r="AZ135" s="54"/>
      <c r="BA135" s="12"/>
      <c r="BB135" s="54"/>
      <c r="BC135" s="148"/>
      <c r="BD135" s="1"/>
      <c r="BE135" s="1"/>
      <c r="BF135" s="148"/>
      <c r="BG135" s="54"/>
      <c r="BH135" s="16"/>
      <c r="BI135" s="148"/>
    </row>
    <row r="136" spans="1:61" s="49" customFormat="1">
      <c r="B136" s="939" t="str">
        <f>tabellen_EMD!$C$178</f>
        <v>VABI NTA 8800</v>
      </c>
      <c r="C136" s="939" t="str">
        <f>VLOOKUP(B136,'EP naar GPR4'!$AV$40:$AY$48,COLUMNS($AV$40:$AX$40),FALSE)</f>
        <v>NTA 8800</v>
      </c>
      <c r="D136" s="943"/>
      <c r="E136" s="50"/>
      <c r="F136" s="15" t="str">
        <f>_xlfn.CONCAT("Overnemen uit '",B136,"': ",VLOOKUP(B136,$AV$41:$AZ$48,COLUMNS($AV$40:$AZ$40),FALSE))</f>
        <v>Overnemen uit 'VABI NTA 8800': Totale deelposten (niet primair)</v>
      </c>
      <c r="G136" s="43"/>
      <c r="H136" s="43"/>
      <c r="I136" s="905"/>
      <c r="J136" s="44"/>
      <c r="K136" s="44"/>
      <c r="L136" s="44"/>
      <c r="M136" s="909" t="s">
        <v>1485</v>
      </c>
      <c r="N136" s="41"/>
      <c r="O136" s="41"/>
      <c r="P136" s="453" t="s">
        <v>1487</v>
      </c>
      <c r="Q136" s="39"/>
      <c r="R136" s="39"/>
      <c r="S136" s="453" t="s">
        <v>1484</v>
      </c>
      <c r="T136" s="39"/>
      <c r="U136" s="39"/>
      <c r="V136" s="453" t="s">
        <v>1614</v>
      </c>
      <c r="W136" s="39"/>
      <c r="X136" s="39"/>
      <c r="Y136" s="12"/>
      <c r="Z136" s="453" t="s">
        <v>1536</v>
      </c>
      <c r="AA136" s="12"/>
      <c r="AB136" s="1393"/>
      <c r="AC136" s="1001"/>
      <c r="AD136" s="1405"/>
      <c r="AE136" s="1405"/>
      <c r="AF136" s="1405"/>
      <c r="AG136" s="1405"/>
      <c r="AH136" s="1405"/>
      <c r="AI136" s="1405"/>
      <c r="AJ136" s="1405"/>
      <c r="AK136" s="1405"/>
      <c r="AL136" s="1405"/>
      <c r="AM136" s="1405"/>
      <c r="AN136" s="1405"/>
      <c r="AO136" s="1405"/>
      <c r="AP136" s="1405"/>
      <c r="AQ136" s="1405"/>
      <c r="AR136" s="1405"/>
      <c r="AS136" s="1393"/>
      <c r="AT136" s="1001"/>
      <c r="AU136" s="12"/>
      <c r="AV136" s="12"/>
      <c r="AW136" s="12"/>
      <c r="AX136" s="12"/>
      <c r="AY136" s="12"/>
      <c r="AZ136" s="888" t="str">
        <f>AZ$63</f>
        <v>Eenheid energie</v>
      </c>
      <c r="BA136" s="888" t="s">
        <v>1628</v>
      </c>
      <c r="BB136" s="888" t="str">
        <f>BB$63</f>
        <v>PEF finaal → primair</v>
      </c>
      <c r="BC136" s="452"/>
      <c r="BD136" s="452" t="str">
        <f>BD$63</f>
        <v>eenheden omrekenen</v>
      </c>
      <c r="BE136" s="452"/>
      <c r="BF136" s="452"/>
      <c r="BG136" s="888" t="str">
        <f>BG$63</f>
        <v>CO2</v>
      </c>
      <c r="BH136" s="39"/>
      <c r="BI136" s="899"/>
    </row>
    <row r="137" spans="1:61">
      <c r="A137" s="49"/>
      <c r="B137" s="47" t="str">
        <f t="shared" ref="B137:C149" si="59">B136</f>
        <v>VABI NTA 8800</v>
      </c>
      <c r="C137" s="47" t="str">
        <f t="shared" si="59"/>
        <v>NTA 8800</v>
      </c>
      <c r="D137" s="943"/>
      <c r="E137" s="14"/>
      <c r="F137" s="892" t="s">
        <v>496</v>
      </c>
      <c r="G137" s="892"/>
      <c r="H137" s="892"/>
      <c r="I137" s="905"/>
      <c r="J137" s="909" t="s">
        <v>458</v>
      </c>
      <c r="K137" s="909"/>
      <c r="L137" s="889"/>
      <c r="M137" s="910" t="s">
        <v>1534</v>
      </c>
      <c r="N137" s="452" t="s">
        <v>204</v>
      </c>
      <c r="O137" s="39"/>
      <c r="P137" s="888" t="s">
        <v>1533</v>
      </c>
      <c r="Q137" s="910" t="s">
        <v>1532</v>
      </c>
      <c r="R137" s="452"/>
      <c r="S137" s="888" t="s">
        <v>1534</v>
      </c>
      <c r="T137" s="889" t="s">
        <v>204</v>
      </c>
      <c r="U137" s="39"/>
      <c r="V137" s="888" t="s">
        <v>1533</v>
      </c>
      <c r="W137" s="910" t="s">
        <v>1532</v>
      </c>
      <c r="X137" s="889" t="s">
        <v>204</v>
      </c>
      <c r="Y137" s="12"/>
      <c r="Z137" s="888" t="s">
        <v>1534</v>
      </c>
      <c r="AA137" s="889" t="s">
        <v>204</v>
      </c>
      <c r="AB137" s="67"/>
      <c r="AC137" s="995"/>
      <c r="AD137" s="1405"/>
      <c r="AE137" s="1405"/>
      <c r="AF137" s="1405"/>
      <c r="AG137" s="1405"/>
      <c r="AH137" s="1405"/>
      <c r="AI137" s="1405"/>
      <c r="AJ137" s="1405"/>
      <c r="AK137" s="1405"/>
      <c r="AL137" s="1405"/>
      <c r="AM137" s="1405"/>
      <c r="AN137" s="1405"/>
      <c r="AO137" s="1405"/>
      <c r="AP137" s="1405"/>
      <c r="AQ137" s="1405"/>
      <c r="AR137" s="1405"/>
      <c r="AS137" s="67"/>
      <c r="AT137" s="995"/>
      <c r="AU137" s="12"/>
      <c r="AV137" s="892" t="str">
        <f t="shared" ref="AV137:AV148" si="60">F137</f>
        <v>energiefunctie</v>
      </c>
      <c r="AW137" s="452" t="str">
        <f t="shared" ref="AW137:AW148" si="61">J137</f>
        <v>energiedrager</v>
      </c>
      <c r="AX137" s="910"/>
      <c r="AY137" s="12"/>
      <c r="AZ137" s="888" t="str">
        <f>AZ$64</f>
        <v>pos/neg</v>
      </c>
      <c r="BA137" s="888"/>
      <c r="BB137" s="888" t="str">
        <f>BB$64</f>
        <v>default</v>
      </c>
      <c r="BC137" s="452"/>
      <c r="BD137" s="452" t="str">
        <f>BD$64</f>
        <v>waarde</v>
      </c>
      <c r="BE137" s="452" t="str">
        <f>BE$64</f>
        <v>eenheden</v>
      </c>
      <c r="BF137" s="452"/>
      <c r="BG137" s="888" t="str">
        <f>BG$64</f>
        <v>default</v>
      </c>
      <c r="BH137" s="888" t="str">
        <f>BH$64</f>
        <v>eenheid</v>
      </c>
      <c r="BI137" s="452"/>
    </row>
    <row r="138" spans="1:61">
      <c r="A138" s="86"/>
      <c r="B138" s="47" t="str">
        <f t="shared" si="59"/>
        <v>VABI NTA 8800</v>
      </c>
      <c r="C138" s="47" t="str">
        <f t="shared" si="59"/>
        <v>NTA 8800</v>
      </c>
      <c r="D138" s="943"/>
      <c r="E138" s="14"/>
      <c r="F138" s="22" t="s">
        <v>501</v>
      </c>
      <c r="G138" s="22"/>
      <c r="H138" s="22"/>
      <c r="I138" s="905"/>
      <c r="J138" s="1691" t="s">
        <v>465</v>
      </c>
      <c r="K138" s="1698"/>
      <c r="L138" s="16"/>
      <c r="M138" s="24">
        <f t="shared" ref="M138:M147" si="62">Q138*S138*BD138</f>
        <v>0</v>
      </c>
      <c r="N138" s="47" t="str">
        <f t="shared" ref="N138:N148" si="63">INDEX(EP_methode_eenheid,1,MATCH($C138,EP_methode,0))</f>
        <v>kWh</v>
      </c>
      <c r="O138" s="909"/>
      <c r="P138" s="39"/>
      <c r="Q138" s="59">
        <f t="shared" ref="Q138:Q147" si="64">IFERROR(IF(AND(P138&lt;&gt;"",$BA138=1),P138,BB138),1)</f>
        <v>1.45</v>
      </c>
      <c r="R138" s="15"/>
      <c r="S138" s="25"/>
      <c r="T138" s="47" t="str">
        <f>IFERROR(INDEX(energiedragers_EP_eenheden,MATCH($J138,tabellen_EMD!$C$196:$C$204,0),MATCH($B138,energiedragers_EP_eenheden_titel,0)),"-")</f>
        <v>kWh</v>
      </c>
      <c r="U138" s="39"/>
      <c r="V138" s="15"/>
      <c r="W138" s="59">
        <f t="shared" ref="W138:W147" si="65">IF(AND(V138&lt;&gt;"",$BA138=1),V138,BG138)</f>
        <v>0.34</v>
      </c>
      <c r="X138" s="47" t="str">
        <f t="shared" ref="X138:X147" si="66">BH138</f>
        <v>kg/kWh</v>
      </c>
      <c r="Y138" s="12"/>
      <c r="Z138" s="24">
        <f t="shared" ref="Z138:Z147" si="67">S138*W138*ABS(AZ138)</f>
        <v>0</v>
      </c>
      <c r="AA138" s="47" t="s">
        <v>468</v>
      </c>
      <c r="AB138" s="67"/>
      <c r="AC138" s="995"/>
      <c r="AD138" s="1405"/>
      <c r="AE138" s="1405"/>
      <c r="AF138" s="1405"/>
      <c r="AG138" s="1405"/>
      <c r="AH138" s="1405"/>
      <c r="AI138" s="1405"/>
      <c r="AJ138" s="1405"/>
      <c r="AK138" s="1405"/>
      <c r="AL138" s="1405"/>
      <c r="AM138" s="1405"/>
      <c r="AN138" s="1405"/>
      <c r="AO138" s="1405"/>
      <c r="AP138" s="1405"/>
      <c r="AQ138" s="1405"/>
      <c r="AR138" s="1405"/>
      <c r="AS138" s="67"/>
      <c r="AT138" s="995"/>
      <c r="AU138" s="12"/>
      <c r="AV138" s="22" t="str">
        <f t="shared" si="60"/>
        <v>ventilatie</v>
      </c>
      <c r="AW138" s="46" t="str">
        <f t="shared" si="61"/>
        <v>elektriciteit</v>
      </c>
      <c r="AX138" s="24"/>
      <c r="AY138" s="12"/>
      <c r="AZ138" s="115">
        <v>1</v>
      </c>
      <c r="BA138" s="24">
        <f>IFERROR(INDEX(tabellen_EMD!$C$185:$N$193,MATCH($J138,tabellen_EMD!$C$185:$C$193,0),MATCH(BA$63,tabellen_EMD!$C$185:$N$185,0)),0)</f>
        <v>0</v>
      </c>
      <c r="BB138" s="115">
        <f t="shared" ref="BB138:BB147" si="68">VLOOKUP($J138,energiedragers_EP_PEF,MATCH(_xlfn.CONCAT($C138," | PEF"),energiedragers_EP_PEF_titel,0),FALSE)</f>
        <v>1.45</v>
      </c>
      <c r="BC138" s="899"/>
      <c r="BD138" s="115">
        <f t="shared" ref="BD138:BD147" si="69">IFERROR(VLOOKUP($J138,energiedragers_EP_omrekenen,MATCH($B138,energiedragers_EP_omrekenen_titel,0),FALSE),1)</f>
        <v>1</v>
      </c>
      <c r="BE138" s="47" t="str">
        <f t="shared" ref="BE138:BE147" si="70">_xlfn.CONCAT(N138,"/",T138)</f>
        <v>kWh/kWh</v>
      </c>
      <c r="BF138" s="899"/>
      <c r="BG138" s="218">
        <f>IFERROR(INDEX(tabellen_EMD!$C$240:$Z$248,MATCH($J138,tabellen_EMD!$C$240:$C$248,0),MATCH($B138,tabellen_EMD!$C$240:$Z$240,0))*(F138&lt;&gt;"zomercomfort"),0)</f>
        <v>0.34</v>
      </c>
      <c r="BH138" s="47" t="str">
        <f t="shared" ref="BH138:BH147" si="71">"kg/"&amp;T138</f>
        <v>kg/kWh</v>
      </c>
      <c r="BI138" s="899"/>
    </row>
    <row r="139" spans="1:61">
      <c r="A139" s="49"/>
      <c r="B139" s="47" t="str">
        <f t="shared" si="59"/>
        <v>VABI NTA 8800</v>
      </c>
      <c r="C139" s="47" t="str">
        <f t="shared" si="59"/>
        <v>NTA 8800</v>
      </c>
      <c r="D139" s="943"/>
      <c r="E139" s="14"/>
      <c r="F139" s="22" t="s">
        <v>502</v>
      </c>
      <c r="G139" s="22"/>
      <c r="H139" s="22"/>
      <c r="I139" s="905"/>
      <c r="J139" s="1685"/>
      <c r="K139" s="1685"/>
      <c r="L139" s="16"/>
      <c r="M139" s="24">
        <f t="shared" si="62"/>
        <v>0</v>
      </c>
      <c r="N139" s="47" t="str">
        <f t="shared" si="63"/>
        <v>kWh</v>
      </c>
      <c r="O139" s="909"/>
      <c r="P139" s="154"/>
      <c r="Q139" s="59">
        <f t="shared" si="64"/>
        <v>1</v>
      </c>
      <c r="R139" s="15"/>
      <c r="S139" s="25"/>
      <c r="T139" s="47" t="str">
        <f>IFERROR(INDEX(energiedragers_EP_eenheden,MATCH($J139,tabellen_EMD!$C$196:$C$204,0),MATCH($B139,energiedragers_EP_eenheden_titel,0)),"-")</f>
        <v>-</v>
      </c>
      <c r="U139" s="39"/>
      <c r="V139" s="154"/>
      <c r="W139" s="59">
        <f t="shared" si="65"/>
        <v>0</v>
      </c>
      <c r="X139" s="47" t="str">
        <f t="shared" si="66"/>
        <v>kg/-</v>
      </c>
      <c r="Y139" s="12"/>
      <c r="Z139" s="24">
        <f t="shared" si="67"/>
        <v>0</v>
      </c>
      <c r="AA139" s="47" t="s">
        <v>468</v>
      </c>
      <c r="AB139" s="67"/>
      <c r="AC139" s="995"/>
      <c r="AD139" s="1405"/>
      <c r="AE139" s="1405"/>
      <c r="AF139" s="1405"/>
      <c r="AG139" s="1405"/>
      <c r="AH139" s="1405"/>
      <c r="AI139" s="1405"/>
      <c r="AJ139" s="1405"/>
      <c r="AK139" s="1405"/>
      <c r="AL139" s="1405"/>
      <c r="AM139" s="1405"/>
      <c r="AN139" s="1405"/>
      <c r="AO139" s="1405"/>
      <c r="AP139" s="1405"/>
      <c r="AQ139" s="1405"/>
      <c r="AR139" s="1405"/>
      <c r="AS139" s="67"/>
      <c r="AT139" s="995"/>
      <c r="AU139" s="12"/>
      <c r="AV139" s="22" t="str">
        <f t="shared" si="60"/>
        <v>verwarming</v>
      </c>
      <c r="AW139" s="46">
        <f t="shared" si="61"/>
        <v>0</v>
      </c>
      <c r="AX139" s="24"/>
      <c r="AY139" s="12"/>
      <c r="AZ139" s="115">
        <v>1</v>
      </c>
      <c r="BA139" s="24">
        <f>IFERROR(INDEX(tabellen_EMD!$C$185:$N$193,MATCH($J139,tabellen_EMD!$C$185:$C$193,0),MATCH(BA$63,tabellen_EMD!$C$185:$N$185,0)),0)</f>
        <v>0</v>
      </c>
      <c r="BB139" s="115" t="e">
        <f t="shared" si="68"/>
        <v>#N/A</v>
      </c>
      <c r="BC139" s="899"/>
      <c r="BD139" s="115">
        <f t="shared" si="69"/>
        <v>1</v>
      </c>
      <c r="BE139" s="47" t="str">
        <f t="shared" si="70"/>
        <v>kWh/-</v>
      </c>
      <c r="BF139" s="899"/>
      <c r="BG139" s="218">
        <f>IFERROR(INDEX(tabellen_EMD!$C$240:$Z$248,MATCH($J139,tabellen_EMD!$C$240:$C$248,0),MATCH($B139,tabellen_EMD!$C$240:$Z$240,0))*(F139&lt;&gt;"zomercomfort"),0)</f>
        <v>0</v>
      </c>
      <c r="BH139" s="47" t="str">
        <f t="shared" si="71"/>
        <v>kg/-</v>
      </c>
      <c r="BI139" s="899"/>
    </row>
    <row r="140" spans="1:61">
      <c r="A140" s="86"/>
      <c r="B140" s="47" t="str">
        <f t="shared" si="59"/>
        <v>VABI NTA 8800</v>
      </c>
      <c r="C140" s="47" t="str">
        <f t="shared" si="59"/>
        <v>NTA 8800</v>
      </c>
      <c r="D140" s="943"/>
      <c r="E140" s="14"/>
      <c r="F140" s="22" t="s">
        <v>503</v>
      </c>
      <c r="G140" s="22"/>
      <c r="H140" s="22"/>
      <c r="I140" s="905"/>
      <c r="J140" s="1685"/>
      <c r="K140" s="1685"/>
      <c r="L140" s="16"/>
      <c r="M140" s="24">
        <f t="shared" si="62"/>
        <v>0</v>
      </c>
      <c r="N140" s="47" t="str">
        <f t="shared" si="63"/>
        <v>kWh</v>
      </c>
      <c r="O140" s="909"/>
      <c r="P140" s="154"/>
      <c r="Q140" s="59">
        <f t="shared" si="64"/>
        <v>1</v>
      </c>
      <c r="R140" s="15"/>
      <c r="S140" s="25"/>
      <c r="T140" s="47" t="str">
        <f>IFERROR(INDEX(energiedragers_EP_eenheden,MATCH($J140,tabellen_EMD!$C$196:$C$204,0),MATCH($B140,energiedragers_EP_eenheden_titel,0)),"-")</f>
        <v>-</v>
      </c>
      <c r="U140" s="39"/>
      <c r="V140" s="154"/>
      <c r="W140" s="59">
        <f t="shared" si="65"/>
        <v>0</v>
      </c>
      <c r="X140" s="47" t="str">
        <f t="shared" si="66"/>
        <v>kg/-</v>
      </c>
      <c r="Y140" s="12"/>
      <c r="Z140" s="24">
        <f t="shared" si="67"/>
        <v>0</v>
      </c>
      <c r="AA140" s="47" t="s">
        <v>468</v>
      </c>
      <c r="AB140" s="67"/>
      <c r="AC140" s="995"/>
      <c r="AD140" s="1405"/>
      <c r="AE140" s="1405"/>
      <c r="AF140" s="1405"/>
      <c r="AG140" s="1405"/>
      <c r="AH140" s="1405"/>
      <c r="AI140" s="1405"/>
      <c r="AJ140" s="1405"/>
      <c r="AK140" s="1405"/>
      <c r="AL140" s="1405"/>
      <c r="AM140" s="1405"/>
      <c r="AN140" s="1405"/>
      <c r="AO140" s="1405"/>
      <c r="AP140" s="1405"/>
      <c r="AQ140" s="1405"/>
      <c r="AR140" s="1405"/>
      <c r="AS140" s="67"/>
      <c r="AT140" s="995"/>
      <c r="AU140" s="12"/>
      <c r="AV140" s="22" t="str">
        <f t="shared" si="60"/>
        <v>tapwater</v>
      </c>
      <c r="AW140" s="46">
        <f t="shared" si="61"/>
        <v>0</v>
      </c>
      <c r="AX140" s="24"/>
      <c r="AY140" s="12"/>
      <c r="AZ140" s="115">
        <v>1</v>
      </c>
      <c r="BA140" s="24">
        <f>IFERROR(INDEX(tabellen_EMD!$C$185:$N$193,MATCH($J140,tabellen_EMD!$C$185:$C$193,0),MATCH(BA$63,tabellen_EMD!$C$185:$N$185,0)),0)</f>
        <v>0</v>
      </c>
      <c r="BB140" s="115" t="e">
        <f t="shared" si="68"/>
        <v>#N/A</v>
      </c>
      <c r="BC140" s="899"/>
      <c r="BD140" s="115">
        <f t="shared" si="69"/>
        <v>1</v>
      </c>
      <c r="BE140" s="47" t="str">
        <f t="shared" si="70"/>
        <v>kWh/-</v>
      </c>
      <c r="BF140" s="899"/>
      <c r="BG140" s="218">
        <f>IFERROR(INDEX(tabellen_EMD!$C$240:$Z$248,MATCH($J140,tabellen_EMD!$C$240:$C$248,0),MATCH($B140,tabellen_EMD!$C$240:$Z$240,0))*(F140&lt;&gt;"zomercomfort"),0)</f>
        <v>0</v>
      </c>
      <c r="BH140" s="47" t="str">
        <f t="shared" si="71"/>
        <v>kg/-</v>
      </c>
      <c r="BI140" s="899"/>
    </row>
    <row r="141" spans="1:61">
      <c r="A141" s="86"/>
      <c r="B141" s="47" t="str">
        <f t="shared" si="59"/>
        <v>VABI NTA 8800</v>
      </c>
      <c r="C141" s="47" t="str">
        <f t="shared" si="59"/>
        <v>NTA 8800</v>
      </c>
      <c r="D141" s="943"/>
      <c r="E141" s="14"/>
      <c r="F141" s="22" t="s">
        <v>504</v>
      </c>
      <c r="G141" s="22"/>
      <c r="H141" s="22"/>
      <c r="I141" s="905"/>
      <c r="J141" s="1685"/>
      <c r="K141" s="1685"/>
      <c r="L141" s="16"/>
      <c r="M141" s="24">
        <f t="shared" si="62"/>
        <v>0</v>
      </c>
      <c r="N141" s="47" t="str">
        <f t="shared" si="63"/>
        <v>kWh</v>
      </c>
      <c r="O141" s="909"/>
      <c r="P141" s="154"/>
      <c r="Q141" s="59">
        <f t="shared" si="64"/>
        <v>1</v>
      </c>
      <c r="R141" s="15"/>
      <c r="S141" s="25"/>
      <c r="T141" s="47" t="str">
        <f>IFERROR(INDEX(energiedragers_EP_eenheden,MATCH($J141,tabellen_EMD!$C$196:$C$204,0),MATCH($B141,energiedragers_EP_eenheden_titel,0)),"-")</f>
        <v>-</v>
      </c>
      <c r="U141" s="39"/>
      <c r="V141" s="154"/>
      <c r="W141" s="59">
        <f t="shared" si="65"/>
        <v>0</v>
      </c>
      <c r="X141" s="47" t="str">
        <f t="shared" si="66"/>
        <v>kg/-</v>
      </c>
      <c r="Y141" s="12"/>
      <c r="Z141" s="24">
        <f t="shared" si="67"/>
        <v>0</v>
      </c>
      <c r="AA141" s="47" t="s">
        <v>468</v>
      </c>
      <c r="AB141" s="67"/>
      <c r="AC141" s="995"/>
      <c r="AD141" s="1405"/>
      <c r="AE141" s="1405"/>
      <c r="AF141" s="1405"/>
      <c r="AG141" s="1405"/>
      <c r="AH141" s="1405"/>
      <c r="AI141" s="1405"/>
      <c r="AJ141" s="1405"/>
      <c r="AK141" s="1405"/>
      <c r="AL141" s="1405"/>
      <c r="AM141" s="1405"/>
      <c r="AN141" s="1405"/>
      <c r="AO141" s="1405"/>
      <c r="AP141" s="1405"/>
      <c r="AQ141" s="1405"/>
      <c r="AR141" s="1405"/>
      <c r="AS141" s="67"/>
      <c r="AT141" s="995"/>
      <c r="AU141" s="12"/>
      <c r="AV141" s="22" t="str">
        <f t="shared" si="60"/>
        <v>koeling</v>
      </c>
      <c r="AW141" s="46">
        <f t="shared" si="61"/>
        <v>0</v>
      </c>
      <c r="AX141" s="24"/>
      <c r="AY141" s="12"/>
      <c r="AZ141" s="115">
        <v>1</v>
      </c>
      <c r="BA141" s="24">
        <f>IFERROR(INDEX(tabellen_EMD!$C$185:$N$193,MATCH($J141,tabellen_EMD!$C$185:$C$193,0),MATCH(BA$63,tabellen_EMD!$C$185:$N$185,0)),0)</f>
        <v>0</v>
      </c>
      <c r="BB141" s="115" t="e">
        <f t="shared" si="68"/>
        <v>#N/A</v>
      </c>
      <c r="BC141" s="899"/>
      <c r="BD141" s="115">
        <f t="shared" si="69"/>
        <v>1</v>
      </c>
      <c r="BE141" s="47" t="str">
        <f t="shared" si="70"/>
        <v>kWh/-</v>
      </c>
      <c r="BF141" s="899"/>
      <c r="BG141" s="218">
        <f>IFERROR(INDEX(tabellen_EMD!$C$240:$Z$248,MATCH($J141,tabellen_EMD!$C$240:$C$248,0),MATCH($B141,tabellen_EMD!$C$240:$Z$240,0))*(F141&lt;&gt;"zomercomfort"),0)</f>
        <v>0</v>
      </c>
      <c r="BH141" s="47" t="str">
        <f t="shared" si="71"/>
        <v>kg/-</v>
      </c>
      <c r="BI141" s="899"/>
    </row>
    <row r="142" spans="1:61">
      <c r="A142" s="86"/>
      <c r="B142" s="47" t="str">
        <f t="shared" si="59"/>
        <v>VABI NTA 8800</v>
      </c>
      <c r="C142" s="47" t="str">
        <f t="shared" si="59"/>
        <v>NTA 8800</v>
      </c>
      <c r="D142" s="943"/>
      <c r="E142" s="14"/>
      <c r="F142" s="22" t="s">
        <v>505</v>
      </c>
      <c r="G142" s="22"/>
      <c r="H142" s="22"/>
      <c r="I142" s="905"/>
      <c r="J142" s="1691" t="s">
        <v>465</v>
      </c>
      <c r="K142" s="1698"/>
      <c r="L142" s="16"/>
      <c r="M142" s="24">
        <f t="shared" si="62"/>
        <v>0</v>
      </c>
      <c r="N142" s="47" t="str">
        <f t="shared" si="63"/>
        <v>kWh</v>
      </c>
      <c r="O142" s="909"/>
      <c r="P142" s="39"/>
      <c r="Q142" s="59">
        <f t="shared" si="64"/>
        <v>1.45</v>
      </c>
      <c r="R142" s="15"/>
      <c r="S142" s="25"/>
      <c r="T142" s="47" t="str">
        <f>IFERROR(INDEX(energiedragers_EP_eenheden,MATCH($J142,tabellen_EMD!$C$196:$C$204,0),MATCH($B142,energiedragers_EP_eenheden_titel,0)),"-")</f>
        <v>kWh</v>
      </c>
      <c r="U142" s="39"/>
      <c r="V142" s="15"/>
      <c r="W142" s="59">
        <f t="shared" si="65"/>
        <v>0.34</v>
      </c>
      <c r="X142" s="47" t="str">
        <f t="shared" si="66"/>
        <v>kg/kWh</v>
      </c>
      <c r="Y142" s="12"/>
      <c r="Z142" s="24">
        <f t="shared" si="67"/>
        <v>0</v>
      </c>
      <c r="AA142" s="47" t="s">
        <v>468</v>
      </c>
      <c r="AB142" s="67"/>
      <c r="AC142" s="995"/>
      <c r="AD142" s="1405"/>
      <c r="AE142" s="1405"/>
      <c r="AF142" s="1405"/>
      <c r="AG142" s="1405"/>
      <c r="AH142" s="1405"/>
      <c r="AI142" s="1405"/>
      <c r="AJ142" s="1405"/>
      <c r="AK142" s="1405"/>
      <c r="AL142" s="1405"/>
      <c r="AM142" s="1405"/>
      <c r="AN142" s="1405"/>
      <c r="AO142" s="1405"/>
      <c r="AP142" s="1405"/>
      <c r="AQ142" s="1405"/>
      <c r="AR142" s="1405"/>
      <c r="AS142" s="67"/>
      <c r="AT142" s="995"/>
      <c r="AU142" s="12"/>
      <c r="AV142" s="22" t="str">
        <f t="shared" si="60"/>
        <v>bevochtiging</v>
      </c>
      <c r="AW142" s="46" t="str">
        <f t="shared" si="61"/>
        <v>elektriciteit</v>
      </c>
      <c r="AX142" s="24"/>
      <c r="AY142" s="12"/>
      <c r="AZ142" s="115">
        <v>1</v>
      </c>
      <c r="BA142" s="24">
        <f>IFERROR(INDEX(tabellen_EMD!$C$185:$N$193,MATCH($J142,tabellen_EMD!$C$185:$C$193,0),MATCH(BA$63,tabellen_EMD!$C$185:$N$185,0)),0)</f>
        <v>0</v>
      </c>
      <c r="BB142" s="115">
        <f t="shared" si="68"/>
        <v>1.45</v>
      </c>
      <c r="BC142" s="899"/>
      <c r="BD142" s="115">
        <f t="shared" si="69"/>
        <v>1</v>
      </c>
      <c r="BE142" s="47" t="str">
        <f t="shared" si="70"/>
        <v>kWh/kWh</v>
      </c>
      <c r="BF142" s="899"/>
      <c r="BG142" s="218">
        <f>IFERROR(INDEX(tabellen_EMD!$C$240:$Z$248,MATCH($J142,tabellen_EMD!$C$240:$C$248,0),MATCH($B142,tabellen_EMD!$C$240:$Z$240,0))*(F142&lt;&gt;"zomercomfort"),0)</f>
        <v>0.34</v>
      </c>
      <c r="BH142" s="47" t="str">
        <f t="shared" si="71"/>
        <v>kg/kWh</v>
      </c>
      <c r="BI142" s="899"/>
    </row>
    <row r="143" spans="1:61">
      <c r="A143" s="86"/>
      <c r="B143" s="47" t="str">
        <f t="shared" si="59"/>
        <v>VABI NTA 8800</v>
      </c>
      <c r="C143" s="47" t="str">
        <f t="shared" si="59"/>
        <v>NTA 8800</v>
      </c>
      <c r="D143" s="943"/>
      <c r="E143" s="14"/>
      <c r="F143" s="22" t="s">
        <v>506</v>
      </c>
      <c r="G143" s="22"/>
      <c r="H143" s="22"/>
      <c r="I143" s="905"/>
      <c r="J143" s="1691" t="s">
        <v>465</v>
      </c>
      <c r="K143" s="1698"/>
      <c r="L143" s="16"/>
      <c r="M143" s="24">
        <f t="shared" si="62"/>
        <v>0</v>
      </c>
      <c r="N143" s="47" t="str">
        <f t="shared" si="63"/>
        <v>kWh</v>
      </c>
      <c r="O143" s="909"/>
      <c r="P143" s="39"/>
      <c r="Q143" s="59">
        <f t="shared" si="64"/>
        <v>1.45</v>
      </c>
      <c r="R143" s="15"/>
      <c r="S143" s="25"/>
      <c r="T143" s="47" t="str">
        <f>IFERROR(INDEX(energiedragers_EP_eenheden,MATCH($J143,tabellen_EMD!$C$196:$C$204,0),MATCH($B143,energiedragers_EP_eenheden_titel,0)),"-")</f>
        <v>kWh</v>
      </c>
      <c r="U143" s="39"/>
      <c r="V143" s="15"/>
      <c r="W143" s="59">
        <f t="shared" si="65"/>
        <v>0.34</v>
      </c>
      <c r="X143" s="47" t="str">
        <f t="shared" si="66"/>
        <v>kg/kWh</v>
      </c>
      <c r="Y143" s="12"/>
      <c r="Z143" s="24">
        <f t="shared" si="67"/>
        <v>0</v>
      </c>
      <c r="AA143" s="47" t="s">
        <v>468</v>
      </c>
      <c r="AB143" s="67"/>
      <c r="AC143" s="995"/>
      <c r="AD143" s="1405"/>
      <c r="AE143" s="1405"/>
      <c r="AF143" s="1405"/>
      <c r="AG143" s="1405"/>
      <c r="AH143" s="1405"/>
      <c r="AI143" s="1405"/>
      <c r="AJ143" s="1405"/>
      <c r="AK143" s="1405"/>
      <c r="AL143" s="1405"/>
      <c r="AM143" s="1405"/>
      <c r="AN143" s="1405"/>
      <c r="AO143" s="1405"/>
      <c r="AP143" s="1405"/>
      <c r="AQ143" s="1405"/>
      <c r="AR143" s="1405"/>
      <c r="AS143" s="67"/>
      <c r="AT143" s="995"/>
      <c r="AU143" s="12"/>
      <c r="AV143" s="22" t="str">
        <f t="shared" si="60"/>
        <v>ontvochtiging</v>
      </c>
      <c r="AW143" s="46" t="str">
        <f t="shared" si="61"/>
        <v>elektriciteit</v>
      </c>
      <c r="AX143" s="24"/>
      <c r="AY143" s="12"/>
      <c r="AZ143" s="115">
        <v>1</v>
      </c>
      <c r="BA143" s="24">
        <f>IFERROR(INDEX(tabellen_EMD!$C$185:$N$193,MATCH($J143,tabellen_EMD!$C$185:$C$193,0),MATCH(BA$63,tabellen_EMD!$C$185:$N$185,0)),0)</f>
        <v>0</v>
      </c>
      <c r="BB143" s="115">
        <f t="shared" si="68"/>
        <v>1.45</v>
      </c>
      <c r="BC143" s="899"/>
      <c r="BD143" s="115">
        <f t="shared" si="69"/>
        <v>1</v>
      </c>
      <c r="BE143" s="47" t="str">
        <f t="shared" si="70"/>
        <v>kWh/kWh</v>
      </c>
      <c r="BF143" s="899"/>
      <c r="BG143" s="218">
        <f>IFERROR(INDEX(tabellen_EMD!$C$240:$Z$248,MATCH($J143,tabellen_EMD!$C$240:$C$248,0),MATCH($B143,tabellen_EMD!$C$240:$Z$240,0))*(F143&lt;&gt;"zomercomfort"),0)</f>
        <v>0.34</v>
      </c>
      <c r="BH143" s="47" t="str">
        <f t="shared" si="71"/>
        <v>kg/kWh</v>
      </c>
      <c r="BI143" s="899"/>
    </row>
    <row r="144" spans="1:61">
      <c r="A144" s="18"/>
      <c r="B144" s="47" t="str">
        <f t="shared" si="59"/>
        <v>VABI NTA 8800</v>
      </c>
      <c r="C144" s="47" t="str">
        <f t="shared" si="59"/>
        <v>NTA 8800</v>
      </c>
      <c r="D144" s="943"/>
      <c r="E144" s="14"/>
      <c r="F144" s="22" t="s">
        <v>507</v>
      </c>
      <c r="G144" s="22"/>
      <c r="H144" s="22"/>
      <c r="I144" s="905"/>
      <c r="J144" s="1691" t="s">
        <v>465</v>
      </c>
      <c r="K144" s="1698"/>
      <c r="L144" s="16"/>
      <c r="M144" s="24">
        <f t="shared" si="62"/>
        <v>0</v>
      </c>
      <c r="N144" s="47" t="str">
        <f t="shared" si="63"/>
        <v>kWh</v>
      </c>
      <c r="O144" s="909"/>
      <c r="P144" s="39"/>
      <c r="Q144" s="59">
        <f t="shared" si="64"/>
        <v>1.45</v>
      </c>
      <c r="R144" s="15"/>
      <c r="S144" s="25"/>
      <c r="T144" s="47" t="str">
        <f>IFERROR(INDEX(energiedragers_EP_eenheden,MATCH($J144,tabellen_EMD!$C$196:$C$204,0),MATCH($B144,energiedragers_EP_eenheden_titel,0)),"-")</f>
        <v>kWh</v>
      </c>
      <c r="U144" s="39"/>
      <c r="V144" s="15"/>
      <c r="W144" s="59">
        <f t="shared" si="65"/>
        <v>0.34</v>
      </c>
      <c r="X144" s="47" t="str">
        <f t="shared" si="66"/>
        <v>kg/kWh</v>
      </c>
      <c r="Y144" s="12"/>
      <c r="Z144" s="24">
        <f t="shared" si="67"/>
        <v>0</v>
      </c>
      <c r="AA144" s="47" t="s">
        <v>468</v>
      </c>
      <c r="AB144" s="67"/>
      <c r="AC144" s="995"/>
      <c r="AD144" s="1405"/>
      <c r="AE144" s="1405"/>
      <c r="AF144" s="1405"/>
      <c r="AG144" s="1405"/>
      <c r="AH144" s="1405"/>
      <c r="AI144" s="1405"/>
      <c r="AJ144" s="1405"/>
      <c r="AK144" s="1405"/>
      <c r="AL144" s="1405"/>
      <c r="AM144" s="1405"/>
      <c r="AN144" s="1405"/>
      <c r="AO144" s="1405"/>
      <c r="AP144" s="1405"/>
      <c r="AQ144" s="1405"/>
      <c r="AR144" s="1405"/>
      <c r="AS144" s="67"/>
      <c r="AT144" s="995"/>
      <c r="AU144" s="12"/>
      <c r="AV144" s="22" t="str">
        <f t="shared" si="60"/>
        <v>verlichting</v>
      </c>
      <c r="AW144" s="46" t="str">
        <f t="shared" si="61"/>
        <v>elektriciteit</v>
      </c>
      <c r="AX144" s="24"/>
      <c r="AY144" s="12"/>
      <c r="AZ144" s="115">
        <v>1</v>
      </c>
      <c r="BA144" s="24">
        <f>IFERROR(INDEX(tabellen_EMD!$C$185:$N$193,MATCH($J144,tabellen_EMD!$C$185:$C$193,0),MATCH(BA$63,tabellen_EMD!$C$185:$N$185,0)),0)</f>
        <v>0</v>
      </c>
      <c r="BB144" s="115">
        <f t="shared" si="68"/>
        <v>1.45</v>
      </c>
      <c r="BC144" s="899"/>
      <c r="BD144" s="115">
        <f t="shared" si="69"/>
        <v>1</v>
      </c>
      <c r="BE144" s="47" t="str">
        <f t="shared" si="70"/>
        <v>kWh/kWh</v>
      </c>
      <c r="BF144" s="899"/>
      <c r="BG144" s="218">
        <f>IFERROR(INDEX(tabellen_EMD!$C$240:$Z$248,MATCH($J144,tabellen_EMD!$C$240:$C$248,0),MATCH($B144,tabellen_EMD!$C$240:$Z$240,0))*(F144&lt;&gt;"zomercomfort"),0)</f>
        <v>0.34</v>
      </c>
      <c r="BH144" s="47" t="str">
        <f t="shared" si="71"/>
        <v>kg/kWh</v>
      </c>
      <c r="BI144" s="899"/>
    </row>
    <row r="145" spans="1:61" s="18" customFormat="1">
      <c r="A145" s="49"/>
      <c r="B145" s="47" t="str">
        <f t="shared" si="59"/>
        <v>VABI NTA 8800</v>
      </c>
      <c r="C145" s="47" t="str">
        <f t="shared" si="59"/>
        <v>NTA 8800</v>
      </c>
      <c r="D145" s="943"/>
      <c r="E145" s="14"/>
      <c r="F145" s="22" t="s">
        <v>508</v>
      </c>
      <c r="G145" s="22"/>
      <c r="H145" s="22"/>
      <c r="I145" s="905"/>
      <c r="J145" s="1691" t="s">
        <v>465</v>
      </c>
      <c r="K145" s="1698"/>
      <c r="L145" s="16"/>
      <c r="M145" s="24">
        <f t="shared" si="62"/>
        <v>0</v>
      </c>
      <c r="N145" s="47" t="str">
        <f t="shared" si="63"/>
        <v>kWh</v>
      </c>
      <c r="O145" s="909"/>
      <c r="P145" s="39"/>
      <c r="Q145" s="59">
        <f t="shared" si="64"/>
        <v>1.45</v>
      </c>
      <c r="R145" s="15"/>
      <c r="S145" s="25"/>
      <c r="T145" s="47" t="str">
        <f>IFERROR(INDEX(energiedragers_EP_eenheden,MATCH($J145,tabellen_EMD!$C$196:$C$204,0),MATCH($B145,energiedragers_EP_eenheden_titel,0)),"-")</f>
        <v>kWh</v>
      </c>
      <c r="U145" s="39"/>
      <c r="V145" s="15"/>
      <c r="W145" s="59">
        <f t="shared" si="65"/>
        <v>0.34</v>
      </c>
      <c r="X145" s="47" t="str">
        <f t="shared" si="66"/>
        <v>kg/kWh</v>
      </c>
      <c r="Y145" s="12"/>
      <c r="Z145" s="24">
        <f t="shared" si="67"/>
        <v>0</v>
      </c>
      <c r="AA145" s="47" t="s">
        <v>468</v>
      </c>
      <c r="AB145" s="67"/>
      <c r="AC145" s="995"/>
      <c r="AD145" s="1405"/>
      <c r="AE145" s="1405"/>
      <c r="AF145" s="1405"/>
      <c r="AG145" s="1405"/>
      <c r="AH145" s="1405"/>
      <c r="AI145" s="1405"/>
      <c r="AJ145" s="1405"/>
      <c r="AK145" s="1405"/>
      <c r="AL145" s="1405"/>
      <c r="AM145" s="1405"/>
      <c r="AN145" s="1405"/>
      <c r="AO145" s="1405"/>
      <c r="AP145" s="1405"/>
      <c r="AQ145" s="1405"/>
      <c r="AR145" s="1405"/>
      <c r="AS145" s="67"/>
      <c r="AT145" s="995"/>
      <c r="AU145" s="12"/>
      <c r="AV145" s="22" t="str">
        <f t="shared" si="60"/>
        <v>hulpenergie elektrisch</v>
      </c>
      <c r="AW145" s="46" t="str">
        <f t="shared" si="61"/>
        <v>elektriciteit</v>
      </c>
      <c r="AX145" s="24"/>
      <c r="AY145" s="12"/>
      <c r="AZ145" s="115">
        <v>1</v>
      </c>
      <c r="BA145" s="24">
        <f>IFERROR(INDEX(tabellen_EMD!$C$185:$N$193,MATCH($J145,tabellen_EMD!$C$185:$C$193,0),MATCH(BA$63,tabellen_EMD!$C$185:$N$185,0)),0)</f>
        <v>0</v>
      </c>
      <c r="BB145" s="115">
        <f t="shared" si="68"/>
        <v>1.45</v>
      </c>
      <c r="BC145" s="899"/>
      <c r="BD145" s="115">
        <f t="shared" si="69"/>
        <v>1</v>
      </c>
      <c r="BE145" s="47" t="str">
        <f t="shared" si="70"/>
        <v>kWh/kWh</v>
      </c>
      <c r="BF145" s="899"/>
      <c r="BG145" s="218">
        <f>IFERROR(INDEX(tabellen_EMD!$C$240:$Z$248,MATCH($J145,tabellen_EMD!$C$240:$C$248,0),MATCH($B145,tabellen_EMD!$C$240:$Z$240,0))*(F145&lt;&gt;"zomercomfort"),0)</f>
        <v>0.34</v>
      </c>
      <c r="BH145" s="47" t="str">
        <f t="shared" si="71"/>
        <v>kg/kWh</v>
      </c>
      <c r="BI145" s="899"/>
    </row>
    <row r="146" spans="1:61">
      <c r="A146" s="49"/>
      <c r="B146" s="47" t="str">
        <f t="shared" si="59"/>
        <v>VABI NTA 8800</v>
      </c>
      <c r="C146" s="47" t="str">
        <f t="shared" si="59"/>
        <v>NTA 8800</v>
      </c>
      <c r="D146" s="943"/>
      <c r="E146" s="14"/>
      <c r="F146" s="22" t="s">
        <v>1443</v>
      </c>
      <c r="G146" s="22"/>
      <c r="H146" s="22"/>
      <c r="I146" s="905"/>
      <c r="J146" s="1691" t="s">
        <v>463</v>
      </c>
      <c r="K146" s="1698"/>
      <c r="L146" s="16"/>
      <c r="M146" s="24">
        <f t="shared" si="62"/>
        <v>0</v>
      </c>
      <c r="N146" s="47" t="str">
        <f t="shared" si="63"/>
        <v>kWh</v>
      </c>
      <c r="O146" s="909"/>
      <c r="P146" s="39"/>
      <c r="Q146" s="59">
        <f t="shared" si="64"/>
        <v>1</v>
      </c>
      <c r="R146" s="15"/>
      <c r="S146" s="25"/>
      <c r="T146" s="47" t="str">
        <f>IFERROR(INDEX(energiedragers_EP_eenheden,MATCH($J146,tabellen_EMD!$C$196:$C$204,0),MATCH($B146,energiedragers_EP_eenheden_titel,0)),"-")</f>
        <v>kWh</v>
      </c>
      <c r="U146" s="39"/>
      <c r="V146" s="15"/>
      <c r="W146" s="59">
        <f t="shared" si="65"/>
        <v>0.183</v>
      </c>
      <c r="X146" s="47" t="str">
        <f t="shared" si="66"/>
        <v>kg/kWh</v>
      </c>
      <c r="Y146" s="12"/>
      <c r="Z146" s="24">
        <f t="shared" si="67"/>
        <v>0</v>
      </c>
      <c r="AA146" s="47" t="s">
        <v>468</v>
      </c>
      <c r="AB146" s="67"/>
      <c r="AC146" s="995"/>
      <c r="AD146" s="1405"/>
      <c r="AE146" s="1405"/>
      <c r="AF146" s="1405"/>
      <c r="AG146" s="1405"/>
      <c r="AH146" s="1405"/>
      <c r="AI146" s="1405"/>
      <c r="AJ146" s="1405"/>
      <c r="AK146" s="1405"/>
      <c r="AL146" s="1405"/>
      <c r="AM146" s="1405"/>
      <c r="AN146" s="1405"/>
      <c r="AO146" s="1405"/>
      <c r="AP146" s="1405"/>
      <c r="AQ146" s="1405"/>
      <c r="AR146" s="1405"/>
      <c r="AS146" s="67"/>
      <c r="AT146" s="995"/>
      <c r="AU146" s="12"/>
      <c r="AV146" s="22" t="str">
        <f t="shared" si="60"/>
        <v>hulpenergie waakvlam</v>
      </c>
      <c r="AW146" s="46" t="str">
        <f t="shared" si="61"/>
        <v>aardgas</v>
      </c>
      <c r="AX146" s="24"/>
      <c r="AY146" s="12"/>
      <c r="AZ146" s="115">
        <v>1</v>
      </c>
      <c r="BA146" s="24">
        <f>IFERROR(INDEX(tabellen_EMD!$C$185:$N$193,MATCH($J146,tabellen_EMD!$C$185:$C$193,0),MATCH(BA$63,tabellen_EMD!$C$185:$N$185,0)),0)</f>
        <v>0</v>
      </c>
      <c r="BB146" s="115">
        <f t="shared" si="68"/>
        <v>1</v>
      </c>
      <c r="BC146" s="899"/>
      <c r="BD146" s="115">
        <f t="shared" si="69"/>
        <v>1</v>
      </c>
      <c r="BE146" s="47" t="str">
        <f t="shared" si="70"/>
        <v>kWh/kWh</v>
      </c>
      <c r="BF146" s="899"/>
      <c r="BG146" s="218">
        <f>IFERROR(INDEX(tabellen_EMD!$C$240:$Z$248,MATCH($J146,tabellen_EMD!$C$240:$C$248,0),MATCH($B146,tabellen_EMD!$C$240:$Z$240,0))*(F146&lt;&gt;"zomercomfort"),0)</f>
        <v>0.183</v>
      </c>
      <c r="BH146" s="47" t="str">
        <f t="shared" si="71"/>
        <v>kg/kWh</v>
      </c>
      <c r="BI146" s="899"/>
    </row>
    <row r="147" spans="1:61">
      <c r="A147" s="86"/>
      <c r="B147" s="47" t="str">
        <f t="shared" si="59"/>
        <v>VABI NTA 8800</v>
      </c>
      <c r="C147" s="47" t="str">
        <f t="shared" si="59"/>
        <v>NTA 8800</v>
      </c>
      <c r="D147" s="943"/>
      <c r="E147" s="50"/>
      <c r="F147" s="22" t="s">
        <v>509</v>
      </c>
      <c r="G147" s="22"/>
      <c r="H147" s="22"/>
      <c r="I147" s="905"/>
      <c r="J147" s="1691" t="s">
        <v>466</v>
      </c>
      <c r="K147" s="1698"/>
      <c r="L147" s="16"/>
      <c r="M147" s="24">
        <f t="shared" si="62"/>
        <v>0</v>
      </c>
      <c r="N147" s="47" t="str">
        <f t="shared" si="63"/>
        <v>kWh</v>
      </c>
      <c r="O147" s="909"/>
      <c r="P147" s="39"/>
      <c r="Q147" s="59">
        <f t="shared" si="64"/>
        <v>1.45</v>
      </c>
      <c r="R147" s="15"/>
      <c r="S147" s="25"/>
      <c r="T147" s="47" t="str">
        <f>IFERROR(INDEX(energiedragers_EP_eenheden,MATCH($J147,tabellen_EMD!$C$196:$C$204,0),MATCH($B147,energiedragers_EP_eenheden_titel,0)),"-")</f>
        <v>kWh</v>
      </c>
      <c r="U147" s="39"/>
      <c r="V147" s="15"/>
      <c r="W147" s="59">
        <f t="shared" si="65"/>
        <v>0.34</v>
      </c>
      <c r="X147" s="47" t="str">
        <f t="shared" si="66"/>
        <v>kg/kWh</v>
      </c>
      <c r="Y147" s="12"/>
      <c r="Z147" s="24">
        <f t="shared" si="67"/>
        <v>0</v>
      </c>
      <c r="AA147" s="47" t="s">
        <v>468</v>
      </c>
      <c r="AB147" s="1393"/>
      <c r="AC147" s="1001"/>
      <c r="AD147" s="1405"/>
      <c r="AE147" s="1405"/>
      <c r="AF147" s="1405"/>
      <c r="AG147" s="1405"/>
      <c r="AH147" s="1405"/>
      <c r="AI147" s="1405"/>
      <c r="AJ147" s="1405"/>
      <c r="AK147" s="1405"/>
      <c r="AL147" s="1405"/>
      <c r="AM147" s="1405"/>
      <c r="AN147" s="1405"/>
      <c r="AO147" s="1405"/>
      <c r="AP147" s="1405"/>
      <c r="AQ147" s="1405"/>
      <c r="AR147" s="1405"/>
      <c r="AS147" s="1393"/>
      <c r="AT147" s="1001"/>
      <c r="AU147" s="12"/>
      <c r="AV147" s="22" t="str">
        <f t="shared" si="60"/>
        <v>elektriciteitsopwekking</v>
      </c>
      <c r="AW147" s="46" t="str">
        <f t="shared" si="61"/>
        <v>elektriciteit opgewekt</v>
      </c>
      <c r="AX147" s="24"/>
      <c r="AY147" s="12"/>
      <c r="AZ147" s="115">
        <v>1</v>
      </c>
      <c r="BA147" s="24">
        <f>IFERROR(INDEX(tabellen_EMD!$C$185:$N$193,MATCH($J147,tabellen_EMD!$C$185:$C$193,0),MATCH(BA$63,tabellen_EMD!$C$185:$N$185,0)),0)</f>
        <v>0</v>
      </c>
      <c r="BB147" s="115">
        <f t="shared" si="68"/>
        <v>1.45</v>
      </c>
      <c r="BC147" s="899"/>
      <c r="BD147" s="115">
        <f t="shared" si="69"/>
        <v>1</v>
      </c>
      <c r="BE147" s="47" t="str">
        <f t="shared" si="70"/>
        <v>kWh/kWh</v>
      </c>
      <c r="BF147" s="899"/>
      <c r="BG147" s="218">
        <f>IFERROR(INDEX(tabellen_EMD!$C$240:$Z$248,MATCH($J147,tabellen_EMD!$C$240:$C$248,0),MATCH($B147,tabellen_EMD!$C$240:$Z$240,0))*(F147&lt;&gt;"zomercomfort"),0)</f>
        <v>0.34</v>
      </c>
      <c r="BH147" s="47" t="str">
        <f t="shared" si="71"/>
        <v>kg/kWh</v>
      </c>
      <c r="BI147" s="899"/>
    </row>
    <row r="148" spans="1:61" s="940" customFormat="1">
      <c r="A148" s="49"/>
      <c r="B148" s="47" t="str">
        <f t="shared" si="59"/>
        <v>VABI NTA 8800</v>
      </c>
      <c r="C148" s="47" t="str">
        <f t="shared" si="59"/>
        <v>NTA 8800</v>
      </c>
      <c r="D148" s="943"/>
      <c r="E148" s="14"/>
      <c r="F148" s="15" t="s">
        <v>1391</v>
      </c>
      <c r="G148" s="951"/>
      <c r="H148" s="15"/>
      <c r="I148" s="905"/>
      <c r="J148" s="43" t="s">
        <v>1391</v>
      </c>
      <c r="K148" s="43"/>
      <c r="L148" s="16"/>
      <c r="M148" s="950">
        <f>SUM(M138:M146)-M147</f>
        <v>0</v>
      </c>
      <c r="N148" s="15" t="str">
        <f t="shared" si="63"/>
        <v>kWh</v>
      </c>
      <c r="O148" s="15"/>
      <c r="P148" s="39"/>
      <c r="Q148" s="39"/>
      <c r="R148" s="15"/>
      <c r="S148" s="899"/>
      <c r="T148" s="899"/>
      <c r="U148" s="39"/>
      <c r="V148" s="39"/>
      <c r="W148" s="39"/>
      <c r="X148" s="39"/>
      <c r="Y148" s="12"/>
      <c r="Z148" s="950">
        <f>SUM(Z138:Z145)-SUM(Z146:Z147)</f>
        <v>0</v>
      </c>
      <c r="AA148" s="15" t="s">
        <v>468</v>
      </c>
      <c r="AB148" s="67"/>
      <c r="AC148" s="995"/>
      <c r="AD148" s="1405"/>
      <c r="AE148" s="1405"/>
      <c r="AF148" s="1405"/>
      <c r="AG148" s="1405"/>
      <c r="AH148" s="1405"/>
      <c r="AI148" s="1405"/>
      <c r="AJ148" s="1405"/>
      <c r="AK148" s="1405"/>
      <c r="AL148" s="1405"/>
      <c r="AM148" s="1405"/>
      <c r="AN148" s="1405"/>
      <c r="AO148" s="1405"/>
      <c r="AP148" s="1405"/>
      <c r="AQ148" s="1405"/>
      <c r="AR148" s="1405"/>
      <c r="AS148" s="67"/>
      <c r="AT148" s="995"/>
      <c r="AU148" s="12"/>
      <c r="AV148" s="22" t="str">
        <f t="shared" si="60"/>
        <v>totaal</v>
      </c>
      <c r="AW148" s="46" t="str">
        <f t="shared" si="61"/>
        <v>totaal</v>
      </c>
      <c r="AX148" s="24"/>
      <c r="AY148" s="12"/>
      <c r="AZ148" s="12"/>
      <c r="BA148" s="12"/>
      <c r="BB148" s="12"/>
      <c r="BC148" s="899"/>
      <c r="BD148" s="899"/>
      <c r="BE148" s="899"/>
      <c r="BF148" s="899"/>
      <c r="BG148" s="15"/>
      <c r="BH148" s="15"/>
      <c r="BI148" s="899"/>
    </row>
    <row r="149" spans="1:61" s="49" customFormat="1">
      <c r="A149" s="212"/>
      <c r="B149" s="47" t="str">
        <f t="shared" si="59"/>
        <v>VABI NTA 8800</v>
      </c>
      <c r="C149" s="47" t="str">
        <f t="shared" si="59"/>
        <v>NTA 8800</v>
      </c>
      <c r="D149" s="943"/>
      <c r="E149" s="50"/>
      <c r="F149" s="452" t="str">
        <f>IFERROR(IF($P$23=$B149,_xlfn.CONCAT("Bij 1.1 ingevuld: ",FIXED($J$35,2,FALSE)," ",$K$35),""),"invoer niet correct")</f>
        <v>Bij 1.1 ingevuld: 50.00 kWh/m2 Ag</v>
      </c>
      <c r="G149" s="452"/>
      <c r="H149" s="452"/>
      <c r="I149" s="905"/>
      <c r="J149" s="909" t="str">
        <f>IFERROR(IF($P$23=$B149,IF(ABS((M149-$J$35)/$J$35)&gt;1%,"Afwijking &gt;1% met subthema 1.1",""),""),"invoer niet correct")</f>
        <v>Afwijking &gt;1% met subthema 1.1</v>
      </c>
      <c r="K149" s="909"/>
      <c r="L149" s="910"/>
      <c r="M149" s="1339">
        <f>IFERROR(IF($P$23=$B149,M148/$J$59,""),"")</f>
        <v>0</v>
      </c>
      <c r="N149" s="452" t="str">
        <f>IF($P$23=$B149,_xlfn.CONCAT(N148,"/m2"),"")</f>
        <v>kWh/m2</v>
      </c>
      <c r="O149" s="452"/>
      <c r="P149" s="39"/>
      <c r="Q149" s="39"/>
      <c r="R149" s="899"/>
      <c r="S149" s="899"/>
      <c r="T149" s="899"/>
      <c r="U149" s="39"/>
      <c r="V149" s="39"/>
      <c r="W149" s="910" t="str">
        <f>IFERROR(IF($P$23=$B149,_xlfn.CONCAT("Bij 1.1 ingevuld: ",FIXED($AG$40,1,FALSE)," ",$AH$40),""),"invoer niet correct")</f>
        <v>Bij 1.1 ingevuld: 0.0 kg/m2 Ag</v>
      </c>
      <c r="X149" s="909" t="str">
        <f>IFERROR(IF($P$23=$B149,IF(ABS((Z149-$AG$40)/$AG$40)&gt;1%,"afwijking &gt;1% met subthema 1.1",""),""),"invoer niet correct")</f>
        <v>invoer niet correct</v>
      </c>
      <c r="Y149" s="12"/>
      <c r="Z149" s="951">
        <f>IFERROR(IF($P$23=$B149,Z148/$J$58,""),"")</f>
        <v>0</v>
      </c>
      <c r="AA149" s="452" t="str">
        <f>IF($P$23=$B149,_xlfn.CONCAT(AA148,"/m2"),"")</f>
        <v>kg/m2</v>
      </c>
      <c r="AB149" s="1393"/>
      <c r="AC149" s="1001"/>
      <c r="AD149" s="1405"/>
      <c r="AE149" s="1405"/>
      <c r="AF149" s="1405"/>
      <c r="AG149" s="1405"/>
      <c r="AH149" s="1405"/>
      <c r="AI149" s="1405"/>
      <c r="AJ149" s="1405"/>
      <c r="AK149" s="1405"/>
      <c r="AL149" s="1405"/>
      <c r="AM149" s="1405"/>
      <c r="AN149" s="1405"/>
      <c r="AO149" s="1405"/>
      <c r="AP149" s="1405"/>
      <c r="AQ149" s="1405"/>
      <c r="AR149" s="1405"/>
      <c r="AS149" s="1393"/>
      <c r="AT149" s="1001"/>
      <c r="AU149" s="12"/>
      <c r="AV149" s="452"/>
      <c r="AW149" s="452"/>
      <c r="AX149" s="452"/>
      <c r="AY149" s="452"/>
      <c r="AZ149" s="452"/>
      <c r="BA149" s="452"/>
      <c r="BB149" s="452"/>
      <c r="BC149" s="452"/>
      <c r="BD149" s="452"/>
      <c r="BE149" s="452"/>
      <c r="BF149" s="452"/>
      <c r="BG149" s="452"/>
      <c r="BH149" s="452"/>
      <c r="BI149" s="899"/>
    </row>
    <row r="150" spans="1:61" s="49" customFormat="1">
      <c r="B150" s="47" t="str">
        <f>B149</f>
        <v>VABI NTA 8800</v>
      </c>
      <c r="C150" s="47" t="str">
        <f>C149</f>
        <v>NTA 8800</v>
      </c>
      <c r="D150" s="943"/>
      <c r="E150" s="50"/>
      <c r="F150" s="43"/>
      <c r="G150" s="43"/>
      <c r="H150" s="43"/>
      <c r="I150" s="905"/>
      <c r="J150" s="44"/>
      <c r="K150" s="44"/>
      <c r="L150" s="44"/>
      <c r="M150" s="917"/>
      <c r="N150" s="44"/>
      <c r="O150" s="44"/>
      <c r="P150" s="39"/>
      <c r="Q150" s="39"/>
      <c r="R150" s="899"/>
      <c r="S150" s="899"/>
      <c r="T150" s="899"/>
      <c r="U150" s="39"/>
      <c r="V150" s="39"/>
      <c r="W150" s="39"/>
      <c r="X150" s="39"/>
      <c r="Y150" s="12"/>
      <c r="Z150" s="899"/>
      <c r="AA150" s="899"/>
      <c r="AB150" s="1393"/>
      <c r="AC150" s="1001"/>
      <c r="AD150" s="1405"/>
      <c r="AE150" s="1405"/>
      <c r="AF150" s="1405"/>
      <c r="AG150" s="1405"/>
      <c r="AH150" s="1405"/>
      <c r="AI150" s="1405"/>
      <c r="AJ150" s="1405"/>
      <c r="AK150" s="1405"/>
      <c r="AL150" s="1405"/>
      <c r="AM150" s="1405"/>
      <c r="AN150" s="1405"/>
      <c r="AO150" s="1405"/>
      <c r="AP150" s="1405"/>
      <c r="AQ150" s="1405"/>
      <c r="AR150" s="1405"/>
      <c r="AS150" s="1393"/>
      <c r="AT150" s="1001"/>
      <c r="AU150" s="12"/>
      <c r="AV150" s="12"/>
      <c r="AW150" s="12"/>
      <c r="AX150" s="12"/>
      <c r="AY150" s="12"/>
      <c r="AZ150" s="44"/>
      <c r="BA150" s="12"/>
      <c r="BB150" s="44"/>
      <c r="BC150" s="899"/>
      <c r="BD150" s="899"/>
      <c r="BE150" s="899"/>
      <c r="BF150" s="899"/>
      <c r="BG150" s="899"/>
      <c r="BH150" s="899"/>
      <c r="BI150" s="899"/>
    </row>
    <row r="151" spans="1:61">
      <c r="A151" s="49"/>
      <c r="B151" s="939" t="str">
        <f>tabellen_EMD!$C$179</f>
        <v>Uniec 3 per functie</v>
      </c>
      <c r="C151" s="939" t="str">
        <f>VLOOKUP(B151,'EP naar GPR4'!$AV$40:$AY$48,COLUMNS($AV$40:$AX$40),FALSE)</f>
        <v>NTA 8800</v>
      </c>
      <c r="D151" s="943"/>
      <c r="E151" s="14"/>
      <c r="F151" s="15" t="str">
        <f>_xlfn.CONCAT("Overnemen uit '",B151,"': ",VLOOKUP(B151,$AV$41:$AZ$48,COLUMNS($AV$40:$AZ$40),FALSE))</f>
        <v>Overnemen uit 'Uniec 3 per functie': Jaarlijkse hoeveelheid energiegebruik voor de energiefunctie</v>
      </c>
      <c r="G151" s="15"/>
      <c r="H151" s="15"/>
      <c r="I151" s="905"/>
      <c r="J151" s="41"/>
      <c r="K151" s="41"/>
      <c r="L151" s="12"/>
      <c r="M151" s="909" t="s">
        <v>1485</v>
      </c>
      <c r="N151" s="41"/>
      <c r="O151" s="41"/>
      <c r="P151" s="453" t="s">
        <v>1487</v>
      </c>
      <c r="Q151" s="39"/>
      <c r="R151" s="39"/>
      <c r="S151" s="453" t="s">
        <v>1484</v>
      </c>
      <c r="T151" s="39"/>
      <c r="U151" s="39"/>
      <c r="V151" s="453" t="s">
        <v>1613</v>
      </c>
      <c r="W151" s="39"/>
      <c r="X151" s="39"/>
      <c r="Y151" s="12"/>
      <c r="Z151" s="453" t="s">
        <v>1536</v>
      </c>
      <c r="AA151" s="12"/>
      <c r="AB151" s="67"/>
      <c r="AC151" s="995"/>
      <c r="AD151" s="1405"/>
      <c r="AE151" s="1405"/>
      <c r="AF151" s="1405"/>
      <c r="AG151" s="1405"/>
      <c r="AH151" s="1405"/>
      <c r="AI151" s="1405"/>
      <c r="AJ151" s="1405"/>
      <c r="AK151" s="1405"/>
      <c r="AL151" s="1405"/>
      <c r="AM151" s="1405"/>
      <c r="AN151" s="1405"/>
      <c r="AO151" s="1405"/>
      <c r="AP151" s="1405"/>
      <c r="AQ151" s="1405"/>
      <c r="AR151" s="1405"/>
      <c r="AS151" s="67"/>
      <c r="AT151" s="995"/>
      <c r="AU151" s="12"/>
      <c r="AV151" s="12"/>
      <c r="AW151" s="12"/>
      <c r="AX151" s="12"/>
      <c r="AY151" s="12"/>
      <c r="AZ151" s="888" t="str">
        <f>AZ$63</f>
        <v>Eenheid energie</v>
      </c>
      <c r="BA151" s="888" t="s">
        <v>1628</v>
      </c>
      <c r="BB151" s="888" t="str">
        <f>BB$63</f>
        <v>PEF finaal → primair</v>
      </c>
      <c r="BC151" s="452"/>
      <c r="BD151" s="452" t="str">
        <f>BD$63</f>
        <v>eenheden omrekenen</v>
      </c>
      <c r="BE151" s="452"/>
      <c r="BF151" s="452"/>
      <c r="BG151" s="888" t="str">
        <f>BG$63</f>
        <v>CO2</v>
      </c>
      <c r="BH151" s="39"/>
      <c r="BI151" s="39"/>
    </row>
    <row r="152" spans="1:61">
      <c r="A152" s="49"/>
      <c r="B152" s="47" t="str">
        <f t="shared" ref="B152:C167" si="72">B151</f>
        <v>Uniec 3 per functie</v>
      </c>
      <c r="C152" s="47" t="str">
        <f t="shared" si="72"/>
        <v>NTA 8800</v>
      </c>
      <c r="D152" s="943"/>
      <c r="E152" s="14"/>
      <c r="F152" s="892" t="s">
        <v>496</v>
      </c>
      <c r="G152" s="892"/>
      <c r="H152" s="892"/>
      <c r="I152" s="905"/>
      <c r="J152" s="909" t="s">
        <v>458</v>
      </c>
      <c r="K152" s="909"/>
      <c r="L152" s="889"/>
      <c r="M152" s="910" t="s">
        <v>1534</v>
      </c>
      <c r="N152" s="452" t="s">
        <v>204</v>
      </c>
      <c r="O152" s="39"/>
      <c r="P152" s="888" t="s">
        <v>1533</v>
      </c>
      <c r="Q152" s="910" t="s">
        <v>1532</v>
      </c>
      <c r="R152" s="452"/>
      <c r="S152" s="888" t="s">
        <v>1534</v>
      </c>
      <c r="T152" s="889" t="s">
        <v>204</v>
      </c>
      <c r="U152" s="39"/>
      <c r="V152" s="888" t="s">
        <v>1533</v>
      </c>
      <c r="W152" s="910" t="s">
        <v>1532</v>
      </c>
      <c r="X152" s="889" t="s">
        <v>204</v>
      </c>
      <c r="Y152" s="12"/>
      <c r="Z152" s="888" t="s">
        <v>1534</v>
      </c>
      <c r="AA152" s="889" t="s">
        <v>204</v>
      </c>
      <c r="AB152" s="67"/>
      <c r="AC152" s="995"/>
      <c r="AD152" s="1405"/>
      <c r="AE152" s="1405"/>
      <c r="AF152" s="1405"/>
      <c r="AG152" s="1405"/>
      <c r="AH152" s="1405"/>
      <c r="AI152" s="1405"/>
      <c r="AJ152" s="1405"/>
      <c r="AK152" s="1405"/>
      <c r="AL152" s="1405"/>
      <c r="AM152" s="1405"/>
      <c r="AN152" s="1405"/>
      <c r="AO152" s="1405"/>
      <c r="AP152" s="1405"/>
      <c r="AQ152" s="1405"/>
      <c r="AR152" s="1405"/>
      <c r="AS152" s="67"/>
      <c r="AT152" s="995"/>
      <c r="AU152" s="12"/>
      <c r="AV152" s="892" t="str">
        <f t="shared" ref="AV152:AV166" si="73">F152</f>
        <v>energiefunctie</v>
      </c>
      <c r="AW152" s="452" t="str">
        <f t="shared" ref="AW152:AW166" si="74">J152</f>
        <v>energiedrager</v>
      </c>
      <c r="AX152" s="910"/>
      <c r="AY152" s="12"/>
      <c r="AZ152" s="888" t="str">
        <f>AZ$64</f>
        <v>pos/neg</v>
      </c>
      <c r="BA152" s="888"/>
      <c r="BB152" s="888" t="str">
        <f>BB$64</f>
        <v>default</v>
      </c>
      <c r="BC152" s="452"/>
      <c r="BD152" s="452" t="str">
        <f>BD$64</f>
        <v>waarde</v>
      </c>
      <c r="BE152" s="452" t="str">
        <f>BE$64</f>
        <v>eenheden</v>
      </c>
      <c r="BF152" s="452"/>
      <c r="BG152" s="888" t="str">
        <f>BG$64</f>
        <v>default</v>
      </c>
      <c r="BH152" s="888" t="str">
        <f>BH$64</f>
        <v>eenheid</v>
      </c>
      <c r="BI152" s="452"/>
    </row>
    <row r="153" spans="1:61">
      <c r="A153" s="86"/>
      <c r="B153" s="47" t="str">
        <f>B156</f>
        <v>Uniec 3 per functie</v>
      </c>
      <c r="C153" s="47" t="str">
        <f>C156</f>
        <v>NTA 8800</v>
      </c>
      <c r="D153" s="943"/>
      <c r="E153" s="14"/>
      <c r="F153" s="22" t="s">
        <v>1508</v>
      </c>
      <c r="G153" s="22"/>
      <c r="H153" s="22"/>
      <c r="I153" s="905"/>
      <c r="J153" s="1685"/>
      <c r="K153" s="1685"/>
      <c r="L153" s="16"/>
      <c r="M153" s="25"/>
      <c r="N153" s="22" t="str">
        <f>INDEX(EP_methode_eenheid,1,MATCH($C153,EP_methode,0))</f>
        <v>kWh</v>
      </c>
      <c r="O153" s="15"/>
      <c r="P153" s="154"/>
      <c r="Q153" s="59">
        <f t="shared" ref="Q153:Q161" si="75">IFERROR(IF(AND(P153&lt;&gt;"",$BA153=1),P153,BB153),1)</f>
        <v>1</v>
      </c>
      <c r="R153" s="15"/>
      <c r="S153" s="59">
        <f t="shared" ref="S153:S161" si="76">M153/Q153/BD153</f>
        <v>0</v>
      </c>
      <c r="T153" s="47" t="str">
        <f>IFERROR(INDEX(energiedragers_EP_eenheden,MATCH($J153,tabellen_EMD!$C$196:$C$204,0),MATCH($B153,energiedragers_EP_eenheden_titel,0)),"-")</f>
        <v>-</v>
      </c>
      <c r="U153" s="213" t="s">
        <v>396</v>
      </c>
      <c r="V153" s="154"/>
      <c r="W153" s="59">
        <f t="shared" ref="W153:W161" si="77">IF(AND(V153&lt;&gt;"",$BA153=1),V153,BG153)</f>
        <v>0</v>
      </c>
      <c r="X153" s="47" t="str">
        <f t="shared" ref="X153:X165" si="78">BH153</f>
        <v>kg/-</v>
      </c>
      <c r="Y153" s="12"/>
      <c r="Z153" s="24">
        <f t="shared" ref="Z153:Z161" si="79">S153*W153*ABS(AZ153)</f>
        <v>0</v>
      </c>
      <c r="AA153" s="47" t="s">
        <v>468</v>
      </c>
      <c r="AB153" s="67"/>
      <c r="AC153" s="995"/>
      <c r="AD153" s="1405"/>
      <c r="AE153" s="1405"/>
      <c r="AF153" s="1405"/>
      <c r="AG153" s="1405"/>
      <c r="AH153" s="1405"/>
      <c r="AI153" s="1405"/>
      <c r="AJ153" s="1405"/>
      <c r="AK153" s="1405"/>
      <c r="AL153" s="1405"/>
      <c r="AM153" s="1405"/>
      <c r="AN153" s="1405"/>
      <c r="AO153" s="1405"/>
      <c r="AP153" s="1405"/>
      <c r="AQ153" s="1405"/>
      <c r="AR153" s="1405"/>
      <c r="AS153" s="67"/>
      <c r="AT153" s="995"/>
      <c r="AU153" s="12"/>
      <c r="AV153" s="22" t="str">
        <f t="shared" si="73"/>
        <v>koeling (excl. hulpenergie)</v>
      </c>
      <c r="AW153" s="46">
        <f t="shared" si="74"/>
        <v>0</v>
      </c>
      <c r="AX153" s="24"/>
      <c r="AY153" s="12"/>
      <c r="AZ153" s="115">
        <v>1</v>
      </c>
      <c r="BA153" s="24">
        <f>IFERROR(INDEX(tabellen_EMD!$C$185:$N$193,MATCH($J153,tabellen_EMD!$C$185:$C$193,0),MATCH(BA$63,tabellen_EMD!$C$185:$N$185,0)),0)</f>
        <v>0</v>
      </c>
      <c r="BB153" s="115" t="e">
        <f t="shared" ref="BB153:BB165" si="80">VLOOKUP($J153,energiedragers_EP_PEF,MATCH(_xlfn.CONCAT($C153," | PEF"),energiedragers_EP_PEF_titel,0),FALSE)</f>
        <v>#N/A</v>
      </c>
      <c r="BC153" s="15"/>
      <c r="BD153" s="115">
        <f t="shared" ref="BD153:BD161" si="81">IFERROR(VLOOKUP($J153,energiedragers_EP_omrekenen,MATCH($B153,energiedragers_EP_omrekenen_titel,0),FALSE),1)</f>
        <v>1</v>
      </c>
      <c r="BE153" s="47" t="str">
        <f t="shared" ref="BE153:BE161" si="82">_xlfn.CONCAT(N153,"/",T153)</f>
        <v>kWh/-</v>
      </c>
      <c r="BF153" s="15"/>
      <c r="BG153" s="218">
        <f>IFERROR(INDEX(tabellen_EMD!$C$240:$Z$248,MATCH($J153,tabellen_EMD!$C$240:$C$248,0),MATCH($B153,tabellen_EMD!$C$240:$Z$240,0))*(F153&lt;&gt;"zomercomfort"),0)</f>
        <v>0</v>
      </c>
      <c r="BH153" s="47" t="str">
        <f t="shared" ref="BH153:BH161" si="83">"kg/"&amp;T153</f>
        <v>kg/-</v>
      </c>
      <c r="BI153" s="15"/>
    </row>
    <row r="154" spans="1:61">
      <c r="A154" s="86"/>
      <c r="B154" s="47" t="str">
        <f>B153</f>
        <v>Uniec 3 per functie</v>
      </c>
      <c r="C154" s="47" t="str">
        <f>C153</f>
        <v>NTA 8800</v>
      </c>
      <c r="D154" s="943"/>
      <c r="E154" s="14"/>
      <c r="F154" s="209" t="s">
        <v>1502</v>
      </c>
      <c r="G154" s="209"/>
      <c r="H154" s="209"/>
      <c r="I154" s="905"/>
      <c r="J154" s="1691" t="s">
        <v>465</v>
      </c>
      <c r="K154" s="1698"/>
      <c r="L154" s="16"/>
      <c r="M154" s="25"/>
      <c r="N154" s="22" t="str">
        <f>INDEX(EP_methode_eenheid,1,MATCH($C154,EP_methode,0))</f>
        <v>kWh</v>
      </c>
      <c r="O154" s="15"/>
      <c r="P154" s="39"/>
      <c r="Q154" s="59">
        <f t="shared" si="75"/>
        <v>1.45</v>
      </c>
      <c r="R154" s="15"/>
      <c r="S154" s="24">
        <f t="shared" si="76"/>
        <v>0</v>
      </c>
      <c r="T154" s="47" t="str">
        <f>IFERROR(INDEX(energiedragers_EP_eenheden,MATCH($J154,tabellen_EMD!$C$196:$C$204,0),MATCH($B154,energiedragers_EP_eenheden_titel,0)),"-")</f>
        <v>kWh</v>
      </c>
      <c r="U154" s="39"/>
      <c r="V154" s="15"/>
      <c r="W154" s="59">
        <f t="shared" si="77"/>
        <v>0.34</v>
      </c>
      <c r="X154" s="47" t="str">
        <f t="shared" si="78"/>
        <v>kg/kWh</v>
      </c>
      <c r="Y154" s="12"/>
      <c r="Z154" s="24">
        <f t="shared" si="79"/>
        <v>0</v>
      </c>
      <c r="AA154" s="47" t="s">
        <v>468</v>
      </c>
      <c r="AB154" s="67"/>
      <c r="AC154" s="995"/>
      <c r="AD154" s="1405"/>
      <c r="AE154" s="1405"/>
      <c r="AF154" s="1405"/>
      <c r="AG154" s="1405"/>
      <c r="AH154" s="1405"/>
      <c r="AI154" s="1405"/>
      <c r="AJ154" s="1405"/>
      <c r="AK154" s="1405"/>
      <c r="AL154" s="1405"/>
      <c r="AM154" s="1405"/>
      <c r="AN154" s="1405"/>
      <c r="AO154" s="1405"/>
      <c r="AP154" s="1405"/>
      <c r="AQ154" s="1405"/>
      <c r="AR154" s="1405"/>
      <c r="AS154" s="67"/>
      <c r="AT154" s="995"/>
      <c r="AU154" s="12"/>
      <c r="AV154" s="22" t="str">
        <f t="shared" si="73"/>
        <v>hulpenergie</v>
      </c>
      <c r="AW154" s="46" t="str">
        <f t="shared" si="74"/>
        <v>elektriciteit</v>
      </c>
      <c r="AX154" s="24"/>
      <c r="AY154" s="12"/>
      <c r="AZ154" s="115">
        <v>1</v>
      </c>
      <c r="BA154" s="24">
        <f>IFERROR(INDEX(tabellen_EMD!$C$185:$N$193,MATCH($J154,tabellen_EMD!$C$185:$C$193,0),MATCH(BA$63,tabellen_EMD!$C$185:$N$185,0)),0)</f>
        <v>0</v>
      </c>
      <c r="BB154" s="115">
        <f t="shared" si="80"/>
        <v>1.45</v>
      </c>
      <c r="BC154" s="15"/>
      <c r="BD154" s="115">
        <f t="shared" si="81"/>
        <v>1</v>
      </c>
      <c r="BE154" s="47" t="str">
        <f t="shared" si="82"/>
        <v>kWh/kWh</v>
      </c>
      <c r="BF154" s="15"/>
      <c r="BG154" s="218">
        <f>IFERROR(INDEX(tabellen_EMD!$C$240:$Z$248,MATCH($J154,tabellen_EMD!$C$240:$C$248,0),MATCH($B154,tabellen_EMD!$C$240:$Z$240,0))*(F154&lt;&gt;"zomercomfort"),0)</f>
        <v>0.34</v>
      </c>
      <c r="BH154" s="47" t="str">
        <f t="shared" si="83"/>
        <v>kg/kWh</v>
      </c>
      <c r="BI154" s="15"/>
    </row>
    <row r="155" spans="1:61">
      <c r="A155" s="86"/>
      <c r="B155" s="47" t="str">
        <f>B158</f>
        <v>Uniec 3 per functie</v>
      </c>
      <c r="C155" s="47" t="str">
        <f>C158</f>
        <v>NTA 8800</v>
      </c>
      <c r="D155" s="943"/>
      <c r="E155" s="14"/>
      <c r="F155" s="22" t="s">
        <v>1507</v>
      </c>
      <c r="G155" s="22"/>
      <c r="H155" s="22"/>
      <c r="I155" s="905"/>
      <c r="J155" s="1685"/>
      <c r="K155" s="1685"/>
      <c r="L155" s="16"/>
      <c r="M155" s="25"/>
      <c r="N155" s="22" t="str">
        <f>INDEX(EP_methode_eenheid,1,MATCH($C155,EP_methode,0))</f>
        <v>kWh</v>
      </c>
      <c r="O155" s="15"/>
      <c r="P155" s="154"/>
      <c r="Q155" s="59">
        <f t="shared" si="75"/>
        <v>1</v>
      </c>
      <c r="R155" s="15"/>
      <c r="S155" s="24">
        <f t="shared" si="76"/>
        <v>0</v>
      </c>
      <c r="T155" s="47" t="str">
        <f>IFERROR(INDEX(energiedragers_EP_eenheden,MATCH($J155,tabellen_EMD!$C$196:$C$204,0),MATCH($B155,energiedragers_EP_eenheden_titel,0)),"-")</f>
        <v>-</v>
      </c>
      <c r="U155" s="39"/>
      <c r="V155" s="154"/>
      <c r="W155" s="59">
        <f t="shared" si="77"/>
        <v>0</v>
      </c>
      <c r="X155" s="47" t="str">
        <f t="shared" si="78"/>
        <v>kg/-</v>
      </c>
      <c r="Y155" s="12"/>
      <c r="Z155" s="24">
        <f t="shared" si="79"/>
        <v>0</v>
      </c>
      <c r="AA155" s="47" t="s">
        <v>468</v>
      </c>
      <c r="AB155" s="67"/>
      <c r="AC155" s="995"/>
      <c r="AD155" s="1405"/>
      <c r="AE155" s="1405"/>
      <c r="AF155" s="1405"/>
      <c r="AG155" s="1405"/>
      <c r="AH155" s="1405"/>
      <c r="AI155" s="1405"/>
      <c r="AJ155" s="1405"/>
      <c r="AK155" s="1405"/>
      <c r="AL155" s="1405"/>
      <c r="AM155" s="1405"/>
      <c r="AN155" s="1405"/>
      <c r="AO155" s="1405"/>
      <c r="AP155" s="1405"/>
      <c r="AQ155" s="1405"/>
      <c r="AR155" s="1405"/>
      <c r="AS155" s="67"/>
      <c r="AT155" s="995"/>
      <c r="AU155" s="12"/>
      <c r="AV155" s="22" t="str">
        <f t="shared" si="73"/>
        <v>warm tapwater (excl. hulpenergie)</v>
      </c>
      <c r="AW155" s="46">
        <f t="shared" si="74"/>
        <v>0</v>
      </c>
      <c r="AX155" s="24"/>
      <c r="AY155" s="12"/>
      <c r="AZ155" s="115">
        <v>1</v>
      </c>
      <c r="BA155" s="24">
        <f>IFERROR(INDEX(tabellen_EMD!$C$185:$N$193,MATCH($J155,tabellen_EMD!$C$185:$C$193,0),MATCH(BA$63,tabellen_EMD!$C$185:$N$185,0)),0)</f>
        <v>0</v>
      </c>
      <c r="BB155" s="115" t="e">
        <f t="shared" si="80"/>
        <v>#N/A</v>
      </c>
      <c r="BC155" s="15"/>
      <c r="BD155" s="115">
        <f t="shared" si="81"/>
        <v>1</v>
      </c>
      <c r="BE155" s="47" t="str">
        <f t="shared" si="82"/>
        <v>kWh/-</v>
      </c>
      <c r="BF155" s="15"/>
      <c r="BG155" s="218">
        <f>IFERROR(INDEX(tabellen_EMD!$C$240:$Z$248,MATCH($J155,tabellen_EMD!$C$240:$C$248,0),MATCH($B155,tabellen_EMD!$C$240:$Z$240,0))*(F155&lt;&gt;"zomercomfort"),0)</f>
        <v>0</v>
      </c>
      <c r="BH155" s="47" t="str">
        <f t="shared" si="83"/>
        <v>kg/-</v>
      </c>
      <c r="BI155" s="15"/>
    </row>
    <row r="156" spans="1:61">
      <c r="A156" s="86"/>
      <c r="B156" s="47" t="str">
        <f>B155</f>
        <v>Uniec 3 per functie</v>
      </c>
      <c r="C156" s="47" t="str">
        <f>C155</f>
        <v>NTA 8800</v>
      </c>
      <c r="D156" s="943"/>
      <c r="E156" s="14"/>
      <c r="F156" s="209" t="s">
        <v>1502</v>
      </c>
      <c r="G156" s="209"/>
      <c r="H156" s="209"/>
      <c r="I156" s="905"/>
      <c r="J156" s="1691" t="s">
        <v>465</v>
      </c>
      <c r="K156" s="1698"/>
      <c r="L156" s="16"/>
      <c r="M156" s="25"/>
      <c r="N156" s="22" t="str">
        <f>INDEX(EP_methode_eenheid,1,MATCH($C156,EP_methode,0))</f>
        <v>kWh</v>
      </c>
      <c r="O156" s="15"/>
      <c r="P156" s="39"/>
      <c r="Q156" s="59">
        <f t="shared" si="75"/>
        <v>1.45</v>
      </c>
      <c r="R156" s="15"/>
      <c r="S156" s="24">
        <f t="shared" si="76"/>
        <v>0</v>
      </c>
      <c r="T156" s="47" t="str">
        <f>IFERROR(INDEX(energiedragers_EP_eenheden,MATCH($J156,tabellen_EMD!$C$196:$C$204,0),MATCH($B156,energiedragers_EP_eenheden_titel,0)),"-")</f>
        <v>kWh</v>
      </c>
      <c r="U156" s="39"/>
      <c r="V156" s="15"/>
      <c r="W156" s="59">
        <f t="shared" si="77"/>
        <v>0.34</v>
      </c>
      <c r="X156" s="47" t="str">
        <f t="shared" si="78"/>
        <v>kg/kWh</v>
      </c>
      <c r="Y156" s="12"/>
      <c r="Z156" s="24">
        <f t="shared" si="79"/>
        <v>0</v>
      </c>
      <c r="AA156" s="47" t="s">
        <v>468</v>
      </c>
      <c r="AB156" s="67"/>
      <c r="AC156" s="995"/>
      <c r="AD156" s="1405"/>
      <c r="AE156" s="1405"/>
      <c r="AF156" s="1405"/>
      <c r="AG156" s="1405"/>
      <c r="AH156" s="1405"/>
      <c r="AI156" s="1405"/>
      <c r="AJ156" s="1405"/>
      <c r="AK156" s="1405"/>
      <c r="AL156" s="1405"/>
      <c r="AM156" s="1405"/>
      <c r="AN156" s="1405"/>
      <c r="AO156" s="1405"/>
      <c r="AP156" s="1405"/>
      <c r="AQ156" s="1405"/>
      <c r="AR156" s="1405"/>
      <c r="AS156" s="67"/>
      <c r="AT156" s="995"/>
      <c r="AU156" s="12"/>
      <c r="AV156" s="22" t="str">
        <f t="shared" si="73"/>
        <v>hulpenergie</v>
      </c>
      <c r="AW156" s="46" t="str">
        <f t="shared" si="74"/>
        <v>elektriciteit</v>
      </c>
      <c r="AX156" s="24"/>
      <c r="AY156" s="12"/>
      <c r="AZ156" s="115">
        <v>1</v>
      </c>
      <c r="BA156" s="24">
        <f>IFERROR(INDEX(tabellen_EMD!$C$185:$N$193,MATCH($J156,tabellen_EMD!$C$185:$C$193,0),MATCH(BA$63,tabellen_EMD!$C$185:$N$185,0)),0)</f>
        <v>0</v>
      </c>
      <c r="BB156" s="115">
        <f t="shared" si="80"/>
        <v>1.45</v>
      </c>
      <c r="BC156" s="15"/>
      <c r="BD156" s="115">
        <f t="shared" si="81"/>
        <v>1</v>
      </c>
      <c r="BE156" s="47" t="str">
        <f t="shared" si="82"/>
        <v>kWh/kWh</v>
      </c>
      <c r="BF156" s="15"/>
      <c r="BG156" s="218">
        <f>IFERROR(INDEX(tabellen_EMD!$C$240:$Z$248,MATCH($J156,tabellen_EMD!$C$240:$C$248,0),MATCH($B156,tabellen_EMD!$C$240:$Z$240,0))*(F156&lt;&gt;"zomercomfort"),0)</f>
        <v>0.34</v>
      </c>
      <c r="BH156" s="47" t="str">
        <f t="shared" si="83"/>
        <v>kg/kWh</v>
      </c>
      <c r="BI156" s="15"/>
    </row>
    <row r="157" spans="1:61">
      <c r="A157" s="86"/>
      <c r="B157" s="47" t="str">
        <f>B152</f>
        <v>Uniec 3 per functie</v>
      </c>
      <c r="C157" s="47" t="str">
        <f>C152</f>
        <v>NTA 8800</v>
      </c>
      <c r="D157" s="943"/>
      <c r="E157" s="14"/>
      <c r="F157" s="22" t="s">
        <v>1506</v>
      </c>
      <c r="G157" s="22"/>
      <c r="H157" s="22"/>
      <c r="I157" s="905"/>
      <c r="J157" s="1685"/>
      <c r="K157" s="1685"/>
      <c r="L157" s="16"/>
      <c r="M157" s="25"/>
      <c r="N157" s="22" t="str">
        <f t="shared" ref="N157:N166" si="84">INDEX(EP_methode_eenheid,1,MATCH($C157,EP_methode,0))</f>
        <v>kWh</v>
      </c>
      <c r="O157" s="15"/>
      <c r="P157" s="154"/>
      <c r="Q157" s="59">
        <f t="shared" si="75"/>
        <v>1</v>
      </c>
      <c r="R157" s="15"/>
      <c r="S157" s="24">
        <f t="shared" si="76"/>
        <v>0</v>
      </c>
      <c r="T157" s="47" t="str">
        <f>IFERROR(INDEX(energiedragers_EP_eenheden,MATCH($J157,tabellen_EMD!$C$196:$C$204,0),MATCH($B157,energiedragers_EP_eenheden_titel,0)),"-")</f>
        <v>-</v>
      </c>
      <c r="U157" s="39"/>
      <c r="V157" s="154"/>
      <c r="W157" s="59">
        <f t="shared" si="77"/>
        <v>0</v>
      </c>
      <c r="X157" s="47" t="str">
        <f t="shared" si="78"/>
        <v>kg/-</v>
      </c>
      <c r="Y157" s="12"/>
      <c r="Z157" s="24">
        <f t="shared" si="79"/>
        <v>0</v>
      </c>
      <c r="AA157" s="47" t="s">
        <v>468</v>
      </c>
      <c r="AB157" s="67"/>
      <c r="AC157" s="995"/>
      <c r="AD157" s="1405"/>
      <c r="AE157" s="1405"/>
      <c r="AF157" s="1405"/>
      <c r="AG157" s="1405"/>
      <c r="AH157" s="1405"/>
      <c r="AI157" s="1405"/>
      <c r="AJ157" s="1405"/>
      <c r="AK157" s="1405"/>
      <c r="AL157" s="1405"/>
      <c r="AM157" s="1405"/>
      <c r="AN157" s="1405"/>
      <c r="AO157" s="1405"/>
      <c r="AP157" s="1405"/>
      <c r="AQ157" s="1405"/>
      <c r="AR157" s="1405"/>
      <c r="AS157" s="67"/>
      <c r="AT157" s="995"/>
      <c r="AU157" s="12"/>
      <c r="AV157" s="22" t="str">
        <f t="shared" si="73"/>
        <v>verwarming (excl. hulpenergie)</v>
      </c>
      <c r="AW157" s="46">
        <f t="shared" si="74"/>
        <v>0</v>
      </c>
      <c r="AX157" s="24"/>
      <c r="AY157" s="12"/>
      <c r="AZ157" s="115">
        <v>1</v>
      </c>
      <c r="BA157" s="24">
        <f>IFERROR(INDEX(tabellen_EMD!$C$185:$N$193,MATCH($J157,tabellen_EMD!$C$185:$C$193,0),MATCH(BA$63,tabellen_EMD!$C$185:$N$185,0)),0)</f>
        <v>0</v>
      </c>
      <c r="BB157" s="115" t="e">
        <f t="shared" si="80"/>
        <v>#N/A</v>
      </c>
      <c r="BC157" s="15"/>
      <c r="BD157" s="115">
        <f t="shared" si="81"/>
        <v>1</v>
      </c>
      <c r="BE157" s="47" t="str">
        <f t="shared" si="82"/>
        <v>kWh/-</v>
      </c>
      <c r="BF157" s="15"/>
      <c r="BG157" s="218">
        <f>IFERROR(INDEX(tabellen_EMD!$C$240:$Z$248,MATCH($J157,tabellen_EMD!$C$240:$C$248,0),MATCH($B157,tabellen_EMD!$C$240:$Z$240,0))*(F157&lt;&gt;"zomercomfort"),0)</f>
        <v>0</v>
      </c>
      <c r="BH157" s="47" t="str">
        <f t="shared" si="83"/>
        <v>kg/-</v>
      </c>
      <c r="BI157" s="15"/>
    </row>
    <row r="158" spans="1:61">
      <c r="A158" s="49"/>
      <c r="B158" s="47" t="str">
        <f t="shared" si="72"/>
        <v>Uniec 3 per functie</v>
      </c>
      <c r="C158" s="47" t="str">
        <f t="shared" si="72"/>
        <v>NTA 8800</v>
      </c>
      <c r="D158" s="943"/>
      <c r="E158" s="14"/>
      <c r="F158" s="209" t="s">
        <v>1502</v>
      </c>
      <c r="G158" s="209"/>
      <c r="H158" s="209"/>
      <c r="I158" s="905"/>
      <c r="J158" s="1691" t="s">
        <v>465</v>
      </c>
      <c r="K158" s="1698"/>
      <c r="L158" s="16"/>
      <c r="M158" s="25"/>
      <c r="N158" s="22" t="str">
        <f t="shared" si="84"/>
        <v>kWh</v>
      </c>
      <c r="O158" s="15"/>
      <c r="P158" s="39"/>
      <c r="Q158" s="59">
        <f t="shared" si="75"/>
        <v>1.45</v>
      </c>
      <c r="R158" s="15"/>
      <c r="S158" s="24">
        <f t="shared" si="76"/>
        <v>0</v>
      </c>
      <c r="T158" s="47" t="str">
        <f>IFERROR(INDEX(energiedragers_EP_eenheden,MATCH($J158,tabellen_EMD!$C$196:$C$204,0),MATCH($B158,energiedragers_EP_eenheden_titel,0)),"-")</f>
        <v>kWh</v>
      </c>
      <c r="U158" s="39"/>
      <c r="V158" s="15"/>
      <c r="W158" s="59">
        <f t="shared" si="77"/>
        <v>0.34</v>
      </c>
      <c r="X158" s="47" t="str">
        <f t="shared" si="78"/>
        <v>kg/kWh</v>
      </c>
      <c r="Y158" s="12"/>
      <c r="Z158" s="24">
        <f t="shared" si="79"/>
        <v>0</v>
      </c>
      <c r="AA158" s="47" t="s">
        <v>468</v>
      </c>
      <c r="AB158" s="67"/>
      <c r="AC158" s="995"/>
      <c r="AD158" s="1405"/>
      <c r="AE158" s="1405"/>
      <c r="AF158" s="1405"/>
      <c r="AG158" s="1405"/>
      <c r="AH158" s="1405"/>
      <c r="AI158" s="1405"/>
      <c r="AJ158" s="1405"/>
      <c r="AK158" s="1405"/>
      <c r="AL158" s="1405"/>
      <c r="AM158" s="1405"/>
      <c r="AN158" s="1405"/>
      <c r="AO158" s="1405"/>
      <c r="AP158" s="1405"/>
      <c r="AQ158" s="1405"/>
      <c r="AR158" s="1405"/>
      <c r="AS158" s="67"/>
      <c r="AT158" s="995"/>
      <c r="AU158" s="12"/>
      <c r="AV158" s="22" t="str">
        <f t="shared" si="73"/>
        <v>hulpenergie</v>
      </c>
      <c r="AW158" s="46" t="str">
        <f t="shared" si="74"/>
        <v>elektriciteit</v>
      </c>
      <c r="AX158" s="24"/>
      <c r="AY158" s="12"/>
      <c r="AZ158" s="115">
        <v>1</v>
      </c>
      <c r="BA158" s="24">
        <f>IFERROR(INDEX(tabellen_EMD!$C$185:$N$193,MATCH($J158,tabellen_EMD!$C$185:$C$193,0),MATCH(BA$63,tabellen_EMD!$C$185:$N$185,0)),0)</f>
        <v>0</v>
      </c>
      <c r="BB158" s="115">
        <f t="shared" si="80"/>
        <v>1.45</v>
      </c>
      <c r="BC158" s="15"/>
      <c r="BD158" s="115">
        <f t="shared" si="81"/>
        <v>1</v>
      </c>
      <c r="BE158" s="47" t="str">
        <f t="shared" si="82"/>
        <v>kWh/kWh</v>
      </c>
      <c r="BF158" s="15"/>
      <c r="BG158" s="218">
        <f>IFERROR(INDEX(tabellen_EMD!$C$240:$Z$248,MATCH($J158,tabellen_EMD!$C$240:$C$248,0),MATCH($B158,tabellen_EMD!$C$240:$Z$240,0))*(F158&lt;&gt;"zomercomfort"),0)</f>
        <v>0.34</v>
      </c>
      <c r="BH158" s="47" t="str">
        <f t="shared" si="83"/>
        <v>kg/kWh</v>
      </c>
      <c r="BI158" s="15"/>
    </row>
    <row r="159" spans="1:61">
      <c r="A159" s="18"/>
      <c r="B159" s="47" t="str">
        <f>B154</f>
        <v>Uniec 3 per functie</v>
      </c>
      <c r="C159" s="47" t="str">
        <f>C154</f>
        <v>NTA 8800</v>
      </c>
      <c r="D159" s="943"/>
      <c r="E159" s="14"/>
      <c r="F159" s="22" t="s">
        <v>1396</v>
      </c>
      <c r="G159" s="22"/>
      <c r="H159" s="22"/>
      <c r="I159" s="905"/>
      <c r="J159" s="1691" t="s">
        <v>465</v>
      </c>
      <c r="K159" s="1698"/>
      <c r="L159" s="16"/>
      <c r="M159" s="25"/>
      <c r="N159" s="22" t="str">
        <f t="shared" si="84"/>
        <v>kWh</v>
      </c>
      <c r="O159" s="15"/>
      <c r="P159" s="39"/>
      <c r="Q159" s="59">
        <f t="shared" si="75"/>
        <v>1.45</v>
      </c>
      <c r="R159" s="15"/>
      <c r="S159" s="24">
        <f t="shared" si="76"/>
        <v>0</v>
      </c>
      <c r="T159" s="47" t="str">
        <f>IFERROR(INDEX(energiedragers_EP_eenheden,MATCH($J159,tabellen_EMD!$C$196:$C$204,0),MATCH($B159,energiedragers_EP_eenheden_titel,0)),"-")</f>
        <v>kWh</v>
      </c>
      <c r="U159" s="39"/>
      <c r="V159" s="15"/>
      <c r="W159" s="59">
        <f t="shared" si="77"/>
        <v>0</v>
      </c>
      <c r="X159" s="47" t="str">
        <f t="shared" si="78"/>
        <v>kg/kWh</v>
      </c>
      <c r="Y159" s="12"/>
      <c r="Z159" s="24">
        <f t="shared" si="79"/>
        <v>0</v>
      </c>
      <c r="AA159" s="47" t="s">
        <v>468</v>
      </c>
      <c r="AB159" s="67"/>
      <c r="AC159" s="995"/>
      <c r="AD159" s="1405"/>
      <c r="AE159" s="1405"/>
      <c r="AF159" s="1405"/>
      <c r="AG159" s="1405"/>
      <c r="AH159" s="1405"/>
      <c r="AI159" s="1405"/>
      <c r="AJ159" s="1405"/>
      <c r="AK159" s="1405"/>
      <c r="AL159" s="1405"/>
      <c r="AM159" s="1405"/>
      <c r="AN159" s="1405"/>
      <c r="AO159" s="1405"/>
      <c r="AP159" s="1405"/>
      <c r="AQ159" s="1405"/>
      <c r="AR159" s="1405"/>
      <c r="AS159" s="67"/>
      <c r="AT159" s="995"/>
      <c r="AU159" s="12"/>
      <c r="AV159" s="22" t="str">
        <f t="shared" si="73"/>
        <v>zomercomfort</v>
      </c>
      <c r="AW159" s="46" t="str">
        <f t="shared" si="74"/>
        <v>elektriciteit</v>
      </c>
      <c r="AX159" s="24"/>
      <c r="AY159" s="12"/>
      <c r="AZ159" s="115">
        <v>1</v>
      </c>
      <c r="BA159" s="24">
        <f>IFERROR(INDEX(tabellen_EMD!$C$185:$N$193,MATCH($J159,tabellen_EMD!$C$185:$C$193,0),MATCH(BA$63,tabellen_EMD!$C$185:$N$185,0)),0)</f>
        <v>0</v>
      </c>
      <c r="BB159" s="115">
        <f t="shared" si="80"/>
        <v>1.45</v>
      </c>
      <c r="BC159" s="15"/>
      <c r="BD159" s="115">
        <f t="shared" si="81"/>
        <v>1</v>
      </c>
      <c r="BE159" s="47" t="str">
        <f t="shared" si="82"/>
        <v>kWh/kWh</v>
      </c>
      <c r="BF159" s="15"/>
      <c r="BG159" s="218">
        <f>IFERROR(INDEX(tabellen_EMD!$C$240:$Z$248,MATCH($J159,tabellen_EMD!$C$240:$C$248,0),MATCH($B159,tabellen_EMD!$C$240:$Z$240,0))*(F159&lt;&gt;"zomercomfort"),0)</f>
        <v>0</v>
      </c>
      <c r="BH159" s="47" t="str">
        <f t="shared" si="83"/>
        <v>kg/kWh</v>
      </c>
      <c r="BI159" s="15"/>
    </row>
    <row r="160" spans="1:61">
      <c r="A160" s="18"/>
      <c r="B160" s="47" t="str">
        <f t="shared" si="72"/>
        <v>Uniec 3 per functie</v>
      </c>
      <c r="C160" s="47" t="str">
        <f t="shared" si="72"/>
        <v>NTA 8800</v>
      </c>
      <c r="D160" s="943"/>
      <c r="E160" s="14"/>
      <c r="F160" s="22" t="s">
        <v>1375</v>
      </c>
      <c r="G160" s="22"/>
      <c r="H160" s="22"/>
      <c r="I160" s="905"/>
      <c r="J160" s="1691" t="s">
        <v>465</v>
      </c>
      <c r="K160" s="1698"/>
      <c r="L160" s="16"/>
      <c r="M160" s="25"/>
      <c r="N160" s="22" t="str">
        <f t="shared" si="84"/>
        <v>kWh</v>
      </c>
      <c r="O160" s="15"/>
      <c r="P160" s="39"/>
      <c r="Q160" s="59">
        <f t="shared" si="75"/>
        <v>1.45</v>
      </c>
      <c r="R160" s="15"/>
      <c r="S160" s="24">
        <f t="shared" si="76"/>
        <v>0</v>
      </c>
      <c r="T160" s="47" t="str">
        <f>IFERROR(INDEX(energiedragers_EP_eenheden,MATCH($J160,tabellen_EMD!$C$196:$C$204,0),MATCH($B160,energiedragers_EP_eenheden_titel,0)),"-")</f>
        <v>kWh</v>
      </c>
      <c r="U160" s="39"/>
      <c r="V160" s="15"/>
      <c r="W160" s="59">
        <f t="shared" si="77"/>
        <v>0.34</v>
      </c>
      <c r="X160" s="47" t="str">
        <f t="shared" si="78"/>
        <v>kg/kWh</v>
      </c>
      <c r="Y160" s="12"/>
      <c r="Z160" s="24">
        <f t="shared" si="79"/>
        <v>0</v>
      </c>
      <c r="AA160" s="47" t="s">
        <v>468</v>
      </c>
      <c r="AB160" s="67"/>
      <c r="AC160" s="995"/>
      <c r="AD160" s="1405"/>
      <c r="AE160" s="1405"/>
      <c r="AF160" s="1405"/>
      <c r="AG160" s="1405"/>
      <c r="AH160" s="1405"/>
      <c r="AI160" s="1405"/>
      <c r="AJ160" s="1405"/>
      <c r="AK160" s="1405"/>
      <c r="AL160" s="1405"/>
      <c r="AM160" s="1405"/>
      <c r="AN160" s="1405"/>
      <c r="AO160" s="1405"/>
      <c r="AP160" s="1405"/>
      <c r="AQ160" s="1405"/>
      <c r="AR160" s="1405"/>
      <c r="AS160" s="67"/>
      <c r="AT160" s="995"/>
      <c r="AU160" s="12"/>
      <c r="AV160" s="22" t="str">
        <f t="shared" si="73"/>
        <v>ventilatoren</v>
      </c>
      <c r="AW160" s="46" t="str">
        <f t="shared" si="74"/>
        <v>elektriciteit</v>
      </c>
      <c r="AX160" s="24"/>
      <c r="AY160" s="12"/>
      <c r="AZ160" s="115">
        <v>1</v>
      </c>
      <c r="BA160" s="24">
        <f>IFERROR(INDEX(tabellen_EMD!$C$185:$N$193,MATCH($J160,tabellen_EMD!$C$185:$C$193,0),MATCH(BA$63,tabellen_EMD!$C$185:$N$185,0)),0)</f>
        <v>0</v>
      </c>
      <c r="BB160" s="115">
        <f t="shared" si="80"/>
        <v>1.45</v>
      </c>
      <c r="BC160" s="899"/>
      <c r="BD160" s="115">
        <f t="shared" si="81"/>
        <v>1</v>
      </c>
      <c r="BE160" s="47" t="str">
        <f t="shared" si="82"/>
        <v>kWh/kWh</v>
      </c>
      <c r="BF160" s="899"/>
      <c r="BG160" s="218">
        <f>IFERROR(INDEX(tabellen_EMD!$C$240:$Z$248,MATCH($J160,tabellen_EMD!$C$240:$C$248,0),MATCH($B160,tabellen_EMD!$C$240:$Z$240,0))*(F160&lt;&gt;"zomercomfort"),0)</f>
        <v>0.34</v>
      </c>
      <c r="BH160" s="47" t="str">
        <f t="shared" si="83"/>
        <v>kg/kWh</v>
      </c>
      <c r="BI160" s="899"/>
    </row>
    <row r="161" spans="1:61" s="18" customFormat="1">
      <c r="A161" s="49"/>
      <c r="B161" s="47" t="str">
        <f t="shared" si="72"/>
        <v>Uniec 3 per functie</v>
      </c>
      <c r="C161" s="47" t="str">
        <f t="shared" si="72"/>
        <v>NTA 8800</v>
      </c>
      <c r="D161" s="943"/>
      <c r="E161" s="14"/>
      <c r="F161" s="22" t="s">
        <v>507</v>
      </c>
      <c r="G161" s="22"/>
      <c r="H161" s="22"/>
      <c r="I161" s="905"/>
      <c r="J161" s="1691" t="s">
        <v>465</v>
      </c>
      <c r="K161" s="1698"/>
      <c r="L161" s="16"/>
      <c r="M161" s="25"/>
      <c r="N161" s="22" t="str">
        <f t="shared" si="84"/>
        <v>kWh</v>
      </c>
      <c r="O161" s="15"/>
      <c r="P161" s="39"/>
      <c r="Q161" s="59">
        <f t="shared" si="75"/>
        <v>1.45</v>
      </c>
      <c r="R161" s="15"/>
      <c r="S161" s="24">
        <f t="shared" si="76"/>
        <v>0</v>
      </c>
      <c r="T161" s="47" t="str">
        <f>IFERROR(INDEX(energiedragers_EP_eenheden,MATCH($J161,tabellen_EMD!$C$196:$C$204,0),MATCH($B161,energiedragers_EP_eenheden_titel,0)),"-")</f>
        <v>kWh</v>
      </c>
      <c r="U161" s="39"/>
      <c r="V161" s="15"/>
      <c r="W161" s="59">
        <f t="shared" si="77"/>
        <v>0.34</v>
      </c>
      <c r="X161" s="47" t="str">
        <f t="shared" si="78"/>
        <v>kg/kWh</v>
      </c>
      <c r="Y161" s="12"/>
      <c r="Z161" s="24">
        <f t="shared" si="79"/>
        <v>0</v>
      </c>
      <c r="AA161" s="47" t="s">
        <v>468</v>
      </c>
      <c r="AB161" s="67"/>
      <c r="AC161" s="995"/>
      <c r="AD161" s="1405"/>
      <c r="AE161" s="1405"/>
      <c r="AF161" s="1405"/>
      <c r="AG161" s="1405"/>
      <c r="AH161" s="1405"/>
      <c r="AI161" s="1405"/>
      <c r="AJ161" s="1405"/>
      <c r="AK161" s="1405"/>
      <c r="AL161" s="1405"/>
      <c r="AM161" s="1405"/>
      <c r="AN161" s="1405"/>
      <c r="AO161" s="1405"/>
      <c r="AP161" s="1405"/>
      <c r="AQ161" s="1405"/>
      <c r="AR161" s="1405"/>
      <c r="AS161" s="67"/>
      <c r="AT161" s="995"/>
      <c r="AU161" s="12"/>
      <c r="AV161" s="22" t="str">
        <f t="shared" si="73"/>
        <v>verlichting</v>
      </c>
      <c r="AW161" s="46" t="str">
        <f t="shared" si="74"/>
        <v>elektriciteit</v>
      </c>
      <c r="AX161" s="24"/>
      <c r="AY161" s="12"/>
      <c r="AZ161" s="115">
        <v>1</v>
      </c>
      <c r="BA161" s="24">
        <f>IFERROR(INDEX(tabellen_EMD!$C$185:$N$193,MATCH($J161,tabellen_EMD!$C$185:$C$193,0),MATCH(BA$63,tabellen_EMD!$C$185:$N$185,0)),0)</f>
        <v>0</v>
      </c>
      <c r="BB161" s="115">
        <f t="shared" si="80"/>
        <v>1.45</v>
      </c>
      <c r="BC161" s="899"/>
      <c r="BD161" s="115">
        <f t="shared" si="81"/>
        <v>1</v>
      </c>
      <c r="BE161" s="47" t="str">
        <f t="shared" si="82"/>
        <v>kWh/kWh</v>
      </c>
      <c r="BF161" s="899"/>
      <c r="BG161" s="218">
        <f>IFERROR(INDEX(tabellen_EMD!$C$240:$Z$248,MATCH($J161,tabellen_EMD!$C$240:$C$248,0),MATCH($B161,tabellen_EMD!$C$240:$Z$240,0))*(F161&lt;&gt;"zomercomfort"),0)</f>
        <v>0.34</v>
      </c>
      <c r="BH161" s="47" t="str">
        <f t="shared" si="83"/>
        <v>kg/kWh</v>
      </c>
      <c r="BI161" s="899"/>
    </row>
    <row r="162" spans="1:61" s="940" customFormat="1">
      <c r="A162" s="49"/>
      <c r="B162" s="47" t="str">
        <f t="shared" si="72"/>
        <v>Uniec 3 per functie</v>
      </c>
      <c r="C162" s="47" t="str">
        <f t="shared" si="72"/>
        <v>NTA 8800</v>
      </c>
      <c r="D162" s="943"/>
      <c r="E162" s="14"/>
      <c r="F162" s="15" t="s">
        <v>1391</v>
      </c>
      <c r="G162" s="15"/>
      <c r="H162" s="15"/>
      <c r="I162" s="905"/>
      <c r="J162" s="43" t="s">
        <v>1391</v>
      </c>
      <c r="K162" s="43"/>
      <c r="L162" s="16"/>
      <c r="M162" s="950">
        <f>SUM(M153:M161)</f>
        <v>0</v>
      </c>
      <c r="N162" s="15" t="str">
        <f t="shared" si="84"/>
        <v>kWh</v>
      </c>
      <c r="O162" s="15"/>
      <c r="P162" s="39"/>
      <c r="Q162" s="39"/>
      <c r="R162" s="15"/>
      <c r="S162" s="899"/>
      <c r="T162" s="899"/>
      <c r="U162" s="39"/>
      <c r="V162" s="39"/>
      <c r="W162" s="39"/>
      <c r="X162" s="39"/>
      <c r="Y162" s="12"/>
      <c r="Z162" s="950">
        <f>SUM(Z153:Z161)</f>
        <v>0</v>
      </c>
      <c r="AA162" s="15" t="s">
        <v>468</v>
      </c>
      <c r="AB162" s="67"/>
      <c r="AC162" s="995"/>
      <c r="AD162" s="1405"/>
      <c r="AE162" s="1405"/>
      <c r="AF162" s="1405"/>
      <c r="AG162" s="1405"/>
      <c r="AH162" s="1405"/>
      <c r="AI162" s="1405"/>
      <c r="AJ162" s="1405"/>
      <c r="AK162" s="1405"/>
      <c r="AL162" s="1405"/>
      <c r="AM162" s="1405"/>
      <c r="AN162" s="1405"/>
      <c r="AO162" s="1405"/>
      <c r="AP162" s="1405"/>
      <c r="AQ162" s="1405"/>
      <c r="AR162" s="1405"/>
      <c r="AS162" s="67"/>
      <c r="AT162" s="995"/>
      <c r="AU162" s="12"/>
      <c r="AV162" s="22" t="str">
        <f t="shared" si="73"/>
        <v>totaal</v>
      </c>
      <c r="AW162" s="46" t="str">
        <f t="shared" si="74"/>
        <v>totaal</v>
      </c>
      <c r="AX162" s="24"/>
      <c r="AY162" s="12"/>
      <c r="AZ162" s="12"/>
      <c r="BA162" s="12"/>
      <c r="BB162" s="12"/>
      <c r="BC162" s="899"/>
      <c r="BD162" s="899"/>
      <c r="BE162" s="899"/>
      <c r="BF162" s="899"/>
      <c r="BG162" s="15"/>
      <c r="BH162" s="15"/>
      <c r="BI162" s="899"/>
    </row>
    <row r="163" spans="1:61">
      <c r="A163" s="49"/>
      <c r="B163" s="47" t="str">
        <f>B161</f>
        <v>Uniec 3 per functie</v>
      </c>
      <c r="C163" s="47" t="str">
        <f>C161</f>
        <v>NTA 8800</v>
      </c>
      <c r="D163" s="943"/>
      <c r="E163" s="14"/>
      <c r="F163" s="22" t="s">
        <v>1503</v>
      </c>
      <c r="G163" s="22"/>
      <c r="H163" s="22"/>
      <c r="I163" s="905"/>
      <c r="J163" s="1691" t="s">
        <v>1538</v>
      </c>
      <c r="K163" s="1698"/>
      <c r="L163" s="16"/>
      <c r="M163" s="25"/>
      <c r="N163" s="22" t="str">
        <f t="shared" si="84"/>
        <v>kWh</v>
      </c>
      <c r="O163" s="15"/>
      <c r="P163" s="39"/>
      <c r="Q163" s="59">
        <f>IFERROR(IF(AND(P163&lt;&gt;"",$BA163=1),P163,BB163),1)</f>
        <v>1.45</v>
      </c>
      <c r="R163" s="15"/>
      <c r="S163" s="24">
        <f>M163/Q163/BD163</f>
        <v>0</v>
      </c>
      <c r="T163" s="47" t="str">
        <f>IFERROR(INDEX(energiedragers_EP_eenheden,MATCH($J163,tabellen_EMD!$C$196:$C$204,0),MATCH($B163,energiedragers_EP_eenheden_titel,0)),"-")</f>
        <v>kWh</v>
      </c>
      <c r="U163" s="39"/>
      <c r="V163" s="15"/>
      <c r="W163" s="59">
        <f>IF(AND(V163&lt;&gt;"",$BA163=1),V163,BG163)</f>
        <v>0.34</v>
      </c>
      <c r="X163" s="47" t="str">
        <f t="shared" si="78"/>
        <v>kg/kWh</v>
      </c>
      <c r="Y163" s="12"/>
      <c r="Z163" s="24">
        <f>S163*W163*ABS(AZ163)</f>
        <v>0</v>
      </c>
      <c r="AA163" s="47" t="s">
        <v>468</v>
      </c>
      <c r="AB163" s="67"/>
      <c r="AC163" s="995"/>
      <c r="AD163" s="1405"/>
      <c r="AE163" s="1405"/>
      <c r="AF163" s="1405"/>
      <c r="AG163" s="1405"/>
      <c r="AH163" s="1405"/>
      <c r="AI163" s="1405"/>
      <c r="AJ163" s="1405"/>
      <c r="AK163" s="1405"/>
      <c r="AL163" s="1405"/>
      <c r="AM163" s="1405"/>
      <c r="AN163" s="1405"/>
      <c r="AO163" s="1405"/>
      <c r="AP163" s="1405"/>
      <c r="AQ163" s="1405"/>
      <c r="AR163" s="1405"/>
      <c r="AS163" s="67"/>
      <c r="AT163" s="995"/>
      <c r="AU163" s="12"/>
      <c r="AV163" s="22" t="str">
        <f t="shared" si="73"/>
        <v>geëxporteerde elektriciteit</v>
      </c>
      <c r="AW163" s="46" t="str">
        <f t="shared" si="74"/>
        <v>elektriciteit geëxporteerd</v>
      </c>
      <c r="AX163" s="24"/>
      <c r="AY163" s="12"/>
      <c r="AZ163" s="115">
        <v>1</v>
      </c>
      <c r="BA163" s="24">
        <f>IFERROR(INDEX(tabellen_EMD!$C$185:$N$193,MATCH($J163,tabellen_EMD!$C$185:$C$193,0),MATCH(BA$63,tabellen_EMD!$C$185:$N$185,0)),0)</f>
        <v>0</v>
      </c>
      <c r="BB163" s="115">
        <f t="shared" si="80"/>
        <v>1.45</v>
      </c>
      <c r="BC163" s="899"/>
      <c r="BD163" s="115">
        <f>IFERROR(VLOOKUP($J163,energiedragers_EP_omrekenen,MATCH($B163,energiedragers_EP_omrekenen_titel,0),FALSE),1)</f>
        <v>1</v>
      </c>
      <c r="BE163" s="47" t="str">
        <f>_xlfn.CONCAT(N163,"/",T163)</f>
        <v>kWh/kWh</v>
      </c>
      <c r="BF163" s="899"/>
      <c r="BG163" s="218">
        <f>IFERROR(INDEX(tabellen_EMD!$C$240:$Z$248,MATCH($J163,tabellen_EMD!$C$240:$C$248,0),MATCH($B163,tabellen_EMD!$C$240:$Z$240,0))*(F163&lt;&gt;"zomercomfort"),0)</f>
        <v>0.34</v>
      </c>
      <c r="BH163" s="47" t="str">
        <f>"kg/"&amp;T163</f>
        <v>kg/kWh</v>
      </c>
      <c r="BI163" s="899"/>
    </row>
    <row r="164" spans="1:61">
      <c r="A164" s="49"/>
      <c r="B164" s="47" t="str">
        <f t="shared" si="72"/>
        <v>Uniec 3 per functie</v>
      </c>
      <c r="C164" s="47" t="str">
        <f t="shared" si="72"/>
        <v>NTA 8800</v>
      </c>
      <c r="D164" s="943"/>
      <c r="E164" s="14"/>
      <c r="F164" s="22" t="s">
        <v>1504</v>
      </c>
      <c r="G164" s="22"/>
      <c r="H164" s="22"/>
      <c r="I164" s="905"/>
      <c r="J164" s="1691" t="s">
        <v>466</v>
      </c>
      <c r="K164" s="1698"/>
      <c r="L164" s="16"/>
      <c r="M164" s="25"/>
      <c r="N164" s="22" t="str">
        <f t="shared" si="84"/>
        <v>kWh</v>
      </c>
      <c r="O164" s="15"/>
      <c r="P164" s="39"/>
      <c r="Q164" s="59">
        <f>IFERROR(IF(AND(P164&lt;&gt;"",$BA164=1),P164,BB164),1)</f>
        <v>1.45</v>
      </c>
      <c r="R164" s="15"/>
      <c r="S164" s="24">
        <f>M164/Q164/BD164</f>
        <v>0</v>
      </c>
      <c r="T164" s="47" t="str">
        <f>IFERROR(INDEX(energiedragers_EP_eenheden,MATCH($J164,tabellen_EMD!$C$196:$C$204,0),MATCH($B164,energiedragers_EP_eenheden_titel,0)),"-")</f>
        <v>kWh</v>
      </c>
      <c r="U164" s="39"/>
      <c r="V164" s="15"/>
      <c r="W164" s="59">
        <f>IF(AND(V164&lt;&gt;"",$BA164=1),V164,BG164)</f>
        <v>0.34</v>
      </c>
      <c r="X164" s="47" t="str">
        <f t="shared" si="78"/>
        <v>kg/kWh</v>
      </c>
      <c r="Y164" s="12"/>
      <c r="Z164" s="24">
        <f>S164*W164*ABS(AZ164)</f>
        <v>0</v>
      </c>
      <c r="AA164" s="47" t="s">
        <v>468</v>
      </c>
      <c r="AB164" s="67"/>
      <c r="AC164" s="995"/>
      <c r="AD164" s="1405"/>
      <c r="AE164" s="1405"/>
      <c r="AF164" s="1405"/>
      <c r="AG164" s="1405"/>
      <c r="AH164" s="1405"/>
      <c r="AI164" s="1405"/>
      <c r="AJ164" s="1405"/>
      <c r="AK164" s="1405"/>
      <c r="AL164" s="1405"/>
      <c r="AM164" s="1405"/>
      <c r="AN164" s="1405"/>
      <c r="AO164" s="1405"/>
      <c r="AP164" s="1405"/>
      <c r="AQ164" s="1405"/>
      <c r="AR164" s="1405"/>
      <c r="AS164" s="67"/>
      <c r="AT164" s="995"/>
      <c r="AU164" s="12"/>
      <c r="AV164" s="22" t="str">
        <f t="shared" si="73"/>
        <v>op eigen perceel opgewekte &amp; verbruikte elektriciteit</v>
      </c>
      <c r="AW164" s="46" t="str">
        <f t="shared" si="74"/>
        <v>elektriciteit opgewekt</v>
      </c>
      <c r="AX164" s="24"/>
      <c r="AY164" s="12"/>
      <c r="AZ164" s="115">
        <v>1</v>
      </c>
      <c r="BA164" s="24">
        <f>IFERROR(INDEX(tabellen_EMD!$C$185:$N$193,MATCH($J164,tabellen_EMD!$C$185:$C$193,0),MATCH(BA$63,tabellen_EMD!$C$185:$N$185,0)),0)</f>
        <v>0</v>
      </c>
      <c r="BB164" s="115">
        <f t="shared" si="80"/>
        <v>1.45</v>
      </c>
      <c r="BC164" s="899"/>
      <c r="BD164" s="115">
        <f>IFERROR(VLOOKUP($J164,energiedragers_EP_omrekenen,MATCH($B164,energiedragers_EP_omrekenen_titel,0),FALSE),1)</f>
        <v>1</v>
      </c>
      <c r="BE164" s="47" t="str">
        <f>_xlfn.CONCAT(N164,"/",T164)</f>
        <v>kWh/kWh</v>
      </c>
      <c r="BF164" s="899"/>
      <c r="BG164" s="218">
        <f>IFERROR(INDEX(tabellen_EMD!$C$240:$Z$248,MATCH($J164,tabellen_EMD!$C$240:$C$248,0),MATCH($B164,tabellen_EMD!$C$240:$Z$240,0))*(F164&lt;&gt;"zomercomfort"),0)</f>
        <v>0.34</v>
      </c>
      <c r="BH164" s="47" t="str">
        <f>"kg/"&amp;T164</f>
        <v>kg/kWh</v>
      </c>
      <c r="BI164" s="899"/>
    </row>
    <row r="165" spans="1:61">
      <c r="A165" s="49"/>
      <c r="B165" s="47" t="str">
        <f t="shared" si="72"/>
        <v>Uniec 3 per functie</v>
      </c>
      <c r="C165" s="47" t="str">
        <f t="shared" si="72"/>
        <v>NTA 8800</v>
      </c>
      <c r="D165" s="943"/>
      <c r="E165" s="14"/>
      <c r="F165" s="22" t="s">
        <v>1505</v>
      </c>
      <c r="G165" s="22"/>
      <c r="H165" s="22"/>
      <c r="I165" s="905"/>
      <c r="J165" s="1691" t="s">
        <v>466</v>
      </c>
      <c r="K165" s="1698"/>
      <c r="L165" s="16"/>
      <c r="M165" s="25"/>
      <c r="N165" s="22" t="str">
        <f t="shared" si="84"/>
        <v>kWh</v>
      </c>
      <c r="O165" s="15"/>
      <c r="P165" s="39"/>
      <c r="Q165" s="59">
        <f>IFERROR(IF(AND(P165&lt;&gt;"",$BA165=1),P165,BB165),1)</f>
        <v>1.45</v>
      </c>
      <c r="R165" s="15"/>
      <c r="S165" s="24">
        <f>M165/Q165/BD165</f>
        <v>0</v>
      </c>
      <c r="T165" s="47" t="str">
        <f>IFERROR(INDEX(energiedragers_EP_eenheden,MATCH($J165,tabellen_EMD!$C$196:$C$204,0),MATCH($B165,energiedragers_EP_eenheden_titel,0)),"-")</f>
        <v>kWh</v>
      </c>
      <c r="U165" s="39"/>
      <c r="V165" s="15"/>
      <c r="W165" s="59">
        <f>IF(AND(V165&lt;&gt;"",$BA165=1),V165,BG165)</f>
        <v>0.34</v>
      </c>
      <c r="X165" s="47" t="str">
        <f t="shared" si="78"/>
        <v>kg/kWh</v>
      </c>
      <c r="Y165" s="12"/>
      <c r="Z165" s="24">
        <f>S165*W165*ABS(AZ165)</f>
        <v>0</v>
      </c>
      <c r="AA165" s="47" t="s">
        <v>468</v>
      </c>
      <c r="AB165" s="67"/>
      <c r="AC165" s="995"/>
      <c r="AD165" s="1405"/>
      <c r="AE165" s="1405"/>
      <c r="AF165" s="1405"/>
      <c r="AG165" s="1405"/>
      <c r="AH165" s="1405"/>
      <c r="AI165" s="1405"/>
      <c r="AJ165" s="1405"/>
      <c r="AK165" s="1405"/>
      <c r="AL165" s="1405"/>
      <c r="AM165" s="1405"/>
      <c r="AN165" s="1405"/>
      <c r="AO165" s="1405"/>
      <c r="AP165" s="1405"/>
      <c r="AQ165" s="1405"/>
      <c r="AR165" s="1405"/>
      <c r="AS165" s="67"/>
      <c r="AT165" s="995"/>
      <c r="AU165" s="12"/>
      <c r="AV165" s="22" t="str">
        <f t="shared" si="73"/>
        <v>in het gebied opgewekte elektriciteit</v>
      </c>
      <c r="AW165" s="46" t="str">
        <f t="shared" si="74"/>
        <v>elektriciteit opgewekt</v>
      </c>
      <c r="AX165" s="24"/>
      <c r="AY165" s="12"/>
      <c r="AZ165" s="115">
        <v>1</v>
      </c>
      <c r="BA165" s="24">
        <f>IFERROR(INDEX(tabellen_EMD!$C$185:$N$193,MATCH($J165,tabellen_EMD!$C$185:$C$193,0),MATCH(BA$63,tabellen_EMD!$C$185:$N$185,0)),0)</f>
        <v>0</v>
      </c>
      <c r="BB165" s="115">
        <f t="shared" si="80"/>
        <v>1.45</v>
      </c>
      <c r="BC165" s="899"/>
      <c r="BD165" s="115">
        <f>IFERROR(VLOOKUP($J165,energiedragers_EP_omrekenen,MATCH($B165,energiedragers_EP_omrekenen_titel,0),FALSE),1)</f>
        <v>1</v>
      </c>
      <c r="BE165" s="47" t="str">
        <f>_xlfn.CONCAT(N165,"/",T165)</f>
        <v>kWh/kWh</v>
      </c>
      <c r="BF165" s="899"/>
      <c r="BG165" s="218">
        <f>IFERROR(INDEX(tabellen_EMD!$C$240:$Z$248,MATCH($J165,tabellen_EMD!$C$240:$C$248,0),MATCH($B165,tabellen_EMD!$C$240:$Z$240,0))*(F165&lt;&gt;"zomercomfort"),0)</f>
        <v>0.34</v>
      </c>
      <c r="BH165" s="47" t="str">
        <f>"kg/"&amp;T165</f>
        <v>kg/kWh</v>
      </c>
      <c r="BI165" s="899"/>
    </row>
    <row r="166" spans="1:61" s="940" customFormat="1">
      <c r="A166" s="49"/>
      <c r="B166" s="47" t="str">
        <f t="shared" si="72"/>
        <v>Uniec 3 per functie</v>
      </c>
      <c r="C166" s="47" t="str">
        <f t="shared" si="72"/>
        <v>NTA 8800</v>
      </c>
      <c r="D166" s="943"/>
      <c r="E166" s="14"/>
      <c r="F166" s="15" t="s">
        <v>1391</v>
      </c>
      <c r="G166" s="15"/>
      <c r="H166" s="15"/>
      <c r="I166" s="905"/>
      <c r="J166" s="43" t="s">
        <v>1391</v>
      </c>
      <c r="K166" s="43"/>
      <c r="L166" s="16"/>
      <c r="M166" s="950">
        <f>SUM(M153:M161)-SUM(M163:M165)</f>
        <v>0</v>
      </c>
      <c r="N166" s="15" t="str">
        <f t="shared" si="84"/>
        <v>kWh</v>
      </c>
      <c r="O166" s="15"/>
      <c r="P166" s="39"/>
      <c r="Q166" s="39"/>
      <c r="R166" s="15"/>
      <c r="S166" s="899"/>
      <c r="T166" s="899"/>
      <c r="U166" s="39"/>
      <c r="V166" s="39"/>
      <c r="W166" s="39"/>
      <c r="X166" s="39"/>
      <c r="Y166" s="12"/>
      <c r="Z166" s="950">
        <f>SUM(Z153:Z161)-SUM(Z163:Z165)</f>
        <v>0</v>
      </c>
      <c r="AA166" s="15" t="s">
        <v>468</v>
      </c>
      <c r="AB166" s="67"/>
      <c r="AC166" s="995"/>
      <c r="AD166" s="1405"/>
      <c r="AE166" s="1405"/>
      <c r="AF166" s="1405"/>
      <c r="AG166" s="1405"/>
      <c r="AH166" s="1405"/>
      <c r="AI166" s="1405"/>
      <c r="AJ166" s="1405"/>
      <c r="AK166" s="1405"/>
      <c r="AL166" s="1405"/>
      <c r="AM166" s="1405"/>
      <c r="AN166" s="1405"/>
      <c r="AO166" s="1405"/>
      <c r="AP166" s="1405"/>
      <c r="AQ166" s="1405"/>
      <c r="AR166" s="1405"/>
      <c r="AS166" s="67"/>
      <c r="AT166" s="995"/>
      <c r="AU166" s="12"/>
      <c r="AV166" s="22" t="str">
        <f t="shared" si="73"/>
        <v>totaal</v>
      </c>
      <c r="AW166" s="46" t="str">
        <f t="shared" si="74"/>
        <v>totaal</v>
      </c>
      <c r="AX166" s="24"/>
      <c r="AY166" s="12"/>
      <c r="AZ166" s="12"/>
      <c r="BA166" s="12"/>
      <c r="BB166" s="12"/>
      <c r="BC166" s="899"/>
      <c r="BD166" s="899"/>
      <c r="BE166" s="899"/>
      <c r="BF166" s="899"/>
      <c r="BG166" s="15"/>
      <c r="BH166" s="15"/>
      <c r="BI166" s="899"/>
    </row>
    <row r="167" spans="1:61" s="49" customFormat="1">
      <c r="A167" s="212"/>
      <c r="B167" s="47" t="str">
        <f t="shared" si="72"/>
        <v>Uniec 3 per functie</v>
      </c>
      <c r="C167" s="47" t="str">
        <f t="shared" si="72"/>
        <v>NTA 8800</v>
      </c>
      <c r="D167" s="943"/>
      <c r="E167" s="50"/>
      <c r="F167" s="452" t="str">
        <f>IFERROR(IF($P$23=$B167,_xlfn.CONCAT("Bij 1.1 ingevuld: ",FIXED($J$35,2,FALSE)," ",$K$35),""),"invoer niet correct")</f>
        <v/>
      </c>
      <c r="G167" s="452"/>
      <c r="H167" s="452"/>
      <c r="I167" s="905"/>
      <c r="J167" s="909" t="str">
        <f>IFERROR(IF($P$23=$B167,IF(ABS((M167-$J$35)/$J$35)&gt;1%,"Afwijking &gt;1% met subthema 1.1",""),""),"invoer niet correct")</f>
        <v/>
      </c>
      <c r="K167" s="909"/>
      <c r="L167" s="910"/>
      <c r="M167" s="1339" t="str">
        <f>IFERROR(IF($P$23=$B167,M166/$J$59,""),"")</f>
        <v/>
      </c>
      <c r="N167" s="452" t="str">
        <f>IF($P$23=$B167,_xlfn.CONCAT(N166,"/m2"),"")</f>
        <v/>
      </c>
      <c r="O167" s="452"/>
      <c r="P167" s="39"/>
      <c r="Q167" s="39"/>
      <c r="R167" s="899"/>
      <c r="S167" s="899"/>
      <c r="T167" s="899"/>
      <c r="U167" s="39"/>
      <c r="V167" s="39"/>
      <c r="W167" s="910" t="str">
        <f>IFERROR(IF($P$23=$B167,_xlfn.CONCAT("Bij 1.1 ingevuld: ",FIXED($AG$40,1,FALSE)," ",$AH$40),""),"invoer niet correct")</f>
        <v/>
      </c>
      <c r="X167" s="909" t="str">
        <f>IFERROR(IF($P$23=$B167,IF(ABS((Z167-$AG$40)/$AG$40)&gt;1%,"afwijking &gt;1% met subthema 1.1",""),""),"invoer niet correct")</f>
        <v/>
      </c>
      <c r="Y167" s="12"/>
      <c r="Z167" s="951" t="str">
        <f>IFERROR(IF($P$23=$B167,Z166/$J$58,""),"")</f>
        <v/>
      </c>
      <c r="AA167" s="452" t="str">
        <f>IF($P$23=$B167,_xlfn.CONCAT(AA166,"/m2"),"")</f>
        <v/>
      </c>
      <c r="AB167" s="1393"/>
      <c r="AC167" s="1001"/>
      <c r="AD167" s="1405"/>
      <c r="AE167" s="1405"/>
      <c r="AF167" s="1405"/>
      <c r="AG167" s="1405"/>
      <c r="AH167" s="1405"/>
      <c r="AI167" s="1405"/>
      <c r="AJ167" s="1405"/>
      <c r="AK167" s="1405"/>
      <c r="AL167" s="1405"/>
      <c r="AM167" s="1405"/>
      <c r="AN167" s="1405"/>
      <c r="AO167" s="1405"/>
      <c r="AP167" s="1405"/>
      <c r="AQ167" s="1405"/>
      <c r="AR167" s="1405"/>
      <c r="AS167" s="1393"/>
      <c r="AT167" s="1001"/>
      <c r="AU167" s="12"/>
      <c r="AV167" s="452"/>
      <c r="AW167" s="452"/>
      <c r="AX167" s="452"/>
      <c r="AY167" s="452"/>
      <c r="AZ167" s="452"/>
      <c r="BA167" s="452"/>
      <c r="BB167" s="452"/>
      <c r="BC167" s="452"/>
      <c r="BD167" s="452"/>
      <c r="BE167" s="452"/>
      <c r="BF167" s="452"/>
      <c r="BG167" s="452"/>
      <c r="BH167" s="452"/>
      <c r="BI167" s="899"/>
    </row>
    <row r="168" spans="1:61" s="49" customFormat="1">
      <c r="B168" s="47" t="str">
        <f t="shared" ref="B168:C168" si="85">B167</f>
        <v>Uniec 3 per functie</v>
      </c>
      <c r="C168" s="47" t="str">
        <f t="shared" si="85"/>
        <v>NTA 8800</v>
      </c>
      <c r="D168" s="943"/>
      <c r="E168" s="50"/>
      <c r="F168" s="43"/>
      <c r="G168" s="43"/>
      <c r="H168" s="43"/>
      <c r="I168" s="905"/>
      <c r="J168" s="44"/>
      <c r="K168" s="44"/>
      <c r="L168" s="44"/>
      <c r="M168" s="917"/>
      <c r="N168" s="44"/>
      <c r="O168" s="44"/>
      <c r="P168" s="39"/>
      <c r="Q168" s="39"/>
      <c r="R168" s="899"/>
      <c r="S168" s="899"/>
      <c r="T168" s="899"/>
      <c r="U168" s="39"/>
      <c r="V168" s="39"/>
      <c r="W168" s="39"/>
      <c r="X168" s="39"/>
      <c r="Y168" s="12"/>
      <c r="Z168" s="899"/>
      <c r="AA168" s="899"/>
      <c r="AB168" s="1393"/>
      <c r="AC168" s="1001"/>
      <c r="AD168" s="1405"/>
      <c r="AE168" s="1405"/>
      <c r="AF168" s="1405"/>
      <c r="AG168" s="1405"/>
      <c r="AH168" s="1405"/>
      <c r="AI168" s="1405"/>
      <c r="AJ168" s="1405"/>
      <c r="AK168" s="1405"/>
      <c r="AL168" s="1405"/>
      <c r="AM168" s="1405"/>
      <c r="AN168" s="1405"/>
      <c r="AO168" s="1405"/>
      <c r="AP168" s="1405"/>
      <c r="AQ168" s="1405"/>
      <c r="AR168" s="1405"/>
      <c r="AS168" s="1393"/>
      <c r="AT168" s="1001"/>
      <c r="AU168" s="12"/>
      <c r="AV168" s="12"/>
      <c r="AW168" s="12"/>
      <c r="AX168" s="12"/>
      <c r="AY168" s="12"/>
      <c r="AZ168" s="44"/>
      <c r="BA168" s="12"/>
      <c r="BB168" s="44"/>
      <c r="BC168" s="899"/>
      <c r="BD168" s="899"/>
      <c r="BE168" s="899"/>
      <c r="BF168" s="899"/>
      <c r="BG168" s="899"/>
      <c r="BH168" s="899"/>
      <c r="BI168" s="899"/>
    </row>
    <row r="169" spans="1:61">
      <c r="A169" s="86"/>
      <c r="B169" s="939" t="str">
        <f>tabellen_EMD!$C$180</f>
        <v>Uniec 3 finaal</v>
      </c>
      <c r="C169" s="939" t="str">
        <f>VLOOKUP(B169,'EP naar GPR4'!$AV$40:$AY$48,COLUMNS($AV$40:$AX$40),FALSE)</f>
        <v>NTA 8800</v>
      </c>
      <c r="D169" s="943"/>
      <c r="E169" s="14"/>
      <c r="F169" s="15" t="str">
        <f>_xlfn.CONCAT("Overnemen uit '",B169,"': ",VLOOKUP(B169,$AV$41:$AZ$48,COLUMNS($AV$40:$AZ$40),FALSE))</f>
        <v>Overnemen uit 'Uniec 3 finaal': Jaarlijkse hoeveelheid energiegebruik voor de energiefunctie</v>
      </c>
      <c r="G169" s="15"/>
      <c r="H169" s="15"/>
      <c r="I169" s="905"/>
      <c r="J169" s="43"/>
      <c r="K169" s="43"/>
      <c r="L169" s="16"/>
      <c r="M169" s="909" t="s">
        <v>1485</v>
      </c>
      <c r="N169" s="41"/>
      <c r="O169" s="41"/>
      <c r="P169" s="453" t="s">
        <v>1487</v>
      </c>
      <c r="Q169" s="39"/>
      <c r="R169" s="39"/>
      <c r="S169" s="453" t="s">
        <v>1484</v>
      </c>
      <c r="T169" s="39"/>
      <c r="U169" s="39"/>
      <c r="V169" s="453" t="s">
        <v>1613</v>
      </c>
      <c r="W169" s="39"/>
      <c r="X169" s="39"/>
      <c r="Y169" s="12"/>
      <c r="Z169" s="453" t="s">
        <v>1536</v>
      </c>
      <c r="AA169" s="12"/>
      <c r="AB169" s="67"/>
      <c r="AC169" s="995"/>
      <c r="AD169" s="1405"/>
      <c r="AE169" s="1405"/>
      <c r="AF169" s="1405"/>
      <c r="AG169" s="1405"/>
      <c r="AH169" s="1405"/>
      <c r="AI169" s="1405"/>
      <c r="AJ169" s="1405"/>
      <c r="AK169" s="1405"/>
      <c r="AL169" s="1405"/>
      <c r="AM169" s="1405"/>
      <c r="AN169" s="1405"/>
      <c r="AO169" s="1405"/>
      <c r="AP169" s="1405"/>
      <c r="AQ169" s="1405"/>
      <c r="AR169" s="1405"/>
      <c r="AS169" s="67"/>
      <c r="AT169" s="995"/>
      <c r="AU169" s="12"/>
      <c r="AV169" s="12"/>
      <c r="AW169" s="12"/>
      <c r="AX169" s="12"/>
      <c r="AY169" s="12"/>
      <c r="AZ169" s="888" t="str">
        <f>AZ$63</f>
        <v>Eenheid energie</v>
      </c>
      <c r="BA169" s="888" t="s">
        <v>1628</v>
      </c>
      <c r="BB169" s="888" t="str">
        <f>BB$63</f>
        <v>PEF finaal → primair</v>
      </c>
      <c r="BC169" s="452"/>
      <c r="BD169" s="452" t="str">
        <f>BD$63</f>
        <v>eenheden omrekenen</v>
      </c>
      <c r="BE169" s="452"/>
      <c r="BF169" s="452"/>
      <c r="BG169" s="888" t="str">
        <f>BG$63</f>
        <v>CO2</v>
      </c>
      <c r="BH169" s="39"/>
      <c r="BI169" s="899"/>
    </row>
    <row r="170" spans="1:61">
      <c r="A170" s="86"/>
      <c r="B170" s="47" t="str">
        <f t="shared" ref="B170:C180" si="86">B169</f>
        <v>Uniec 3 finaal</v>
      </c>
      <c r="C170" s="47" t="str">
        <f t="shared" si="86"/>
        <v>NTA 8800</v>
      </c>
      <c r="D170" s="943"/>
      <c r="E170" s="14"/>
      <c r="F170" s="909" t="s">
        <v>496</v>
      </c>
      <c r="G170" s="909"/>
      <c r="H170" s="909"/>
      <c r="I170" s="905"/>
      <c r="J170" s="909" t="s">
        <v>458</v>
      </c>
      <c r="K170" s="909"/>
      <c r="L170" s="889"/>
      <c r="M170" s="910" t="s">
        <v>1534</v>
      </c>
      <c r="N170" s="452" t="s">
        <v>204</v>
      </c>
      <c r="O170" s="39"/>
      <c r="P170" s="888" t="s">
        <v>1533</v>
      </c>
      <c r="Q170" s="910" t="s">
        <v>1532</v>
      </c>
      <c r="R170" s="452"/>
      <c r="S170" s="888" t="s">
        <v>1534</v>
      </c>
      <c r="T170" s="889" t="s">
        <v>204</v>
      </c>
      <c r="U170" s="39"/>
      <c r="V170" s="888" t="s">
        <v>1533</v>
      </c>
      <c r="W170" s="910" t="s">
        <v>1532</v>
      </c>
      <c r="X170" s="889" t="s">
        <v>204</v>
      </c>
      <c r="Y170" s="12"/>
      <c r="Z170" s="888" t="s">
        <v>1534</v>
      </c>
      <c r="AA170" s="889" t="s">
        <v>204</v>
      </c>
      <c r="AB170" s="67"/>
      <c r="AC170" s="995"/>
      <c r="AD170" s="1405"/>
      <c r="AE170" s="1405"/>
      <c r="AF170" s="1405"/>
      <c r="AG170" s="1405"/>
      <c r="AH170" s="1405"/>
      <c r="AI170" s="1405"/>
      <c r="AJ170" s="1405"/>
      <c r="AK170" s="1405"/>
      <c r="AL170" s="1405"/>
      <c r="AM170" s="1405"/>
      <c r="AN170" s="1405"/>
      <c r="AO170" s="1405"/>
      <c r="AP170" s="1405"/>
      <c r="AQ170" s="1405"/>
      <c r="AR170" s="1405"/>
      <c r="AS170" s="67"/>
      <c r="AT170" s="995"/>
      <c r="AU170" s="12"/>
      <c r="AV170" s="892" t="str">
        <f t="shared" ref="AV170:AV178" si="87">F170</f>
        <v>energiefunctie</v>
      </c>
      <c r="AW170" s="452" t="str">
        <f>J170</f>
        <v>energiedrager</v>
      </c>
      <c r="AX170" s="910"/>
      <c r="AY170" s="12"/>
      <c r="AZ170" s="888" t="str">
        <f>AZ$64</f>
        <v>pos/neg</v>
      </c>
      <c r="BA170" s="888"/>
      <c r="BB170" s="888" t="str">
        <f>BB$64</f>
        <v>default</v>
      </c>
      <c r="BC170" s="452"/>
      <c r="BD170" s="452" t="str">
        <f>BD$64</f>
        <v>waarde</v>
      </c>
      <c r="BE170" s="452" t="str">
        <f>BE$64</f>
        <v>eenheden</v>
      </c>
      <c r="BF170" s="452"/>
      <c r="BG170" s="888" t="str">
        <f>BG$64</f>
        <v>default</v>
      </c>
      <c r="BH170" s="888" t="str">
        <f>BH$64</f>
        <v>eenheid</v>
      </c>
      <c r="BI170" s="452"/>
    </row>
    <row r="171" spans="1:61">
      <c r="A171" s="86"/>
      <c r="B171" s="47" t="str">
        <f t="shared" si="86"/>
        <v>Uniec 3 finaal</v>
      </c>
      <c r="C171" s="47" t="str">
        <f t="shared" si="86"/>
        <v>NTA 8800</v>
      </c>
      <c r="D171" s="943"/>
      <c r="E171" s="14"/>
      <c r="F171" s="22" t="s">
        <v>1446</v>
      </c>
      <c r="G171" s="22"/>
      <c r="H171" s="22"/>
      <c r="I171" s="905"/>
      <c r="J171" s="1691" t="s">
        <v>465</v>
      </c>
      <c r="K171" s="1698"/>
      <c r="L171" s="16"/>
      <c r="M171" s="24">
        <f>Q171*S171*BD171</f>
        <v>0</v>
      </c>
      <c r="N171" s="47" t="str">
        <f t="shared" ref="N171:N178" si="88">INDEX(EP_methode_eenheid,1,MATCH($C171,EP_methode,0))</f>
        <v>kWh</v>
      </c>
      <c r="O171" s="909"/>
      <c r="P171" s="39"/>
      <c r="Q171" s="59">
        <f>IFERROR(IF(AND(P171&lt;&gt;"",$BA171=1),P171,BB171),1)</f>
        <v>1.45</v>
      </c>
      <c r="R171" s="15"/>
      <c r="S171" s="25"/>
      <c r="T171" s="47" t="str">
        <f>IFERROR(INDEX(energiedragers_EP_eenheden,MATCH($J171,tabellen_EMD!$C$196:$C$204,0),MATCH($B171,energiedragers_EP_eenheden_titel,0)),"-")</f>
        <v>kWh</v>
      </c>
      <c r="U171" s="39"/>
      <c r="V171" s="15"/>
      <c r="W171" s="59">
        <f>IF(AND(V171&lt;&gt;"",$BA171=1),V171,BG171)</f>
        <v>0.34</v>
      </c>
      <c r="X171" s="47" t="str">
        <f>BH171</f>
        <v>kg/kWh</v>
      </c>
      <c r="Y171" s="12"/>
      <c r="Z171" s="24">
        <f>S171*W171*ABS(AZ171)</f>
        <v>0</v>
      </c>
      <c r="AA171" s="47" t="s">
        <v>468</v>
      </c>
      <c r="AB171" s="67"/>
      <c r="AC171" s="995"/>
      <c r="AD171" s="1405"/>
      <c r="AE171" s="1405"/>
      <c r="AF171" s="1405"/>
      <c r="AG171" s="1405"/>
      <c r="AH171" s="1405"/>
      <c r="AI171" s="1405"/>
      <c r="AJ171" s="1405"/>
      <c r="AK171" s="1405"/>
      <c r="AL171" s="1405"/>
      <c r="AM171" s="1405"/>
      <c r="AN171" s="1405"/>
      <c r="AO171" s="1405"/>
      <c r="AP171" s="1405"/>
      <c r="AQ171" s="1405"/>
      <c r="AR171" s="1405"/>
      <c r="AS171" s="67"/>
      <c r="AT171" s="995"/>
      <c r="AU171" s="12"/>
      <c r="AV171" s="22" t="str">
        <f t="shared" si="87"/>
        <v>elek: gebouwgebonden installaties</v>
      </c>
      <c r="AW171" s="46" t="str">
        <f>J171</f>
        <v>elektriciteit</v>
      </c>
      <c r="AX171" s="24"/>
      <c r="AY171" s="12"/>
      <c r="AZ171" s="115">
        <v>1</v>
      </c>
      <c r="BA171" s="24">
        <f>IFERROR(INDEX(tabellen_EMD!$C$185:$N$193,MATCH($J171,tabellen_EMD!$C$185:$C$193,0),MATCH(BA$63,tabellen_EMD!$C$185:$N$185,0)),0)</f>
        <v>0</v>
      </c>
      <c r="BB171" s="115">
        <f>VLOOKUP($J171,energiedragers_EP_PEF,MATCH(_xlfn.CONCAT($C171," | PEF"),energiedragers_EP_PEF_titel,0),FALSE)</f>
        <v>1.45</v>
      </c>
      <c r="BC171" s="899"/>
      <c r="BD171" s="115">
        <f>IFERROR(VLOOKUP($J171,energiedragers_EP_omrekenen,MATCH($B171,energiedragers_EP_omrekenen_titel,0),FALSE),1)</f>
        <v>1</v>
      </c>
      <c r="BE171" s="47" t="str">
        <f>_xlfn.CONCAT(N171,"/",T171)</f>
        <v>kWh/kWh</v>
      </c>
      <c r="BF171" s="899"/>
      <c r="BG171" s="218">
        <f>IFERROR(INDEX(tabellen_EMD!$C$240:$Z$248,MATCH($J171,tabellen_EMD!$C$240:$C$248,0),MATCH($B171,tabellen_EMD!$C$240:$Z$240,0))*(F171&lt;&gt;"zomercomfort"),0)</f>
        <v>0.34</v>
      </c>
      <c r="BH171" s="47" t="str">
        <f>"kg/"&amp;T171</f>
        <v>kg/kWh</v>
      </c>
      <c r="BI171" s="899"/>
    </row>
    <row r="172" spans="1:61">
      <c r="A172" s="86"/>
      <c r="B172" s="47" t="str">
        <f t="shared" si="86"/>
        <v>Uniec 3 finaal</v>
      </c>
      <c r="C172" s="47" t="str">
        <f t="shared" si="86"/>
        <v>NTA 8800</v>
      </c>
      <c r="D172" s="943"/>
      <c r="E172" s="14"/>
      <c r="F172" s="22" t="s">
        <v>1447</v>
      </c>
      <c r="G172" s="22"/>
      <c r="H172" s="22"/>
      <c r="I172" s="905"/>
      <c r="J172" s="965"/>
      <c r="K172" s="965"/>
      <c r="L172" s="965"/>
      <c r="M172" s="965"/>
      <c r="N172" s="965"/>
      <c r="O172" s="965"/>
      <c r="P172" s="965"/>
      <c r="Q172" s="965"/>
      <c r="R172" s="965"/>
      <c r="S172" s="965"/>
      <c r="T172" s="965"/>
      <c r="U172" s="965"/>
      <c r="V172" s="965"/>
      <c r="W172" s="965"/>
      <c r="X172" s="965"/>
      <c r="Y172" s="965"/>
      <c r="Z172" s="965"/>
      <c r="AA172" s="965"/>
      <c r="AB172" s="67"/>
      <c r="AC172" s="995"/>
      <c r="AD172" s="1405"/>
      <c r="AE172" s="1405"/>
      <c r="AF172" s="1405"/>
      <c r="AG172" s="1405"/>
      <c r="AH172" s="1405"/>
      <c r="AI172" s="1405"/>
      <c r="AJ172" s="1405"/>
      <c r="AK172" s="1405"/>
      <c r="AL172" s="1405"/>
      <c r="AM172" s="1405"/>
      <c r="AN172" s="1405"/>
      <c r="AO172" s="1405"/>
      <c r="AP172" s="1405"/>
      <c r="AQ172" s="1405"/>
      <c r="AR172" s="1405"/>
      <c r="AS172" s="67"/>
      <c r="AT172" s="995"/>
      <c r="AU172" s="12"/>
      <c r="AV172" s="22" t="str">
        <f t="shared" si="87"/>
        <v>elek: niet gebouwgebonden installaties</v>
      </c>
      <c r="AW172" s="899"/>
      <c r="AX172" s="899"/>
      <c r="AY172" s="899"/>
      <c r="AZ172" s="899"/>
      <c r="BA172" s="899"/>
      <c r="BB172" s="899"/>
      <c r="BC172" s="899"/>
      <c r="BD172" s="899"/>
      <c r="BE172" s="899"/>
      <c r="BF172" s="899"/>
      <c r="BG172" s="899"/>
      <c r="BH172" s="899"/>
      <c r="BI172" s="899"/>
    </row>
    <row r="173" spans="1:61">
      <c r="A173" s="86"/>
      <c r="B173" s="47" t="str">
        <f t="shared" si="86"/>
        <v>Uniec 3 finaal</v>
      </c>
      <c r="C173" s="47" t="str">
        <f t="shared" si="86"/>
        <v>NTA 8800</v>
      </c>
      <c r="D173" s="943"/>
      <c r="E173" s="14"/>
      <c r="F173" s="22" t="s">
        <v>1448</v>
      </c>
      <c r="G173" s="22"/>
      <c r="H173" s="22"/>
      <c r="I173" s="905"/>
      <c r="J173" s="1691" t="s">
        <v>466</v>
      </c>
      <c r="K173" s="1698"/>
      <c r="L173" s="16"/>
      <c r="M173" s="24">
        <f>Q173*S173*BD173</f>
        <v>0</v>
      </c>
      <c r="N173" s="47" t="str">
        <f t="shared" si="88"/>
        <v>kWh</v>
      </c>
      <c r="O173" s="909"/>
      <c r="P173" s="39"/>
      <c r="Q173" s="59">
        <f>IFERROR(IF(AND(P173&lt;&gt;"",$BA173=1),P173,BB173),1)</f>
        <v>1.45</v>
      </c>
      <c r="R173" s="15"/>
      <c r="S173" s="25"/>
      <c r="T173" s="47" t="str">
        <f>IFERROR(INDEX(energiedragers_EP_eenheden,MATCH($J173,tabellen_EMD!$C$196:$C$204,0),MATCH($B173,energiedragers_EP_eenheden_titel,0)),"-")</f>
        <v>kWh</v>
      </c>
      <c r="U173" s="1156"/>
      <c r="V173" s="15"/>
      <c r="W173" s="59">
        <f>IF(AND(V173&lt;&gt;"",$BA173=1),V173,BG173)</f>
        <v>0.34</v>
      </c>
      <c r="X173" s="47" t="str">
        <f>BH173</f>
        <v>kg/kWh</v>
      </c>
      <c r="Y173" s="12"/>
      <c r="Z173" s="24">
        <f>S173*W173*ABS(AZ173)</f>
        <v>0</v>
      </c>
      <c r="AA173" s="47" t="s">
        <v>468</v>
      </c>
      <c r="AB173" s="67"/>
      <c r="AC173" s="995"/>
      <c r="AD173" s="1405"/>
      <c r="AE173" s="1405"/>
      <c r="AF173" s="1405"/>
      <c r="AG173" s="1405"/>
      <c r="AH173" s="1405"/>
      <c r="AI173" s="1405"/>
      <c r="AJ173" s="1405"/>
      <c r="AK173" s="1405"/>
      <c r="AL173" s="1405"/>
      <c r="AM173" s="1405"/>
      <c r="AN173" s="1405"/>
      <c r="AO173" s="1405"/>
      <c r="AP173" s="1405"/>
      <c r="AQ173" s="1405"/>
      <c r="AR173" s="1405"/>
      <c r="AS173" s="67"/>
      <c r="AT173" s="995"/>
      <c r="AU173" s="12"/>
      <c r="AV173" s="22" t="str">
        <f t="shared" si="87"/>
        <v>elek: opgewekte elektriciteit</v>
      </c>
      <c r="AW173" s="46" t="str">
        <f t="shared" ref="AW173:AW178" si="89">J173</f>
        <v>elektriciteit opgewekt</v>
      </c>
      <c r="AX173" s="24"/>
      <c r="AY173" s="12"/>
      <c r="AZ173" s="115">
        <v>1</v>
      </c>
      <c r="BA173" s="24">
        <f>IFERROR(INDEX(tabellen_EMD!$C$185:$N$193,MATCH($J173,tabellen_EMD!$C$185:$C$193,0),MATCH(BA$63,tabellen_EMD!$C$185:$N$185,0)),0)</f>
        <v>0</v>
      </c>
      <c r="BB173" s="115">
        <f>VLOOKUP($J173,energiedragers_EP_PEF,MATCH(_xlfn.CONCAT($C173," | PEF"),energiedragers_EP_PEF_titel,0),FALSE)</f>
        <v>1.45</v>
      </c>
      <c r="BC173" s="899"/>
      <c r="BD173" s="115">
        <f>IFERROR(VLOOKUP($J173,energiedragers_EP_omrekenen,MATCH($B173,energiedragers_EP_omrekenen_titel,0),FALSE),1)</f>
        <v>1</v>
      </c>
      <c r="BE173" s="47" t="str">
        <f>_xlfn.CONCAT(N173,"/",T173)</f>
        <v>kWh/kWh</v>
      </c>
      <c r="BF173" s="899"/>
      <c r="BG173" s="218">
        <f>IFERROR(INDEX(tabellen_EMD!$C$240:$Z$248,MATCH($J173,tabellen_EMD!$C$240:$C$248,0),MATCH($B173,tabellen_EMD!$C$240:$Z$240,0))*(F173&lt;&gt;"zomercomfort"),0)</f>
        <v>0.34</v>
      </c>
      <c r="BH173" s="47" t="str">
        <f>"kg/"&amp;T173</f>
        <v>kg/kWh</v>
      </c>
      <c r="BI173" s="899"/>
    </row>
    <row r="174" spans="1:61">
      <c r="A174" s="86"/>
      <c r="B174" s="47" t="str">
        <f t="shared" si="86"/>
        <v>Uniec 3 finaal</v>
      </c>
      <c r="C174" s="47" t="str">
        <f t="shared" si="86"/>
        <v>NTA 8800</v>
      </c>
      <c r="D174" s="943"/>
      <c r="E174" s="14"/>
      <c r="F174" s="22" t="s">
        <v>1450</v>
      </c>
      <c r="G174" s="22"/>
      <c r="H174" s="22"/>
      <c r="I174" s="905"/>
      <c r="J174" s="1691" t="s">
        <v>463</v>
      </c>
      <c r="K174" s="1698"/>
      <c r="L174" s="16"/>
      <c r="M174" s="24">
        <f>Q174*S174*BD174</f>
        <v>0</v>
      </c>
      <c r="N174" s="47" t="str">
        <f t="shared" si="88"/>
        <v>kWh</v>
      </c>
      <c r="O174" s="909"/>
      <c r="P174" s="39"/>
      <c r="Q174" s="59">
        <f>IFERROR(IF(AND(P174&lt;&gt;"",$BA174=1),P174,BB174),1)</f>
        <v>1</v>
      </c>
      <c r="R174" s="15"/>
      <c r="S174" s="25"/>
      <c r="T174" s="47" t="str">
        <f>IFERROR(INDEX(energiedragers_EP_eenheden,MATCH($J174,tabellen_EMD!$C$196:$C$204,0),MATCH($B174,energiedragers_EP_eenheden_titel,0)),"-")</f>
        <v>m3 aeq</v>
      </c>
      <c r="U174" s="39"/>
      <c r="V174" s="15"/>
      <c r="W174" s="59">
        <f>IF(AND(V174&lt;&gt;"",$BA174=1),V174,BG174)</f>
        <v>1.788</v>
      </c>
      <c r="X174" s="47" t="str">
        <f>BH174</f>
        <v>kg/m3 aeq</v>
      </c>
      <c r="Y174" s="12"/>
      <c r="Z174" s="24">
        <f>S174*W174*ABS(AZ174)</f>
        <v>0</v>
      </c>
      <c r="AA174" s="47" t="s">
        <v>468</v>
      </c>
      <c r="AB174" s="67"/>
      <c r="AC174" s="995"/>
      <c r="AD174" s="1405"/>
      <c r="AE174" s="1405"/>
      <c r="AF174" s="1405"/>
      <c r="AG174" s="1405"/>
      <c r="AH174" s="1405"/>
      <c r="AI174" s="1405"/>
      <c r="AJ174" s="1405"/>
      <c r="AK174" s="1405"/>
      <c r="AL174" s="1405"/>
      <c r="AM174" s="1405"/>
      <c r="AN174" s="1405"/>
      <c r="AO174" s="1405"/>
      <c r="AP174" s="1405"/>
      <c r="AQ174" s="1405"/>
      <c r="AR174" s="1405"/>
      <c r="AS174" s="67"/>
      <c r="AT174" s="995"/>
      <c r="AU174" s="12"/>
      <c r="AV174" s="22" t="str">
        <f t="shared" si="87"/>
        <v>gas (tbv verwarming / tapwater)</v>
      </c>
      <c r="AW174" s="46" t="str">
        <f t="shared" si="89"/>
        <v>aardgas</v>
      </c>
      <c r="AX174" s="24"/>
      <c r="AY174" s="12"/>
      <c r="AZ174" s="115">
        <v>1</v>
      </c>
      <c r="BA174" s="24">
        <f>IFERROR(INDEX(tabellen_EMD!$C$185:$N$193,MATCH($J174,tabellen_EMD!$C$185:$C$193,0),MATCH(BA$63,tabellen_EMD!$C$185:$N$185,0)),0)</f>
        <v>0</v>
      </c>
      <c r="BB174" s="115">
        <f>VLOOKUP($J174,energiedragers_EP_PEF,MATCH(_xlfn.CONCAT($C174," | PEF"),energiedragers_EP_PEF_titel,0),FALSE)</f>
        <v>1</v>
      </c>
      <c r="BC174" s="899"/>
      <c r="BD174" s="115">
        <f>IFERROR(VLOOKUP($J174,energiedragers_EP_omrekenen,MATCH($B174,energiedragers_EP_omrekenen_titel,0),FALSE),1)</f>
        <v>9.7694444444444439</v>
      </c>
      <c r="BE174" s="47" t="str">
        <f>_xlfn.CONCAT(N174,"/",T174)</f>
        <v>kWh/m3 aeq</v>
      </c>
      <c r="BF174" s="899"/>
      <c r="BG174" s="218">
        <f>IFERROR(INDEX(tabellen_EMD!$C$240:$Z$248,MATCH($J174,tabellen_EMD!$C$240:$C$248,0),MATCH($B174,tabellen_EMD!$C$240:$Z$240,0))*(F174&lt;&gt;"zomercomfort"),0)</f>
        <v>1.788</v>
      </c>
      <c r="BH174" s="47" t="str">
        <f>"kg/"&amp;T174</f>
        <v>kg/m3 aeq</v>
      </c>
      <c r="BI174" s="899"/>
    </row>
    <row r="175" spans="1:61">
      <c r="A175" s="86"/>
      <c r="B175" s="47" t="str">
        <f t="shared" si="86"/>
        <v>Uniec 3 finaal</v>
      </c>
      <c r="C175" s="47" t="str">
        <f t="shared" si="86"/>
        <v>NTA 8800</v>
      </c>
      <c r="D175" s="943"/>
      <c r="E175" s="14"/>
      <c r="F175" s="22" t="s">
        <v>1449</v>
      </c>
      <c r="G175" s="22"/>
      <c r="H175" s="22"/>
      <c r="I175" s="905"/>
      <c r="J175" s="1691" t="s">
        <v>467</v>
      </c>
      <c r="K175" s="1698"/>
      <c r="L175" s="16"/>
      <c r="M175" s="24">
        <f>Q175*S175*BD175</f>
        <v>0</v>
      </c>
      <c r="N175" s="47" t="str">
        <f t="shared" si="88"/>
        <v>kWh</v>
      </c>
      <c r="O175" s="909"/>
      <c r="P175" s="154"/>
      <c r="Q175" s="59">
        <f>IFERROR(IF(AND(P175&lt;&gt;"",$BA175=1),P175,BB175),1)</f>
        <v>1</v>
      </c>
      <c r="R175" s="15"/>
      <c r="S175" s="25"/>
      <c r="T175" s="47" t="str">
        <f>IFERROR(INDEX(energiedragers_EP_eenheden,MATCH($J175,tabellen_EMD!$C$196:$C$204,0),MATCH($B175,energiedragers_EP_eenheden_titel,0)),"-")</f>
        <v>kWh</v>
      </c>
      <c r="U175" s="39"/>
      <c r="V175" s="15"/>
      <c r="W175" s="59">
        <f>IF(AND(V175&lt;&gt;"",$BA175=1),V175,BG175)</f>
        <v>0.372</v>
      </c>
      <c r="X175" s="47" t="str">
        <f>BH175</f>
        <v>kg/kWh</v>
      </c>
      <c r="Y175" s="12"/>
      <c r="Z175" s="24">
        <f>S175*W175*ABS(AZ175)</f>
        <v>0</v>
      </c>
      <c r="AA175" s="47" t="s">
        <v>468</v>
      </c>
      <c r="AB175" s="67"/>
      <c r="AC175" s="995"/>
      <c r="AD175" s="1405"/>
      <c r="AE175" s="1405"/>
      <c r="AF175" s="1405"/>
      <c r="AG175" s="1405"/>
      <c r="AH175" s="1405"/>
      <c r="AI175" s="1405"/>
      <c r="AJ175" s="1405"/>
      <c r="AK175" s="1405"/>
      <c r="AL175" s="1405"/>
      <c r="AM175" s="1405"/>
      <c r="AN175" s="1405"/>
      <c r="AO175" s="1405"/>
      <c r="AP175" s="1405"/>
      <c r="AQ175" s="1405"/>
      <c r="AR175" s="1405"/>
      <c r="AS175" s="67"/>
      <c r="AT175" s="995"/>
      <c r="AU175" s="12"/>
      <c r="AV175" s="22" t="str">
        <f t="shared" si="87"/>
        <v>biomassa (tbv verwarming / tapwater)</v>
      </c>
      <c r="AW175" s="46" t="str">
        <f t="shared" si="89"/>
        <v>hout / biomassa</v>
      </c>
      <c r="AX175" s="24"/>
      <c r="AY175" s="12"/>
      <c r="AZ175" s="115">
        <v>1</v>
      </c>
      <c r="BA175" s="24">
        <f>IFERROR(INDEX(tabellen_EMD!$C$185:$N$193,MATCH($J175,tabellen_EMD!$C$185:$C$193,0),MATCH(BA$63,tabellen_EMD!$C$185:$N$185,0)),0)</f>
        <v>1</v>
      </c>
      <c r="BB175" s="115">
        <f>VLOOKUP($J175,energiedragers_EP_PEF,MATCH(_xlfn.CONCAT($C175," | PEF"),energiedragers_EP_PEF_titel,0),FALSE)</f>
        <v>1</v>
      </c>
      <c r="BC175" s="899"/>
      <c r="BD175" s="115">
        <f>IFERROR(VLOOKUP($J175,energiedragers_EP_omrekenen,MATCH($B175,energiedragers_EP_omrekenen_titel,0),FALSE),1)</f>
        <v>1</v>
      </c>
      <c r="BE175" s="47" t="str">
        <f>_xlfn.CONCAT(N175,"/",T175)</f>
        <v>kWh/kWh</v>
      </c>
      <c r="BF175" s="899"/>
      <c r="BG175" s="218">
        <f>IFERROR(INDEX(tabellen_EMD!$C$240:$Z$248,MATCH($J175,tabellen_EMD!$C$240:$C$248,0),MATCH($B175,tabellen_EMD!$C$240:$Z$240,0))*(F175&lt;&gt;"zomercomfort"),0)</f>
        <v>0.372</v>
      </c>
      <c r="BH175" s="47" t="str">
        <f>"kg/"&amp;T175</f>
        <v>kg/kWh</v>
      </c>
      <c r="BI175" s="899"/>
    </row>
    <row r="176" spans="1:61">
      <c r="A176" s="86"/>
      <c r="B176" s="47" t="str">
        <f t="shared" si="86"/>
        <v>Uniec 3 finaal</v>
      </c>
      <c r="C176" s="47" t="str">
        <f t="shared" si="86"/>
        <v>NTA 8800</v>
      </c>
      <c r="D176" s="943"/>
      <c r="E176" s="14"/>
      <c r="F176" s="52" t="s">
        <v>500</v>
      </c>
      <c r="G176" s="52"/>
      <c r="H176" s="52"/>
      <c r="I176" s="905"/>
      <c r="J176" s="1691" t="s">
        <v>1539</v>
      </c>
      <c r="K176" s="1698"/>
      <c r="L176" s="16"/>
      <c r="M176" s="24">
        <f>Q176*S176*BD176</f>
        <v>0</v>
      </c>
      <c r="N176" s="47" t="str">
        <f t="shared" si="88"/>
        <v>kWh</v>
      </c>
      <c r="O176" s="909"/>
      <c r="P176" s="154"/>
      <c r="Q176" s="59">
        <f>IFERROR(IF(AND(P176&lt;&gt;"",$BA176=1),P176,BB176),1)</f>
        <v>0.90909090909090906</v>
      </c>
      <c r="R176" s="15"/>
      <c r="S176" s="789"/>
      <c r="T176" s="47" t="str">
        <f>IFERROR(INDEX(energiedragers_EP_eenheden,MATCH($J176,tabellen_EMD!$C$196:$C$204,0),MATCH($B176,energiedragers_EP_eenheden_titel,0)),"-")</f>
        <v>GJ</v>
      </c>
      <c r="U176" s="39"/>
      <c r="V176" s="154"/>
      <c r="W176" s="59">
        <f>IF(AND(V176&lt;&gt;"",$BA176=1),V176,BG176)</f>
        <v>47.222000000000001</v>
      </c>
      <c r="X176" s="47" t="str">
        <f t="shared" ref="X176:X177" si="90">BH176</f>
        <v>kg/GJ</v>
      </c>
      <c r="Y176" s="12"/>
      <c r="Z176" s="24">
        <f>S176*W176*ABS(AZ176)</f>
        <v>0</v>
      </c>
      <c r="AA176" s="47" t="s">
        <v>468</v>
      </c>
      <c r="AB176" s="67"/>
      <c r="AC176" s="995"/>
      <c r="AD176" s="1405"/>
      <c r="AE176" s="1405"/>
      <c r="AF176" s="1405"/>
      <c r="AG176" s="1405"/>
      <c r="AH176" s="1405"/>
      <c r="AI176" s="1405"/>
      <c r="AJ176" s="1405"/>
      <c r="AK176" s="1405"/>
      <c r="AL176" s="1405"/>
      <c r="AM176" s="1405"/>
      <c r="AN176" s="1405"/>
      <c r="AO176" s="1405"/>
      <c r="AP176" s="1405"/>
      <c r="AQ176" s="1405"/>
      <c r="AR176" s="1405"/>
      <c r="AS176" s="67"/>
      <c r="AT176" s="995"/>
      <c r="AU176" s="12"/>
      <c r="AV176" s="22" t="str">
        <f t="shared" si="87"/>
        <v>externe warmtelevering</v>
      </c>
      <c r="AW176" s="46" t="str">
        <f t="shared" si="89"/>
        <v>externe warmte</v>
      </c>
      <c r="AX176" s="12"/>
      <c r="AY176" s="12"/>
      <c r="AZ176" s="115">
        <v>1</v>
      </c>
      <c r="BA176" s="24">
        <f>IFERROR(INDEX(tabellen_EMD!$C$185:$N$193,MATCH($J176,tabellen_EMD!$C$185:$C$193,0),MATCH(BA$63,tabellen_EMD!$C$185:$N$185,0)),0)</f>
        <v>1</v>
      </c>
      <c r="BB176" s="115">
        <f>VLOOKUP($J176,energiedragers_EP_PEF,MATCH(_xlfn.CONCAT($C176," | PEF"),energiedragers_EP_PEF_titel,0),FALSE)</f>
        <v>0.90909090909090906</v>
      </c>
      <c r="BC176" s="899"/>
      <c r="BD176" s="115">
        <f>IFERROR(VLOOKUP($J176,energiedragers_EP_omrekenen,MATCH($B176,energiedragers_EP_omrekenen_titel,0),FALSE),1)</f>
        <v>277.77777777777777</v>
      </c>
      <c r="BE176" s="47" t="str">
        <f>_xlfn.CONCAT(N176,"/",T176)</f>
        <v>kWh/GJ</v>
      </c>
      <c r="BF176" s="899"/>
      <c r="BG176" s="24">
        <f>IFERROR(INDEX(tabellen_EMD!$C$240:$Z$248,MATCH($J176,tabellen_EMD!$C$240:$C$248,0),MATCH($B176,tabellen_EMD!$C$240:$Z$240,0))*(F176&lt;&gt;"zomercomfort"),0)</f>
        <v>47.222000000000001</v>
      </c>
      <c r="BH176" s="22" t="str">
        <f>"kg/"&amp;T176</f>
        <v>kg/GJ</v>
      </c>
      <c r="BI176" s="899"/>
    </row>
    <row r="177" spans="1:61">
      <c r="A177" s="86"/>
      <c r="B177" s="47" t="str">
        <f t="shared" si="86"/>
        <v>Uniec 3 finaal</v>
      </c>
      <c r="C177" s="47" t="str">
        <f t="shared" si="86"/>
        <v>NTA 8800</v>
      </c>
      <c r="D177" s="943"/>
      <c r="E177" s="14"/>
      <c r="F177" s="52" t="s">
        <v>1598</v>
      </c>
      <c r="G177" s="52"/>
      <c r="H177" s="52"/>
      <c r="I177" s="905"/>
      <c r="J177" s="1691" t="s">
        <v>1599</v>
      </c>
      <c r="K177" s="1698"/>
      <c r="L177" s="16"/>
      <c r="M177" s="24">
        <f>Q177*S177*BD177</f>
        <v>0</v>
      </c>
      <c r="N177" s="47" t="str">
        <f t="shared" si="88"/>
        <v>kWh</v>
      </c>
      <c r="O177" s="909"/>
      <c r="P177" s="154"/>
      <c r="Q177" s="59">
        <f>IFERROR(IF(AND(P177&lt;&gt;"",$BA177=1),P177,BB177),1)</f>
        <v>3.3333333333333333E-2</v>
      </c>
      <c r="R177" s="15"/>
      <c r="S177" s="789"/>
      <c r="T177" s="47" t="str">
        <f>IFERROR(INDEX(energiedragers_EP_eenheden,MATCH($J177,tabellen_EMD!$C$196:$C$204,0),MATCH($B177,energiedragers_EP_eenheden_titel,0)),"-")</f>
        <v>GJ</v>
      </c>
      <c r="U177" s="39"/>
      <c r="V177" s="154"/>
      <c r="W177" s="59">
        <f>IF(AND(V177&lt;&gt;"",$BA177=1),V177,BG177)</f>
        <v>31.481000000000002</v>
      </c>
      <c r="X177" s="47" t="str">
        <f t="shared" si="90"/>
        <v>kg/GJ</v>
      </c>
      <c r="Y177" s="12"/>
      <c r="Z177" s="24">
        <f>S177*W177*ABS(AZ177)</f>
        <v>0</v>
      </c>
      <c r="AA177" s="47" t="s">
        <v>468</v>
      </c>
      <c r="AB177" s="67"/>
      <c r="AC177" s="995"/>
      <c r="AD177" s="1405"/>
      <c r="AE177" s="1405"/>
      <c r="AF177" s="1405"/>
      <c r="AG177" s="1405"/>
      <c r="AH177" s="1405"/>
      <c r="AI177" s="1405"/>
      <c r="AJ177" s="1405"/>
      <c r="AK177" s="1405"/>
      <c r="AL177" s="1405"/>
      <c r="AM177" s="1405"/>
      <c r="AN177" s="1405"/>
      <c r="AO177" s="1405"/>
      <c r="AP177" s="1405"/>
      <c r="AQ177" s="1405"/>
      <c r="AR177" s="1405"/>
      <c r="AS177" s="67"/>
      <c r="AT177" s="995"/>
      <c r="AU177" s="12"/>
      <c r="AV177" s="22" t="str">
        <f t="shared" si="87"/>
        <v>externe koudelevering</v>
      </c>
      <c r="AW177" s="46" t="str">
        <f t="shared" si="89"/>
        <v>externe koude</v>
      </c>
      <c r="AX177" s="12"/>
      <c r="AY177" s="12"/>
      <c r="AZ177" s="115">
        <v>1</v>
      </c>
      <c r="BA177" s="24">
        <f>IFERROR(INDEX(tabellen_EMD!$C$185:$N$193,MATCH($J177,tabellen_EMD!$C$185:$C$193,0),MATCH(BA$63,tabellen_EMD!$C$185:$N$185,0)),0)</f>
        <v>1</v>
      </c>
      <c r="BB177" s="115">
        <f>VLOOKUP($J177,energiedragers_EP_PEF,MATCH(_xlfn.CONCAT($C177," | PEF"),energiedragers_EP_PEF_titel,0),FALSE)</f>
        <v>3.3333333333333333E-2</v>
      </c>
      <c r="BC177" s="899"/>
      <c r="BD177" s="115">
        <f>IFERROR(VLOOKUP($J177,energiedragers_EP_omrekenen,MATCH($B177,energiedragers_EP_omrekenen_titel,0),FALSE),1)</f>
        <v>277.77777777777777</v>
      </c>
      <c r="BE177" s="47" t="str">
        <f>_xlfn.CONCAT(N177,"/",T177)</f>
        <v>kWh/GJ</v>
      </c>
      <c r="BF177" s="899"/>
      <c r="BG177" s="24">
        <f>IFERROR(INDEX(tabellen_EMD!$C$240:$Z$248,MATCH($J177,tabellen_EMD!$C$240:$C$248,0),MATCH($B177,tabellen_EMD!$C$240:$Z$240,0))*(F177&lt;&gt;"zomercomfort"),0)</f>
        <v>31.481000000000002</v>
      </c>
      <c r="BH177" s="22" t="str">
        <f>"kg/"&amp;T177</f>
        <v>kg/GJ</v>
      </c>
      <c r="BI177" s="899"/>
    </row>
    <row r="178" spans="1:61" s="940" customFormat="1">
      <c r="A178" s="49"/>
      <c r="B178" s="47" t="str">
        <f>B176</f>
        <v>Uniec 3 finaal</v>
      </c>
      <c r="C178" s="47" t="str">
        <f>C176</f>
        <v>NTA 8800</v>
      </c>
      <c r="D178" s="943"/>
      <c r="E178" s="14"/>
      <c r="F178" s="15" t="s">
        <v>1391</v>
      </c>
      <c r="G178" s="15"/>
      <c r="H178" s="15"/>
      <c r="I178" s="905"/>
      <c r="J178" s="43" t="s">
        <v>1391</v>
      </c>
      <c r="K178" s="43"/>
      <c r="L178" s="16"/>
      <c r="M178" s="950">
        <f>SUM(M171,M174,M175,M176,M177-M173)</f>
        <v>0</v>
      </c>
      <c r="N178" s="15" t="str">
        <f t="shared" si="88"/>
        <v>kWh</v>
      </c>
      <c r="O178" s="15"/>
      <c r="P178" s="39"/>
      <c r="Q178" s="39"/>
      <c r="R178" s="15"/>
      <c r="S178" s="899"/>
      <c r="T178" s="899"/>
      <c r="U178" s="39"/>
      <c r="V178" s="39"/>
      <c r="W178" s="39"/>
      <c r="X178" s="39"/>
      <c r="Y178" s="12"/>
      <c r="Z178" s="950">
        <f>SUM(Z171,Z174,Z175,Z176,Z177-Z173)</f>
        <v>0</v>
      </c>
      <c r="AA178" s="15" t="s">
        <v>468</v>
      </c>
      <c r="AB178" s="67"/>
      <c r="AC178" s="995"/>
      <c r="AD178" s="1405"/>
      <c r="AE178" s="1405"/>
      <c r="AF178" s="1405"/>
      <c r="AG178" s="1405"/>
      <c r="AH178" s="1405"/>
      <c r="AI178" s="1405"/>
      <c r="AJ178" s="1405"/>
      <c r="AK178" s="1405"/>
      <c r="AL178" s="1405"/>
      <c r="AM178" s="1405"/>
      <c r="AN178" s="1405"/>
      <c r="AO178" s="1405"/>
      <c r="AP178" s="1405"/>
      <c r="AQ178" s="1405"/>
      <c r="AR178" s="1405"/>
      <c r="AS178" s="67"/>
      <c r="AT178" s="995"/>
      <c r="AU178" s="12"/>
      <c r="AV178" s="22" t="str">
        <f t="shared" si="87"/>
        <v>totaal</v>
      </c>
      <c r="AW178" s="46" t="str">
        <f t="shared" si="89"/>
        <v>totaal</v>
      </c>
      <c r="AX178" s="24"/>
      <c r="AY178" s="12"/>
      <c r="AZ178" s="24"/>
      <c r="BA178" s="12"/>
      <c r="BB178" s="24"/>
      <c r="BC178" s="899"/>
      <c r="BD178" s="12"/>
      <c r="BE178" s="12"/>
      <c r="BF178" s="899"/>
      <c r="BG178" s="12"/>
      <c r="BH178" s="12"/>
      <c r="BI178" s="899"/>
    </row>
    <row r="179" spans="1:61" s="49" customFormat="1">
      <c r="A179" s="212"/>
      <c r="B179" s="47" t="str">
        <f t="shared" si="86"/>
        <v>Uniec 3 finaal</v>
      </c>
      <c r="C179" s="47" t="str">
        <f t="shared" si="86"/>
        <v>NTA 8800</v>
      </c>
      <c r="D179" s="943"/>
      <c r="E179" s="50"/>
      <c r="F179" s="452" t="str">
        <f>IFERROR(IF($P$23=$B179,_xlfn.CONCAT("Bij 1.1 ingevuld: ",FIXED($J$35,2,FALSE)," ",$K$35),""),"invoer niet correct")</f>
        <v/>
      </c>
      <c r="G179" s="452"/>
      <c r="H179" s="452"/>
      <c r="I179" s="905"/>
      <c r="J179" s="909" t="str">
        <f>IFERROR(IF($P$23=$B179,IF(ABS((M179-$J$35)/$J$35)&gt;1%,"Afwijking &gt;1% met subthema 1.1",""),""),"invoer niet correct")</f>
        <v/>
      </c>
      <c r="K179" s="909"/>
      <c r="L179" s="910"/>
      <c r="M179" s="1339" t="str">
        <f>IFERROR(IF($P$23=$B179,M178/$J$59,""),"")</f>
        <v/>
      </c>
      <c r="N179" s="452" t="str">
        <f>IF($P$23=$B179,_xlfn.CONCAT(N178,"/m2"),"")</f>
        <v/>
      </c>
      <c r="O179" s="452"/>
      <c r="P179" s="39"/>
      <c r="Q179" s="39"/>
      <c r="R179" s="899"/>
      <c r="S179" s="899"/>
      <c r="T179" s="899"/>
      <c r="U179" s="39"/>
      <c r="V179" s="39"/>
      <c r="W179" s="910" t="str">
        <f>IFERROR(IF($P$23=$B179,_xlfn.CONCAT("Bij 1.1 ingevuld: ",FIXED($AG$40,1,FALSE)," ",$AH$40),""),"invoer niet correct")</f>
        <v/>
      </c>
      <c r="X179" s="909" t="str">
        <f>IFERROR(IF($P$23=$B179,IF(ABS((Z179-$AG$40)/$AG$40)&gt;1%,"afwijking &gt;1% met subthema 1.1",""),""),"invoer niet correct")</f>
        <v/>
      </c>
      <c r="Y179" s="12"/>
      <c r="Z179" s="951" t="str">
        <f>IFERROR(IF($P$23=$B179,Z178/$J$58,""),"")</f>
        <v/>
      </c>
      <c r="AA179" s="452" t="str">
        <f>IF($P$23=$B179,_xlfn.CONCAT(AA178,"/m2"),"")</f>
        <v/>
      </c>
      <c r="AB179" s="1393"/>
      <c r="AC179" s="1001"/>
      <c r="AD179" s="1405"/>
      <c r="AE179" s="1405"/>
      <c r="AF179" s="1405"/>
      <c r="AG179" s="1405"/>
      <c r="AH179" s="1405"/>
      <c r="AI179" s="1405"/>
      <c r="AJ179" s="1405"/>
      <c r="AK179" s="1405"/>
      <c r="AL179" s="1405"/>
      <c r="AM179" s="1405"/>
      <c r="AN179" s="1405"/>
      <c r="AO179" s="1405"/>
      <c r="AP179" s="1405"/>
      <c r="AQ179" s="1405"/>
      <c r="AR179" s="1405"/>
      <c r="AS179" s="1393"/>
      <c r="AT179" s="1001"/>
      <c r="AU179" s="12"/>
      <c r="AV179" s="452"/>
      <c r="AW179" s="452"/>
      <c r="AX179" s="452"/>
      <c r="AY179" s="452"/>
      <c r="AZ179" s="452"/>
      <c r="BA179" s="452"/>
      <c r="BB179" s="452"/>
      <c r="BC179" s="452"/>
      <c r="BD179" s="452"/>
      <c r="BE179" s="452"/>
      <c r="BF179" s="452"/>
      <c r="BG179" s="899"/>
      <c r="BH179" s="899"/>
      <c r="BI179" s="899"/>
    </row>
    <row r="180" spans="1:61">
      <c r="A180" s="86"/>
      <c r="B180" s="47" t="str">
        <f t="shared" si="86"/>
        <v>Uniec 3 finaal</v>
      </c>
      <c r="C180" s="47" t="str">
        <f t="shared" si="86"/>
        <v>NTA 8800</v>
      </c>
      <c r="D180" s="943"/>
      <c r="E180" s="14"/>
      <c r="F180" s="43"/>
      <c r="G180" s="43"/>
      <c r="H180" s="43"/>
      <c r="I180" s="905"/>
      <c r="J180" s="55"/>
      <c r="K180" s="55"/>
      <c r="L180" s="53"/>
      <c r="M180" s="54"/>
      <c r="N180" s="56"/>
      <c r="O180" s="148"/>
      <c r="P180" s="39"/>
      <c r="Q180" s="39"/>
      <c r="R180" s="53"/>
      <c r="S180" s="1"/>
      <c r="T180" s="53"/>
      <c r="U180" s="39"/>
      <c r="V180" s="39"/>
      <c r="W180" s="39"/>
      <c r="X180" s="39"/>
      <c r="Y180" s="12"/>
      <c r="Z180" s="13"/>
      <c r="AA180" s="13"/>
      <c r="AB180" s="67"/>
      <c r="AC180" s="995"/>
      <c r="AD180" s="1405"/>
      <c r="AE180" s="1405"/>
      <c r="AF180" s="1405"/>
      <c r="AG180" s="1405"/>
      <c r="AH180" s="1405"/>
      <c r="AI180" s="1405"/>
      <c r="AJ180" s="1405"/>
      <c r="AK180" s="1405"/>
      <c r="AL180" s="1405"/>
      <c r="AM180" s="1405"/>
      <c r="AN180" s="1405"/>
      <c r="AO180" s="1405"/>
      <c r="AP180" s="1405"/>
      <c r="AQ180" s="1405"/>
      <c r="AR180" s="1405"/>
      <c r="AS180" s="67"/>
      <c r="AT180" s="995"/>
      <c r="AU180" s="12"/>
      <c r="AV180" s="12"/>
      <c r="AW180" s="12"/>
      <c r="AX180" s="12"/>
      <c r="AY180" s="12"/>
      <c r="AZ180" s="12"/>
      <c r="BA180" s="12"/>
      <c r="BB180" s="12"/>
      <c r="BC180" s="12"/>
      <c r="BD180" s="12"/>
      <c r="BE180" s="12"/>
      <c r="BF180" s="12"/>
      <c r="BG180" s="12"/>
      <c r="BH180" s="12"/>
      <c r="BI180" s="12"/>
    </row>
    <row r="181" spans="1:61" s="49" customFormat="1">
      <c r="A181" s="212" t="s">
        <v>493</v>
      </c>
      <c r="B181" s="1005" t="str">
        <f>$P$23</f>
        <v>VABI NTA 8800</v>
      </c>
      <c r="C181" s="1005" t="str">
        <f>VLOOKUP(B181,'EP naar GPR4'!$AV$40:$AY$48,COLUMNS($AV$40:$AX$40),FALSE)</f>
        <v>NTA 8800</v>
      </c>
      <c r="D181" s="947"/>
      <c r="E181" s="50"/>
      <c r="F181" s="43" t="s">
        <v>1486</v>
      </c>
      <c r="G181" s="43"/>
      <c r="H181" s="43"/>
      <c r="I181" s="905"/>
      <c r="J181" s="44"/>
      <c r="K181" s="44"/>
      <c r="L181" s="44"/>
      <c r="M181" s="909" t="s">
        <v>1485</v>
      </c>
      <c r="N181" s="44"/>
      <c r="O181" s="44"/>
      <c r="P181" s="899"/>
      <c r="Q181" s="899"/>
      <c r="R181" s="899"/>
      <c r="S181" s="453" t="s">
        <v>1605</v>
      </c>
      <c r="T181" s="44"/>
      <c r="U181" s="899"/>
      <c r="V181" s="453"/>
      <c r="W181" s="453" t="s">
        <v>1606</v>
      </c>
      <c r="X181" s="44"/>
      <c r="Y181" s="12"/>
      <c r="Z181" s="453" t="s">
        <v>1536</v>
      </c>
      <c r="AA181" s="12"/>
      <c r="AB181" s="1393"/>
      <c r="AC181" s="995"/>
      <c r="AD181" s="1405"/>
      <c r="AE181" s="1405"/>
      <c r="AF181" s="1405"/>
      <c r="AG181" s="1405"/>
      <c r="AH181" s="1405"/>
      <c r="AI181" s="1405"/>
      <c r="AJ181" s="1405"/>
      <c r="AK181" s="1405"/>
      <c r="AL181" s="1405"/>
      <c r="AM181" s="1405"/>
      <c r="AN181" s="1405"/>
      <c r="AO181" s="1405"/>
      <c r="AP181" s="1405"/>
      <c r="AQ181" s="1405"/>
      <c r="AR181" s="1405"/>
      <c r="AS181" s="1393"/>
      <c r="AT181" s="1001"/>
      <c r="AU181" s="12"/>
      <c r="AV181" s="12"/>
      <c r="AW181" s="12"/>
      <c r="AX181" s="12"/>
      <c r="AY181" s="12"/>
      <c r="AZ181" s="12"/>
      <c r="BA181" s="12"/>
      <c r="BB181" s="12"/>
      <c r="BC181" s="12"/>
      <c r="BD181" s="12"/>
      <c r="BE181" s="12"/>
      <c r="BF181" s="12"/>
      <c r="BG181" s="12"/>
      <c r="BH181" s="12"/>
      <c r="BI181" s="13"/>
    </row>
    <row r="182" spans="1:61">
      <c r="A182" s="212" t="s">
        <v>493</v>
      </c>
      <c r="B182" s="978" t="str">
        <f t="shared" ref="B182:C191" si="91">B181</f>
        <v>VABI NTA 8800</v>
      </c>
      <c r="C182" s="978" t="str">
        <f t="shared" si="91"/>
        <v>NTA 8800</v>
      </c>
      <c r="D182" s="947"/>
      <c r="E182" s="14"/>
      <c r="F182" s="892" t="s">
        <v>1632</v>
      </c>
      <c r="G182" s="892"/>
      <c r="H182" s="892"/>
      <c r="I182" s="905"/>
      <c r="J182" s="892" t="s">
        <v>1633</v>
      </c>
      <c r="K182" s="965"/>
      <c r="L182" s="889"/>
      <c r="M182" s="910" t="s">
        <v>1534</v>
      </c>
      <c r="N182" s="452" t="s">
        <v>204</v>
      </c>
      <c r="O182" s="452"/>
      <c r="P182" s="452"/>
      <c r="Q182" s="452"/>
      <c r="R182" s="39"/>
      <c r="S182" s="888" t="s">
        <v>1534</v>
      </c>
      <c r="T182" s="889" t="s">
        <v>204</v>
      </c>
      <c r="U182" s="452"/>
      <c r="V182" s="888"/>
      <c r="W182" s="888" t="s">
        <v>1534</v>
      </c>
      <c r="X182" s="889" t="s">
        <v>204</v>
      </c>
      <c r="Y182" s="12"/>
      <c r="Z182" s="888" t="s">
        <v>1534</v>
      </c>
      <c r="AA182" s="889" t="s">
        <v>204</v>
      </c>
      <c r="AB182" s="67"/>
      <c r="AC182" s="995"/>
      <c r="AD182" s="1405"/>
      <c r="AE182" s="1405"/>
      <c r="AF182" s="1405"/>
      <c r="AG182" s="1405"/>
      <c r="AH182" s="1405"/>
      <c r="AI182" s="1405"/>
      <c r="AJ182" s="1405"/>
      <c r="AK182" s="1405"/>
      <c r="AL182" s="1405"/>
      <c r="AM182" s="1405"/>
      <c r="AN182" s="1405"/>
      <c r="AO182" s="1405"/>
      <c r="AP182" s="1405"/>
      <c r="AQ182" s="1405"/>
      <c r="AR182" s="1405"/>
      <c r="AS182" s="67"/>
      <c r="AT182" s="995"/>
      <c r="AU182" s="12"/>
      <c r="AV182" s="12"/>
      <c r="AW182" s="12"/>
      <c r="AX182" s="12"/>
      <c r="AY182" s="12"/>
      <c r="AZ182" s="12"/>
      <c r="BA182" s="12"/>
      <c r="BB182" s="12"/>
      <c r="BC182" s="12"/>
      <c r="BD182" s="12"/>
      <c r="BE182" s="12"/>
      <c r="BF182" s="12"/>
      <c r="BG182" s="12"/>
      <c r="BH182" s="12"/>
      <c r="BI182" s="13"/>
    </row>
    <row r="183" spans="1:61" s="49" customFormat="1">
      <c r="A183" s="212" t="s">
        <v>493</v>
      </c>
      <c r="B183" s="978" t="str">
        <f t="shared" si="91"/>
        <v>VABI NTA 8800</v>
      </c>
      <c r="C183" s="978" t="str">
        <f t="shared" si="91"/>
        <v>NTA 8800</v>
      </c>
      <c r="D183" s="947"/>
      <c r="E183" s="50"/>
      <c r="F183" s="46" t="str">
        <f>tabellen_EMD!C197</f>
        <v>aardgas</v>
      </c>
      <c r="G183" s="46"/>
      <c r="H183" s="46"/>
      <c r="I183" s="905"/>
      <c r="J183" s="1691" t="s">
        <v>463</v>
      </c>
      <c r="K183" s="1698"/>
      <c r="L183" s="44"/>
      <c r="M183" s="24">
        <f t="shared" ref="M183:M189" si="92">SUMIFS(M$63:M$180,$AZ$63:$AZ$180,1,$B$63:$B$180,$B183,$J$63:$J$180,$F183)-SUMIFS(M$63:M$180,$AZ$63:$AZ$180,-1,$B$63:$B$180,$B183,$J$63:$J$180,$F183)</f>
        <v>0</v>
      </c>
      <c r="N183" s="22" t="str">
        <f t="shared" ref="N183:N190" si="93">INDEX(EP_methode_eenheid,1,MATCH($C183,EP_methode,0))</f>
        <v>kWh</v>
      </c>
      <c r="O183" s="44"/>
      <c r="P183" s="452"/>
      <c r="Q183" s="452"/>
      <c r="R183" s="899"/>
      <c r="S183" s="24">
        <f t="shared" ref="S183:S189" si="94">SUMIFS(S$63:S$180,$AZ$63:$AZ$180,1,$B$63:$B$180,$B183,$J$63:$J$180,$F183)-SUMIFS(S$63:S$180,$AZ$63:$AZ$180,-1,$B$63:$B$180,$B183,$J$63:$J$180,$F183)</f>
        <v>0</v>
      </c>
      <c r="T183" s="47" t="str">
        <f>IFERROR(INDEX(energiedragers_EP_eenheden,MATCH($J183,tabellen_EMD!$C$196:$C$204,0),MATCH($B183,energiedragers_EP_eenheden_titel,0)),"-")</f>
        <v>kWh</v>
      </c>
      <c r="U183" s="452"/>
      <c r="V183" s="39"/>
      <c r="W183" s="24">
        <f>S183/INDEX(tabellen_EMD!$C$259:$Z$266,MATCH($F183,tabellen_EMD!$C$259:$C$266,0),MATCH(B183,tabellen_EMD!$C$259:$Z$259,0))</f>
        <v>0</v>
      </c>
      <c r="X183" s="47" t="str">
        <f>INDEX(tabellen_EMD!$C$251:$F$256,MATCH($J183,tabellen_EMD!$C$251:$C$256,0),MATCH($P$24,tabellen_EMD!$C$251:$F$251,0))</f>
        <v>m3</v>
      </c>
      <c r="Y183" s="12"/>
      <c r="Z183" s="24">
        <f t="shared" ref="Z183:Z189" si="95">SUMIFS(Z$63:Z$180,$AZ$63:$AZ$180,1,$B$63:$B$180,$B183,$J$63:$J$180,$J183)-SUMIFS(Z$63:Z$180,$AZ$63:$AZ$180,-1,$B$63:$B$180,$B183,$J$63:$J$180,$J183)</f>
        <v>0</v>
      </c>
      <c r="AA183" s="47" t="s">
        <v>468</v>
      </c>
      <c r="AB183" s="1393"/>
      <c r="AC183" s="995"/>
      <c r="AD183" s="1405"/>
      <c r="AE183" s="1405"/>
      <c r="AF183" s="1405"/>
      <c r="AG183" s="1405"/>
      <c r="AH183" s="1405"/>
      <c r="AI183" s="1405"/>
      <c r="AJ183" s="1405"/>
      <c r="AK183" s="1405"/>
      <c r="AL183" s="1405"/>
      <c r="AM183" s="1405"/>
      <c r="AN183" s="1405"/>
      <c r="AO183" s="1405"/>
      <c r="AP183" s="1405"/>
      <c r="AQ183" s="1405"/>
      <c r="AR183" s="1405"/>
      <c r="AS183" s="1393"/>
      <c r="AT183" s="1001"/>
      <c r="AU183" s="12"/>
      <c r="AV183" s="12"/>
      <c r="AW183" s="12"/>
      <c r="AX183" s="12"/>
      <c r="AY183" s="12"/>
      <c r="AZ183" s="12"/>
      <c r="BA183" s="12"/>
      <c r="BB183" s="12"/>
      <c r="BC183" s="12"/>
      <c r="BD183" s="12"/>
      <c r="BE183" s="12"/>
      <c r="BF183" s="12"/>
      <c r="BG183" s="12"/>
      <c r="BH183" s="12"/>
      <c r="BI183" s="13"/>
    </row>
    <row r="184" spans="1:61" s="49" customFormat="1">
      <c r="A184" s="212" t="s">
        <v>493</v>
      </c>
      <c r="B184" s="978" t="str">
        <f t="shared" si="91"/>
        <v>VABI NTA 8800</v>
      </c>
      <c r="C184" s="978" t="str">
        <f t="shared" si="91"/>
        <v>NTA 8800</v>
      </c>
      <c r="D184" s="947"/>
      <c r="E184" s="50"/>
      <c r="F184" s="46" t="str">
        <f>tabellen_EMD!C198</f>
        <v>elektriciteit</v>
      </c>
      <c r="G184" s="46"/>
      <c r="H184" s="46"/>
      <c r="I184" s="905"/>
      <c r="J184" s="1691" t="s">
        <v>465</v>
      </c>
      <c r="K184" s="1698"/>
      <c r="L184" s="44"/>
      <c r="M184" s="24">
        <f t="shared" si="92"/>
        <v>0</v>
      </c>
      <c r="N184" s="22" t="str">
        <f t="shared" si="93"/>
        <v>kWh</v>
      </c>
      <c r="O184" s="44"/>
      <c r="P184" s="452"/>
      <c r="Q184" s="452"/>
      <c r="R184" s="899"/>
      <c r="S184" s="24">
        <f t="shared" si="94"/>
        <v>0</v>
      </c>
      <c r="T184" s="47" t="str">
        <f>IFERROR(INDEX(energiedragers_EP_eenheden,MATCH($J184,tabellen_EMD!$C$196:$C$204,0),MATCH($B184,energiedragers_EP_eenheden_titel,0)),"-")</f>
        <v>kWh</v>
      </c>
      <c r="U184" s="452"/>
      <c r="V184" s="39"/>
      <c r="W184" s="24">
        <f>S184/INDEX(tabellen_EMD!$C$259:$Z$266,MATCH($F184,tabellen_EMD!$C$259:$C$266,0),MATCH(B184,tabellen_EMD!$C$259:$Z$259,0))</f>
        <v>0</v>
      </c>
      <c r="X184" s="47" t="str">
        <f>INDEX(tabellen_EMD!$C$251:$F$256,MATCH($J184,tabellen_EMD!$C$251:$C$256,0),MATCH($P$24,tabellen_EMD!$C$251:$F$251,0))</f>
        <v>kWh</v>
      </c>
      <c r="Y184" s="12"/>
      <c r="Z184" s="24">
        <f t="shared" si="95"/>
        <v>0</v>
      </c>
      <c r="AA184" s="47" t="s">
        <v>468</v>
      </c>
      <c r="AB184" s="1393"/>
      <c r="AC184" s="995"/>
      <c r="AD184" s="1405"/>
      <c r="AE184" s="1405"/>
      <c r="AF184" s="1405"/>
      <c r="AG184" s="1405"/>
      <c r="AH184" s="1405"/>
      <c r="AI184" s="1405"/>
      <c r="AJ184" s="1405"/>
      <c r="AK184" s="1405"/>
      <c r="AL184" s="1405"/>
      <c r="AM184" s="1405"/>
      <c r="AN184" s="1405"/>
      <c r="AO184" s="1405"/>
      <c r="AP184" s="1405"/>
      <c r="AQ184" s="1405"/>
      <c r="AR184" s="1405"/>
      <c r="AS184" s="1393"/>
      <c r="AT184" s="1001"/>
      <c r="AU184" s="12"/>
      <c r="AV184" s="12"/>
      <c r="AW184" s="12"/>
      <c r="AX184" s="12"/>
      <c r="AY184" s="12"/>
      <c r="AZ184" s="12"/>
      <c r="BA184" s="12"/>
      <c r="BB184" s="12"/>
      <c r="BC184" s="12"/>
      <c r="BD184" s="12"/>
      <c r="BE184" s="12"/>
      <c r="BF184" s="12"/>
      <c r="BG184" s="12"/>
      <c r="BH184" s="12"/>
      <c r="BI184" s="13"/>
    </row>
    <row r="185" spans="1:61" s="49" customFormat="1">
      <c r="A185" s="212" t="s">
        <v>493</v>
      </c>
      <c r="B185" s="978" t="str">
        <f t="shared" si="91"/>
        <v>VABI NTA 8800</v>
      </c>
      <c r="C185" s="978" t="str">
        <f t="shared" si="91"/>
        <v>NTA 8800</v>
      </c>
      <c r="D185" s="947"/>
      <c r="E185" s="50"/>
      <c r="F185" s="46" t="str">
        <f>tabellen_EMD!C199</f>
        <v>elektriciteit opgewekt</v>
      </c>
      <c r="G185" s="46"/>
      <c r="H185" s="46"/>
      <c r="I185" s="905"/>
      <c r="J185" s="1691" t="s">
        <v>466</v>
      </c>
      <c r="K185" s="1698"/>
      <c r="L185" s="44"/>
      <c r="M185" s="24">
        <f t="shared" si="92"/>
        <v>0</v>
      </c>
      <c r="N185" s="22" t="str">
        <f t="shared" si="93"/>
        <v>kWh</v>
      </c>
      <c r="O185" s="44"/>
      <c r="P185" s="452"/>
      <c r="Q185" s="452"/>
      <c r="R185" s="899"/>
      <c r="S185" s="24">
        <f t="shared" si="94"/>
        <v>0</v>
      </c>
      <c r="T185" s="47" t="str">
        <f>IFERROR(INDEX(energiedragers_EP_eenheden,MATCH($J185,tabellen_EMD!$C$196:$C$204,0),MATCH($B185,energiedragers_EP_eenheden_titel,0)),"-")</f>
        <v>kWh</v>
      </c>
      <c r="U185" s="452"/>
      <c r="V185" s="39"/>
      <c r="W185" s="24">
        <f>S185/INDEX(tabellen_EMD!$C$259:$Z$266,MATCH($F185,tabellen_EMD!$C$259:$C$266,0),MATCH(B185,tabellen_EMD!$C$259:$Z$259,0))</f>
        <v>0</v>
      </c>
      <c r="X185" s="47" t="str">
        <f>INDEX(tabellen_EMD!$C$251:$F$256,MATCH($J185,tabellen_EMD!$C$251:$C$256,0),MATCH($P$24,tabellen_EMD!$C$251:$F$251,0))</f>
        <v>kWh</v>
      </c>
      <c r="Y185" s="12"/>
      <c r="Z185" s="24">
        <f t="shared" si="95"/>
        <v>0</v>
      </c>
      <c r="AA185" s="47" t="s">
        <v>468</v>
      </c>
      <c r="AB185" s="1393"/>
      <c r="AC185" s="995"/>
      <c r="AD185" s="1405"/>
      <c r="AE185" s="1405"/>
      <c r="AF185" s="1405"/>
      <c r="AG185" s="1405"/>
      <c r="AH185" s="1405"/>
      <c r="AI185" s="1405"/>
      <c r="AJ185" s="1405"/>
      <c r="AK185" s="1405"/>
      <c r="AL185" s="1405"/>
      <c r="AM185" s="1405"/>
      <c r="AN185" s="1405"/>
      <c r="AO185" s="1405"/>
      <c r="AP185" s="1405"/>
      <c r="AQ185" s="1405"/>
      <c r="AR185" s="1405"/>
      <c r="AS185" s="1393"/>
      <c r="AT185" s="1001"/>
      <c r="AU185" s="12"/>
      <c r="AV185" s="12"/>
      <c r="AW185" s="12"/>
      <c r="AX185" s="12"/>
      <c r="AY185" s="12"/>
      <c r="AZ185" s="12"/>
      <c r="BA185" s="12"/>
      <c r="BB185" s="12"/>
      <c r="BC185" s="12"/>
      <c r="BD185" s="12"/>
      <c r="BE185" s="12"/>
      <c r="BF185" s="12"/>
      <c r="BG185" s="12"/>
      <c r="BH185" s="12"/>
      <c r="BI185" s="13"/>
    </row>
    <row r="186" spans="1:61" s="49" customFormat="1">
      <c r="A186" s="212" t="s">
        <v>493</v>
      </c>
      <c r="B186" s="978" t="str">
        <f t="shared" si="91"/>
        <v>VABI NTA 8800</v>
      </c>
      <c r="C186" s="978" t="str">
        <f t="shared" si="91"/>
        <v>NTA 8800</v>
      </c>
      <c r="D186" s="947"/>
      <c r="E186" s="50"/>
      <c r="F186" s="46" t="str">
        <f>tabellen_EMD!C200</f>
        <v>elektriciteit geëxporteerd</v>
      </c>
      <c r="G186" s="46"/>
      <c r="H186" s="46"/>
      <c r="I186" s="905"/>
      <c r="J186" s="1691" t="s">
        <v>466</v>
      </c>
      <c r="K186" s="1698"/>
      <c r="L186" s="44"/>
      <c r="M186" s="24">
        <f t="shared" si="92"/>
        <v>0</v>
      </c>
      <c r="N186" s="22" t="str">
        <f t="shared" si="93"/>
        <v>kWh</v>
      </c>
      <c r="O186" s="44"/>
      <c r="P186" s="452"/>
      <c r="Q186" s="452"/>
      <c r="R186" s="899"/>
      <c r="S186" s="24">
        <f t="shared" si="94"/>
        <v>0</v>
      </c>
      <c r="T186" s="47" t="str">
        <f>IFERROR(INDEX(energiedragers_EP_eenheden,MATCH($J186,tabellen_EMD!$C$196:$C$204,0),MATCH($B186,energiedragers_EP_eenheden_titel,0)),"-")</f>
        <v>kWh</v>
      </c>
      <c r="U186" s="452"/>
      <c r="V186" s="39"/>
      <c r="W186" s="24">
        <f>S186/INDEX(tabellen_EMD!$C$259:$Z$266,MATCH($F186,tabellen_EMD!$C$259:$C$266,0),MATCH(B186,tabellen_EMD!$C$259:$Z$259,0))</f>
        <v>0</v>
      </c>
      <c r="X186" s="47" t="str">
        <f>INDEX(tabellen_EMD!$C$251:$F$256,MATCH($J186,tabellen_EMD!$C$251:$C$256,0),MATCH($P$24,tabellen_EMD!$C$251:$F$251,0))</f>
        <v>kWh</v>
      </c>
      <c r="Y186" s="12"/>
      <c r="Z186" s="24">
        <f t="shared" si="95"/>
        <v>0</v>
      </c>
      <c r="AA186" s="47" t="s">
        <v>468</v>
      </c>
      <c r="AB186" s="1393"/>
      <c r="AC186" s="995"/>
      <c r="AD186" s="1405"/>
      <c r="AE186" s="1405"/>
      <c r="AF186" s="1405"/>
      <c r="AG186" s="1405"/>
      <c r="AH186" s="1405"/>
      <c r="AI186" s="1405"/>
      <c r="AJ186" s="1405"/>
      <c r="AK186" s="1405"/>
      <c r="AL186" s="1405"/>
      <c r="AM186" s="1405"/>
      <c r="AN186" s="1405"/>
      <c r="AO186" s="1405"/>
      <c r="AP186" s="1405"/>
      <c r="AQ186" s="1405"/>
      <c r="AR186" s="1405"/>
      <c r="AS186" s="1393"/>
      <c r="AT186" s="1001"/>
      <c r="AU186" s="12"/>
      <c r="AV186" s="12"/>
      <c r="AW186" s="12"/>
      <c r="AX186" s="12"/>
      <c r="AY186" s="12"/>
      <c r="AZ186" s="12"/>
      <c r="BA186" s="12"/>
      <c r="BB186" s="12"/>
      <c r="BC186" s="12"/>
      <c r="BD186" s="12"/>
      <c r="BE186" s="12"/>
      <c r="BF186" s="12"/>
      <c r="BG186" s="12"/>
      <c r="BH186" s="12"/>
      <c r="BI186" s="13"/>
    </row>
    <row r="187" spans="1:61" s="49" customFormat="1">
      <c r="A187" s="212" t="s">
        <v>493</v>
      </c>
      <c r="B187" s="978" t="str">
        <f t="shared" si="91"/>
        <v>VABI NTA 8800</v>
      </c>
      <c r="C187" s="978" t="str">
        <f t="shared" si="91"/>
        <v>NTA 8800</v>
      </c>
      <c r="D187" s="947"/>
      <c r="E187" s="50"/>
      <c r="F187" s="46" t="str">
        <f>tabellen_EMD!C201</f>
        <v>externe warmte</v>
      </c>
      <c r="G187" s="46"/>
      <c r="H187" s="46"/>
      <c r="I187" s="905"/>
      <c r="J187" s="1691" t="s">
        <v>1539</v>
      </c>
      <c r="K187" s="1698"/>
      <c r="L187" s="44"/>
      <c r="M187" s="24">
        <f t="shared" si="92"/>
        <v>0</v>
      </c>
      <c r="N187" s="22" t="str">
        <f t="shared" si="93"/>
        <v>kWh</v>
      </c>
      <c r="O187" s="44"/>
      <c r="P187" s="452"/>
      <c r="Q187" s="452"/>
      <c r="R187" s="899"/>
      <c r="S187" s="59">
        <f t="shared" si="94"/>
        <v>0</v>
      </c>
      <c r="T187" s="47" t="str">
        <f>IFERROR(INDEX(energiedragers_EP_eenheden,MATCH($J187,tabellen_EMD!$C$196:$C$204,0),MATCH($B187,energiedragers_EP_eenheden_titel,0)),"-")</f>
        <v>kWh</v>
      </c>
      <c r="U187" s="452"/>
      <c r="V187" s="39"/>
      <c r="W187" s="24">
        <f>S187/INDEX(tabellen_EMD!$C$259:$Z$266,MATCH($F187,tabellen_EMD!$C$259:$C$266,0),MATCH(B187,tabellen_EMD!$C$259:$Z$259,0))</f>
        <v>0</v>
      </c>
      <c r="X187" s="47" t="str">
        <f>INDEX(tabellen_EMD!$C$251:$F$256,MATCH($J187,tabellen_EMD!$C$251:$C$256,0),MATCH($P$24,tabellen_EMD!$C$251:$F$251,0))</f>
        <v>GJ</v>
      </c>
      <c r="Y187" s="12"/>
      <c r="Z187" s="24">
        <f t="shared" si="95"/>
        <v>0</v>
      </c>
      <c r="AA187" s="47" t="s">
        <v>468</v>
      </c>
      <c r="AB187" s="1393"/>
      <c r="AC187" s="995"/>
      <c r="AD187" s="1405"/>
      <c r="AE187" s="1405"/>
      <c r="AF187" s="1405"/>
      <c r="AG187" s="1405"/>
      <c r="AH187" s="1405"/>
      <c r="AI187" s="1405"/>
      <c r="AJ187" s="1405"/>
      <c r="AK187" s="1405"/>
      <c r="AL187" s="1405"/>
      <c r="AM187" s="1405"/>
      <c r="AN187" s="1405"/>
      <c r="AO187" s="1405"/>
      <c r="AP187" s="1405"/>
      <c r="AQ187" s="1405"/>
      <c r="AR187" s="1405"/>
      <c r="AS187" s="1393"/>
      <c r="AT187" s="1001"/>
      <c r="AU187" s="12"/>
      <c r="AV187" s="12"/>
      <c r="AW187" s="12"/>
      <c r="AX187" s="12"/>
      <c r="AY187" s="12"/>
      <c r="AZ187" s="12"/>
      <c r="BA187" s="12"/>
      <c r="BB187" s="12"/>
      <c r="BC187" s="12"/>
      <c r="BD187" s="12"/>
      <c r="BE187" s="12"/>
      <c r="BF187" s="12"/>
      <c r="BG187" s="12"/>
      <c r="BH187" s="12"/>
      <c r="BI187" s="13"/>
    </row>
    <row r="188" spans="1:61" s="49" customFormat="1">
      <c r="A188" s="212" t="s">
        <v>493</v>
      </c>
      <c r="B188" s="978" t="str">
        <f t="shared" si="91"/>
        <v>VABI NTA 8800</v>
      </c>
      <c r="C188" s="978" t="str">
        <f t="shared" si="91"/>
        <v>NTA 8800</v>
      </c>
      <c r="D188" s="947"/>
      <c r="E188" s="50"/>
      <c r="F188" s="46" t="str">
        <f>tabellen_EMD!C202</f>
        <v>externe koude</v>
      </c>
      <c r="G188" s="46"/>
      <c r="H188" s="46"/>
      <c r="I188" s="905"/>
      <c r="J188" s="1691" t="s">
        <v>1539</v>
      </c>
      <c r="K188" s="1698"/>
      <c r="L188" s="44"/>
      <c r="M188" s="24">
        <f t="shared" si="92"/>
        <v>0</v>
      </c>
      <c r="N188" s="22" t="str">
        <f t="shared" si="93"/>
        <v>kWh</v>
      </c>
      <c r="O188" s="44"/>
      <c r="P188" s="452"/>
      <c r="Q188" s="452"/>
      <c r="R188" s="899"/>
      <c r="S188" s="59">
        <f t="shared" si="94"/>
        <v>0</v>
      </c>
      <c r="T188" s="47" t="str">
        <f>IFERROR(INDEX(energiedragers_EP_eenheden,MATCH($J188,tabellen_EMD!$C$196:$C$204,0),MATCH($B188,energiedragers_EP_eenheden_titel,0)),"-")</f>
        <v>kWh</v>
      </c>
      <c r="U188" s="452"/>
      <c r="V188" s="39"/>
      <c r="W188" s="24">
        <f>S188/INDEX(tabellen_EMD!$C$259:$Z$266,MATCH($F188,tabellen_EMD!$C$259:$C$266,0),MATCH(B188,tabellen_EMD!$C$259:$Z$259,0))</f>
        <v>0</v>
      </c>
      <c r="X188" s="47" t="str">
        <f>INDEX(tabellen_EMD!$C$251:$F$256,MATCH($J188,tabellen_EMD!$C$251:$C$256,0),MATCH($P$24,tabellen_EMD!$C$251:$F$251,0))</f>
        <v>GJ</v>
      </c>
      <c r="Y188" s="12"/>
      <c r="Z188" s="24">
        <f t="shared" si="95"/>
        <v>0</v>
      </c>
      <c r="AA188" s="47" t="s">
        <v>468</v>
      </c>
      <c r="AB188" s="1393"/>
      <c r="AC188" s="995"/>
      <c r="AD188" s="1405"/>
      <c r="AE188" s="1405"/>
      <c r="AF188" s="1405"/>
      <c r="AG188" s="1405"/>
      <c r="AH188" s="1405"/>
      <c r="AI188" s="1405"/>
      <c r="AJ188" s="1405"/>
      <c r="AK188" s="1405"/>
      <c r="AL188" s="1405"/>
      <c r="AM188" s="1405"/>
      <c r="AN188" s="1405"/>
      <c r="AO188" s="1405"/>
      <c r="AP188" s="1405"/>
      <c r="AQ188" s="1405"/>
      <c r="AR188" s="1405"/>
      <c r="AS188" s="1393"/>
      <c r="AT188" s="1001"/>
      <c r="AU188" s="12"/>
      <c r="AV188" s="12"/>
      <c r="AW188" s="12"/>
      <c r="AX188" s="12"/>
      <c r="AY188" s="12"/>
      <c r="AZ188" s="12"/>
      <c r="BA188" s="12"/>
      <c r="BB188" s="12"/>
      <c r="BC188" s="12"/>
      <c r="BD188" s="12"/>
      <c r="BE188" s="12"/>
      <c r="BF188" s="12"/>
      <c r="BG188" s="12"/>
      <c r="BH188" s="12"/>
      <c r="BI188" s="13"/>
    </row>
    <row r="189" spans="1:61" s="49" customFormat="1">
      <c r="A189" s="212" t="s">
        <v>493</v>
      </c>
      <c r="B189" s="978" t="str">
        <f>B187</f>
        <v>VABI NTA 8800</v>
      </c>
      <c r="C189" s="978" t="str">
        <f>C187</f>
        <v>NTA 8800</v>
      </c>
      <c r="D189" s="947"/>
      <c r="E189" s="50"/>
      <c r="F189" s="46" t="str">
        <f>tabellen_EMD!C203</f>
        <v>hout / biomassa</v>
      </c>
      <c r="G189" s="46"/>
      <c r="H189" s="46"/>
      <c r="I189" s="905"/>
      <c r="J189" s="1691" t="s">
        <v>467</v>
      </c>
      <c r="K189" s="1698"/>
      <c r="L189" s="44"/>
      <c r="M189" s="24">
        <f t="shared" si="92"/>
        <v>0</v>
      </c>
      <c r="N189" s="22" t="str">
        <f t="shared" si="93"/>
        <v>kWh</v>
      </c>
      <c r="O189" s="44"/>
      <c r="P189" s="452"/>
      <c r="Q189" s="452"/>
      <c r="R189" s="899"/>
      <c r="S189" s="115">
        <f t="shared" si="94"/>
        <v>0</v>
      </c>
      <c r="T189" s="47" t="str">
        <f>IFERROR(INDEX(energiedragers_EP_eenheden,MATCH($J189,tabellen_EMD!$C$196:$C$204,0),MATCH($B189,energiedragers_EP_eenheden_titel,0)),"-")</f>
        <v>kWh</v>
      </c>
      <c r="U189" s="452"/>
      <c r="V189" s="39"/>
      <c r="W189" s="115">
        <f>S189/INDEX(tabellen_EMD!$C$259:$Z$266,MATCH($F189,tabellen_EMD!$C$259:$C$266,0),MATCH(B189,tabellen_EMD!$C$259:$Z$259,0))</f>
        <v>0</v>
      </c>
      <c r="X189" s="47" t="str">
        <f>INDEX(tabellen_EMD!$C$251:$F$256,MATCH($J189,tabellen_EMD!$C$251:$C$256,0),MATCH($P$24,tabellen_EMD!$C$251:$F$251,0))</f>
        <v>kg</v>
      </c>
      <c r="Y189" s="12"/>
      <c r="Z189" s="115">
        <f t="shared" si="95"/>
        <v>0</v>
      </c>
      <c r="AA189" s="47" t="s">
        <v>468</v>
      </c>
      <c r="AB189" s="1393"/>
      <c r="AC189" s="995"/>
      <c r="AD189" s="1405"/>
      <c r="AE189" s="1405"/>
      <c r="AF189" s="1405"/>
      <c r="AG189" s="1405"/>
      <c r="AH189" s="1405"/>
      <c r="AI189" s="1405"/>
      <c r="AJ189" s="1405"/>
      <c r="AK189" s="1405"/>
      <c r="AL189" s="1405"/>
      <c r="AM189" s="1405"/>
      <c r="AN189" s="1405"/>
      <c r="AO189" s="1405"/>
      <c r="AP189" s="1405"/>
      <c r="AQ189" s="1405"/>
      <c r="AR189" s="1405"/>
      <c r="AS189" s="1393"/>
      <c r="AT189" s="1001"/>
      <c r="AU189" s="12"/>
      <c r="AV189" s="12"/>
      <c r="AW189" s="12"/>
      <c r="AX189" s="12"/>
      <c r="AY189" s="12"/>
      <c r="AZ189" s="12"/>
      <c r="BA189" s="12"/>
      <c r="BB189" s="12"/>
      <c r="BC189" s="12"/>
      <c r="BD189" s="12"/>
      <c r="BE189" s="12"/>
      <c r="BF189" s="12"/>
      <c r="BG189" s="12"/>
      <c r="BH189" s="12"/>
      <c r="BI189" s="13"/>
    </row>
    <row r="190" spans="1:61" s="940" customFormat="1">
      <c r="A190" s="212" t="s">
        <v>493</v>
      </c>
      <c r="B190" s="978" t="str">
        <f t="shared" si="91"/>
        <v>VABI NTA 8800</v>
      </c>
      <c r="C190" s="978" t="str">
        <f t="shared" si="91"/>
        <v>NTA 8800</v>
      </c>
      <c r="D190" s="947"/>
      <c r="E190" s="14"/>
      <c r="F190" s="43" t="str">
        <f>tabellen_EMD!C204</f>
        <v>totaal</v>
      </c>
      <c r="G190" s="43"/>
      <c r="H190" s="43"/>
      <c r="I190" s="43"/>
      <c r="J190" s="965" t="s">
        <v>1391</v>
      </c>
      <c r="K190" s="965"/>
      <c r="L190" s="43"/>
      <c r="M190" s="54">
        <f>SUM(M183:M184,M187:M189)-SUM(M185:M186)</f>
        <v>0</v>
      </c>
      <c r="N190" s="43" t="str">
        <f t="shared" si="93"/>
        <v>kWh</v>
      </c>
      <c r="O190" s="43"/>
      <c r="P190" s="452"/>
      <c r="Q190" s="452"/>
      <c r="R190" s="15"/>
      <c r="S190" s="43"/>
      <c r="T190" s="452"/>
      <c r="U190" s="452"/>
      <c r="V190" s="39"/>
      <c r="W190" s="39"/>
      <c r="X190" s="39"/>
      <c r="Y190" s="12"/>
      <c r="Z190" s="950">
        <f>SUM(Z183,Z184,-Z185,Z186,Z187,Z189)</f>
        <v>0</v>
      </c>
      <c r="AA190" s="15" t="s">
        <v>468</v>
      </c>
      <c r="AB190" s="67"/>
      <c r="AC190" s="995"/>
      <c r="AD190" s="1405"/>
      <c r="AE190" s="1405"/>
      <c r="AF190" s="1405"/>
      <c r="AG190" s="1405"/>
      <c r="AH190" s="1405"/>
      <c r="AI190" s="1405"/>
      <c r="AJ190" s="1405"/>
      <c r="AK190" s="1405"/>
      <c r="AL190" s="1405"/>
      <c r="AM190" s="1405"/>
      <c r="AN190" s="1405"/>
      <c r="AO190" s="1405"/>
      <c r="AP190" s="1405"/>
      <c r="AQ190" s="1405"/>
      <c r="AR190" s="1405"/>
      <c r="AS190" s="67"/>
      <c r="AT190" s="995"/>
      <c r="AU190" s="12"/>
      <c r="AV190" s="12"/>
      <c r="AW190" s="12"/>
      <c r="AX190" s="12"/>
      <c r="AY190" s="12"/>
      <c r="AZ190" s="12"/>
      <c r="BA190" s="12"/>
      <c r="BB190" s="12"/>
      <c r="BC190" s="12"/>
      <c r="BD190" s="12"/>
      <c r="BE190" s="12"/>
      <c r="BF190" s="12"/>
      <c r="BG190" s="12"/>
      <c r="BH190" s="12"/>
      <c r="BI190" s="13"/>
    </row>
    <row r="191" spans="1:61" s="49" customFormat="1">
      <c r="A191" s="212" t="s">
        <v>493</v>
      </c>
      <c r="B191" s="978" t="str">
        <f t="shared" si="91"/>
        <v>VABI NTA 8800</v>
      </c>
      <c r="C191" s="978" t="str">
        <f t="shared" si="91"/>
        <v>NTA 8800</v>
      </c>
      <c r="D191" s="947"/>
      <c r="E191" s="50"/>
      <c r="F191" s="452" t="str">
        <f>IFERROR(IF($P$23=$B191,_xlfn.CONCAT("Bij 1.1 ingevuld: ",FIXED($J$35,2,FALSE)," ",$K$35),""),"invoer niet correct")</f>
        <v>Bij 1.1 ingevuld: 50.00 kWh/m2 Ag</v>
      </c>
      <c r="G191" s="452"/>
      <c r="H191" s="452"/>
      <c r="I191" s="905"/>
      <c r="J191" s="909" t="str">
        <f>IFERROR(IF($P$23=$B191,IF(ABS((M191-$J$35)/$J$35)&gt;1%,"Afwijking &gt;1% met subthema 1.1",""),""),"invoer niet correct")</f>
        <v>Afwijking &gt;1% met subthema 1.1</v>
      </c>
      <c r="K191" s="909"/>
      <c r="L191" s="910"/>
      <c r="M191" s="1339">
        <f>IFERROR(IF($P$23=$B191,M190/$J$59,""),"")</f>
        <v>0</v>
      </c>
      <c r="N191" s="452" t="str">
        <f>IF($P$23=$B191,_xlfn.CONCAT(N190,"/m2"),"")</f>
        <v>kWh/m2</v>
      </c>
      <c r="O191" s="452"/>
      <c r="P191" s="39"/>
      <c r="Q191" s="39"/>
      <c r="R191" s="899"/>
      <c r="S191" s="899"/>
      <c r="T191" s="899"/>
      <c r="U191" s="39"/>
      <c r="V191" s="39"/>
      <c r="W191" s="910" t="str">
        <f>IFERROR(IF($P$23=$B191,_xlfn.CONCAT("Bij 1.1 ingevuld: ",FIXED($AG$40,1,FALSE)," ",$AH$40),""),"invoer niet correct")</f>
        <v>Bij 1.1 ingevuld: 0,0 kg/m2 Ag</v>
      </c>
      <c r="X191" s="909" t="str">
        <f>IFERROR(IF($P$23=$B191,IF(ABS((Z191-$AG$40)/$AG$40)&gt;1%,"afwijking &gt;1% met subthema 1.1",""),""),"invoer niet correct")</f>
        <v>invoer niet correct</v>
      </c>
      <c r="Y191" s="12"/>
      <c r="Z191" s="951">
        <f>IFERROR(IF($P$23=$B191,Z190/$J$58,""),"")</f>
        <v>0</v>
      </c>
      <c r="AA191" s="452" t="str">
        <f>IF($P$23=$B191,_xlfn.CONCAT(AA190,"/m2"),"")</f>
        <v>kg/m2</v>
      </c>
      <c r="AB191" s="1393"/>
      <c r="AC191" s="995"/>
      <c r="AD191" s="1405"/>
      <c r="AE191" s="1405"/>
      <c r="AF191" s="1405"/>
      <c r="AG191" s="1405"/>
      <c r="AH191" s="1405"/>
      <c r="AI191" s="1405"/>
      <c r="AJ191" s="1405"/>
      <c r="AK191" s="1405"/>
      <c r="AL191" s="1405"/>
      <c r="AM191" s="1405"/>
      <c r="AN191" s="1405"/>
      <c r="AO191" s="1405"/>
      <c r="AP191" s="1405"/>
      <c r="AQ191" s="1405"/>
      <c r="AR191" s="1405"/>
      <c r="AS191" s="1393"/>
      <c r="AT191" s="1001"/>
      <c r="AU191" s="905"/>
      <c r="AV191" s="12"/>
      <c r="AW191" s="12"/>
      <c r="AX191" s="12"/>
      <c r="AY191" s="12"/>
      <c r="AZ191" s="12"/>
      <c r="BA191" s="12"/>
      <c r="BB191" s="12"/>
      <c r="BC191" s="12"/>
      <c r="BD191" s="12"/>
      <c r="BE191" s="12"/>
      <c r="BF191" s="12"/>
      <c r="BG191" s="12"/>
      <c r="BH191" s="12"/>
      <c r="BI191" s="13"/>
    </row>
    <row r="192" spans="1:61" s="49" customFormat="1">
      <c r="A192" s="212" t="s">
        <v>493</v>
      </c>
      <c r="B192" s="943"/>
      <c r="C192" s="943"/>
      <c r="D192" s="943"/>
      <c r="E192" s="50"/>
      <c r="F192" s="43"/>
      <c r="G192" s="44"/>
      <c r="H192" s="44"/>
      <c r="I192" s="44"/>
      <c r="J192" s="917"/>
      <c r="K192" s="44"/>
      <c r="L192" s="44"/>
      <c r="M192" s="44"/>
      <c r="N192" s="44"/>
      <c r="O192" s="44"/>
      <c r="P192" s="899"/>
      <c r="Q192" s="899"/>
      <c r="R192" s="899"/>
      <c r="S192" s="899"/>
      <c r="T192" s="899"/>
      <c r="U192" s="899"/>
      <c r="V192" s="899"/>
      <c r="W192" s="39"/>
      <c r="X192" s="39"/>
      <c r="Y192" s="12"/>
      <c r="Z192" s="899"/>
      <c r="AA192" s="905"/>
      <c r="AB192" s="1393"/>
      <c r="AC192" s="995"/>
      <c r="AD192" s="1405"/>
      <c r="AE192" s="1405"/>
      <c r="AF192" s="1405"/>
      <c r="AG192" s="1405"/>
      <c r="AH192" s="1405"/>
      <c r="AI192" s="1405"/>
      <c r="AJ192" s="1405"/>
      <c r="AK192" s="1405"/>
      <c r="AL192" s="1405"/>
      <c r="AM192" s="1405"/>
      <c r="AN192" s="1405"/>
      <c r="AO192" s="1405"/>
      <c r="AP192" s="1405"/>
      <c r="AQ192" s="1405"/>
      <c r="AR192" s="1405"/>
      <c r="AS192" s="1393"/>
      <c r="AT192" s="1001"/>
      <c r="AU192" s="900"/>
      <c r="AV192" s="51"/>
      <c r="AW192" s="12"/>
      <c r="AX192" s="12"/>
      <c r="AY192" s="921"/>
      <c r="AZ192" s="921"/>
      <c r="BA192" s="12"/>
      <c r="BB192" s="12"/>
      <c r="BC192" s="12"/>
      <c r="BD192" s="40"/>
      <c r="BE192" s="40"/>
      <c r="BF192" s="13"/>
      <c r="BG192" s="13"/>
      <c r="BH192" s="13"/>
      <c r="BI192" s="14"/>
    </row>
    <row r="193" spans="1:61" s="49" customFormat="1">
      <c r="A193" s="212" t="s">
        <v>493</v>
      </c>
      <c r="B193" s="1005" t="str">
        <f>$P$23</f>
        <v>VABI NTA 8800</v>
      </c>
      <c r="C193" s="1005" t="str">
        <f>VLOOKUP(B193,'EP naar GPR4'!$AV$40:$AY$48,COLUMNS($AV$40:$AX$40),FALSE)</f>
        <v>NTA 8800</v>
      </c>
      <c r="D193" s="947"/>
      <c r="E193" s="50"/>
      <c r="F193" s="43" t="s">
        <v>1486</v>
      </c>
      <c r="G193" s="43"/>
      <c r="H193" s="43"/>
      <c r="I193" s="905"/>
      <c r="J193" s="44"/>
      <c r="K193" s="44"/>
      <c r="L193" s="44"/>
      <c r="M193" s="909" t="s">
        <v>1485</v>
      </c>
      <c r="N193" s="44"/>
      <c r="O193" s="44"/>
      <c r="P193" s="453" t="s">
        <v>1606</v>
      </c>
      <c r="Q193" s="44"/>
      <c r="R193" s="12"/>
      <c r="S193" s="453"/>
      <c r="T193" s="44"/>
      <c r="U193" s="12"/>
      <c r="V193" s="899"/>
      <c r="W193" s="453" t="s">
        <v>1606</v>
      </c>
      <c r="X193" s="44"/>
      <c r="Y193" s="12"/>
      <c r="Z193" s="453"/>
      <c r="AA193" s="453"/>
      <c r="AB193" s="909"/>
      <c r="AC193" s="995"/>
      <c r="AD193" s="1405"/>
      <c r="AE193" s="1405"/>
      <c r="AF193" s="1405"/>
      <c r="AG193" s="1405"/>
      <c r="AH193" s="1405"/>
      <c r="AI193" s="1405"/>
      <c r="AJ193" s="1405"/>
      <c r="AK193" s="1405"/>
      <c r="AL193" s="1405"/>
      <c r="AM193" s="1405"/>
      <c r="AN193" s="1405"/>
      <c r="AO193" s="1405"/>
      <c r="AP193" s="1405"/>
      <c r="AQ193" s="1405"/>
      <c r="AR193" s="1405"/>
      <c r="AS193" s="909"/>
      <c r="AT193" s="1001"/>
      <c r="AU193" s="12"/>
      <c r="AV193" s="12"/>
      <c r="AW193" s="12"/>
      <c r="AX193" s="12"/>
      <c r="AY193" s="12"/>
      <c r="AZ193" s="12"/>
      <c r="BA193" s="12"/>
      <c r="BB193" s="12"/>
      <c r="BC193" s="12"/>
      <c r="BD193" s="12"/>
      <c r="BE193" s="12"/>
      <c r="BF193" s="12"/>
      <c r="BG193" s="12"/>
      <c r="BH193" s="12"/>
      <c r="BI193" s="13"/>
    </row>
    <row r="194" spans="1:61">
      <c r="A194" s="212" t="s">
        <v>493</v>
      </c>
      <c r="B194" s="978" t="str">
        <f t="shared" ref="B194:C201" si="96">B193</f>
        <v>VABI NTA 8800</v>
      </c>
      <c r="C194" s="978" t="str">
        <f t="shared" si="96"/>
        <v>NTA 8800</v>
      </c>
      <c r="D194" s="947"/>
      <c r="E194" s="14"/>
      <c r="F194" s="892" t="s">
        <v>1500</v>
      </c>
      <c r="G194" s="892"/>
      <c r="H194" s="892"/>
      <c r="I194" s="905"/>
      <c r="J194" s="965" t="s">
        <v>458</v>
      </c>
      <c r="K194" s="965"/>
      <c r="L194" s="889"/>
      <c r="M194" s="910" t="s">
        <v>1534</v>
      </c>
      <c r="N194" s="452" t="s">
        <v>204</v>
      </c>
      <c r="O194" s="452"/>
      <c r="P194" s="888" t="s">
        <v>1534</v>
      </c>
      <c r="Q194" s="889" t="s">
        <v>204</v>
      </c>
      <c r="R194" s="12"/>
      <c r="S194" s="888" t="s">
        <v>1554</v>
      </c>
      <c r="T194" s="889" t="s">
        <v>1555</v>
      </c>
      <c r="U194" s="12"/>
      <c r="V194" s="899"/>
      <c r="W194" s="888" t="s">
        <v>1534</v>
      </c>
      <c r="X194" s="889" t="s">
        <v>204</v>
      </c>
      <c r="Y194" s="12"/>
      <c r="Z194" s="453"/>
      <c r="AA194" s="453"/>
      <c r="AB194" s="909"/>
      <c r="AC194" s="995"/>
      <c r="AD194" s="1405"/>
      <c r="AE194" s="1405"/>
      <c r="AF194" s="1405"/>
      <c r="AG194" s="1405"/>
      <c r="AH194" s="1405"/>
      <c r="AI194" s="1405"/>
      <c r="AJ194" s="1405"/>
      <c r="AK194" s="1405"/>
      <c r="AL194" s="1405"/>
      <c r="AM194" s="1405"/>
      <c r="AN194" s="1405"/>
      <c r="AO194" s="1405"/>
      <c r="AP194" s="1405"/>
      <c r="AQ194" s="1405"/>
      <c r="AR194" s="1405"/>
      <c r="AS194" s="909"/>
      <c r="AT194" s="995"/>
      <c r="AU194" s="12"/>
      <c r="AV194" s="12"/>
      <c r="AW194" s="12"/>
      <c r="AX194" s="12"/>
      <c r="AY194" s="12"/>
      <c r="AZ194" s="12"/>
      <c r="BA194" s="12"/>
      <c r="BB194" s="12"/>
      <c r="BC194" s="12"/>
      <c r="BD194" s="12"/>
      <c r="BE194" s="12"/>
      <c r="BF194" s="12"/>
      <c r="BG194" s="12"/>
      <c r="BH194" s="12"/>
      <c r="BI194" s="13"/>
    </row>
    <row r="195" spans="1:61" s="49" customFormat="1">
      <c r="A195" s="212" t="s">
        <v>493</v>
      </c>
      <c r="B195" s="978" t="str">
        <f t="shared" si="96"/>
        <v>VABI NTA 8800</v>
      </c>
      <c r="C195" s="978" t="str">
        <f t="shared" si="96"/>
        <v>NTA 8800</v>
      </c>
      <c r="D195" s="947"/>
      <c r="E195" s="50"/>
      <c r="F195" s="46" t="str">
        <f>INDEX(tabellen_EMD!$C$269:$X$274,MATCH($J195,tabellen_EMD!$C$269:$C$274,0),MATCH(EP_versie_scope_functie_methode,tabellen_EMD!$C$269:$X$269,0))</f>
        <v>aardgas</v>
      </c>
      <c r="G195" s="46"/>
      <c r="H195" s="46"/>
      <c r="I195" s="905"/>
      <c r="J195" s="1691" t="s">
        <v>463</v>
      </c>
      <c r="K195" s="1691"/>
      <c r="L195" s="44"/>
      <c r="M195" s="24">
        <f>M183</f>
        <v>0</v>
      </c>
      <c r="N195" s="22" t="str">
        <f t="shared" ref="N195:N200" si="97">INDEX(EP_methode_eenheid,1,MATCH($C195,EP_methode,0))</f>
        <v>kWh</v>
      </c>
      <c r="O195" s="44"/>
      <c r="P195" s="24">
        <f>W183</f>
        <v>0</v>
      </c>
      <c r="Q195" s="47" t="str">
        <f>INDEX(tabellen_EMD!$C$277:$X$282,MATCH($J195,tabellen_EMD!$C$277:$C$282,0),MATCH(EP_versie_scope_functie_methode,tabellen_EMD!$C$277:$X$277,0))</f>
        <v>m3</v>
      </c>
      <c r="R195" s="12"/>
      <c r="S195" s="24">
        <f>INDEX(tabellen_EMD!$C$285:$Z$290,MATCH($J195,tabellen_EMD!$C$285:$C$290,0),MATCH(EP_versie_scope_functie_methode,tabellen_EMD!$C$285:$Z$285,0))</f>
        <v>1</v>
      </c>
      <c r="T195" s="24">
        <f>INDEX(tabellen_EMD!$C$293:$Z$298,MATCH(J$195,tabellen_EMD!$C$293:$C$298,0),MATCH(EP_versie_scope_functie_methode,tabellen_EMD!$C$293:$Z$293,0))</f>
        <v>0</v>
      </c>
      <c r="U195" s="12"/>
      <c r="V195" s="899"/>
      <c r="W195" s="24">
        <f>ROUND(P195/S195,T195)</f>
        <v>0</v>
      </c>
      <c r="X195" s="47" t="str">
        <f>INDEX(tabellen_EMD!$C$277:$X$282,MATCH($J195,tabellen_EMD!$C$277:$C$282,0),MATCH(EP_versie_scope_functie_methode,tabellen_EMD!$C$277:$X$277,0))</f>
        <v>m3</v>
      </c>
      <c r="Y195" s="12"/>
      <c r="Z195" s="453"/>
      <c r="AA195" s="453"/>
      <c r="AB195" s="909"/>
      <c r="AC195" s="995"/>
      <c r="AD195" s="1405"/>
      <c r="AE195" s="1405"/>
      <c r="AF195" s="1405"/>
      <c r="AG195" s="1405"/>
      <c r="AH195" s="1405"/>
      <c r="AI195" s="1405"/>
      <c r="AJ195" s="1405"/>
      <c r="AK195" s="1405"/>
      <c r="AL195" s="1405"/>
      <c r="AM195" s="1405"/>
      <c r="AN195" s="1405"/>
      <c r="AO195" s="1405"/>
      <c r="AP195" s="1405"/>
      <c r="AQ195" s="1405"/>
      <c r="AR195" s="1405"/>
      <c r="AS195" s="909"/>
      <c r="AT195" s="1001"/>
      <c r="AU195" s="12"/>
      <c r="AV195" s="12"/>
      <c r="AW195" s="12"/>
      <c r="AX195" s="12"/>
      <c r="AY195" s="12"/>
      <c r="AZ195" s="12"/>
      <c r="BA195" s="12"/>
      <c r="BB195" s="12"/>
      <c r="BC195" s="12"/>
      <c r="BD195" s="12"/>
      <c r="BE195" s="12"/>
      <c r="BF195" s="12"/>
      <c r="BG195" s="12"/>
      <c r="BH195" s="12"/>
      <c r="BI195" s="13"/>
    </row>
    <row r="196" spans="1:61" s="49" customFormat="1">
      <c r="A196" s="212" t="s">
        <v>493</v>
      </c>
      <c r="B196" s="978" t="str">
        <f t="shared" si="96"/>
        <v>VABI NTA 8800</v>
      </c>
      <c r="C196" s="978" t="str">
        <f t="shared" si="96"/>
        <v>NTA 8800</v>
      </c>
      <c r="D196" s="947"/>
      <c r="E196" s="50"/>
      <c r="F196" s="46" t="str">
        <f>INDEX(tabellen_EMD!$C$269:$X$274,MATCH($J196,tabellen_EMD!$C$269:$C$274,0),MATCH(EP_versie_scope_functie_methode,tabellen_EMD!$C$269:$X$269,0))</f>
        <v>elektriciteit: gebruik gebouwgebonden installaties</v>
      </c>
      <c r="G196" s="46"/>
      <c r="H196" s="46"/>
      <c r="I196" s="905"/>
      <c r="J196" s="1691" t="s">
        <v>465</v>
      </c>
      <c r="K196" s="1691"/>
      <c r="L196" s="44"/>
      <c r="M196" s="24">
        <f>M184</f>
        <v>0</v>
      </c>
      <c r="N196" s="22" t="str">
        <f t="shared" si="97"/>
        <v>kWh</v>
      </c>
      <c r="O196" s="44"/>
      <c r="P196" s="24">
        <f t="shared" ref="P196" si="98">W184</f>
        <v>0</v>
      </c>
      <c r="Q196" s="47" t="str">
        <f>INDEX(tabellen_EMD!$C$277:$X$282,MATCH($J196,tabellen_EMD!$C$277:$C$282,0),MATCH(EP_versie_scope_functie_methode,tabellen_EMD!$C$277:$X$277,0))</f>
        <v>kWh</v>
      </c>
      <c r="R196" s="12"/>
      <c r="S196" s="24">
        <f>INDEX(tabellen_EMD!$C$285:$Z$290,MATCH($J196,tabellen_EMD!$C$285:$C$290,0),MATCH(EP_versie_scope_functie_methode,tabellen_EMD!$C$285:$Z$285,0))</f>
        <v>1</v>
      </c>
      <c r="T196" s="24">
        <f>INDEX(tabellen_EMD!$C$293:$Z$298,MATCH(J$195,tabellen_EMD!$C$293:$C$298,0),MATCH(EP_versie_scope_functie_methode,tabellen_EMD!$C$293:$Z$293,0))</f>
        <v>0</v>
      </c>
      <c r="U196" s="12"/>
      <c r="V196" s="899"/>
      <c r="W196" s="24">
        <f t="shared" ref="W196:W199" si="99">ROUND(P196/S196,T196)</f>
        <v>0</v>
      </c>
      <c r="X196" s="47" t="str">
        <f>INDEX(tabellen_EMD!$C$277:$X$282,MATCH($J196,tabellen_EMD!$C$277:$C$282,0),MATCH(EP_versie_scope_functie_methode,tabellen_EMD!$C$277:$X$277,0))</f>
        <v>kWh</v>
      </c>
      <c r="Y196" s="12"/>
      <c r="Z196" s="453"/>
      <c r="AA196" s="453"/>
      <c r="AB196" s="909"/>
      <c r="AC196" s="995"/>
      <c r="AD196" s="1405"/>
      <c r="AE196" s="1405"/>
      <c r="AF196" s="1405"/>
      <c r="AG196" s="1405"/>
      <c r="AH196" s="1405"/>
      <c r="AI196" s="1405"/>
      <c r="AJ196" s="1405"/>
      <c r="AK196" s="1405"/>
      <c r="AL196" s="1405"/>
      <c r="AM196" s="1405"/>
      <c r="AN196" s="1405"/>
      <c r="AO196" s="1405"/>
      <c r="AP196" s="1405"/>
      <c r="AQ196" s="1405"/>
      <c r="AR196" s="1405"/>
      <c r="AS196" s="909"/>
      <c r="AT196" s="1001"/>
      <c r="AU196" s="12"/>
      <c r="AV196" s="12"/>
      <c r="AW196" s="12"/>
      <c r="AX196" s="12"/>
      <c r="AY196" s="12"/>
      <c r="AZ196" s="12"/>
      <c r="BA196" s="12"/>
      <c r="BB196" s="12"/>
      <c r="BC196" s="12"/>
      <c r="BD196" s="12"/>
      <c r="BE196" s="12"/>
      <c r="BF196" s="12"/>
      <c r="BG196" s="12"/>
      <c r="BH196" s="12"/>
      <c r="BI196" s="13"/>
    </row>
    <row r="197" spans="1:61" s="49" customFormat="1">
      <c r="A197" s="212" t="s">
        <v>493</v>
      </c>
      <c r="B197" s="978" t="str">
        <f t="shared" si="96"/>
        <v>VABI NTA 8800</v>
      </c>
      <c r="C197" s="978" t="str">
        <f t="shared" si="96"/>
        <v>NTA 8800</v>
      </c>
      <c r="D197" s="947"/>
      <c r="E197" s="50"/>
      <c r="F197" s="46" t="str">
        <f>INDEX(tabellen_EMD!$C$269:$X$274,MATCH($J197,tabellen_EMD!$C$269:$C$274,0),MATCH(EP_versie_scope_functie_methode,tabellen_EMD!$C$269:$X$269,0))</f>
        <v>elektriciteit: opgewekt</v>
      </c>
      <c r="G197" s="46"/>
      <c r="H197" s="46"/>
      <c r="I197" s="905"/>
      <c r="J197" s="1691" t="s">
        <v>466</v>
      </c>
      <c r="K197" s="1691"/>
      <c r="L197" s="44"/>
      <c r="M197" s="24">
        <f>SUM(M185:M186)</f>
        <v>0</v>
      </c>
      <c r="N197" s="22" t="str">
        <f t="shared" si="97"/>
        <v>kWh</v>
      </c>
      <c r="O197" s="44"/>
      <c r="P197" s="24">
        <f>SUM(W185:W186)</f>
        <v>0</v>
      </c>
      <c r="Q197" s="47" t="str">
        <f>INDEX(tabellen_EMD!$C$277:$X$282,MATCH($J197,tabellen_EMD!$C$277:$C$282,0),MATCH(EP_versie_scope_functie_methode,tabellen_EMD!$C$277:$X$277,0))</f>
        <v>kWh</v>
      </c>
      <c r="R197" s="12"/>
      <c r="S197" s="24">
        <f>INDEX(tabellen_EMD!$C$285:$Z$290,MATCH($J197,tabellen_EMD!$C$285:$C$290,0),MATCH(EP_versie_scope_functie_methode,tabellen_EMD!$C$285:$Z$285,0))</f>
        <v>1</v>
      </c>
      <c r="T197" s="24">
        <f>INDEX(tabellen_EMD!$C$293:$Z$298,MATCH(J$195,tabellen_EMD!$C$293:$C$298,0),MATCH(EP_versie_scope_functie_methode,tabellen_EMD!$C$293:$Z$293,0))</f>
        <v>0</v>
      </c>
      <c r="U197" s="12"/>
      <c r="V197" s="899"/>
      <c r="W197" s="24">
        <f t="shared" si="99"/>
        <v>0</v>
      </c>
      <c r="X197" s="47" t="str">
        <f>INDEX(tabellen_EMD!$C$277:$X$282,MATCH($J197,tabellen_EMD!$C$277:$C$282,0),MATCH(EP_versie_scope_functie_methode,tabellen_EMD!$C$277:$X$277,0))</f>
        <v>kWh</v>
      </c>
      <c r="Y197" s="12"/>
      <c r="Z197" s="453"/>
      <c r="AA197" s="453"/>
      <c r="AB197" s="909"/>
      <c r="AC197" s="995"/>
      <c r="AD197" s="1405"/>
      <c r="AE197" s="1405"/>
      <c r="AF197" s="1405"/>
      <c r="AG197" s="1405"/>
      <c r="AH197" s="1405"/>
      <c r="AI197" s="1405"/>
      <c r="AJ197" s="1405"/>
      <c r="AK197" s="1405"/>
      <c r="AL197" s="1405"/>
      <c r="AM197" s="1405"/>
      <c r="AN197" s="1405"/>
      <c r="AO197" s="1405"/>
      <c r="AP197" s="1405"/>
      <c r="AQ197" s="1405"/>
      <c r="AR197" s="1405"/>
      <c r="AS197" s="909"/>
      <c r="AT197" s="1001"/>
      <c r="AU197" s="12"/>
      <c r="AV197" s="12"/>
      <c r="AW197" s="12"/>
      <c r="AX197" s="12"/>
      <c r="AY197" s="12"/>
      <c r="AZ197" s="12"/>
      <c r="BA197" s="12"/>
      <c r="BB197" s="12"/>
      <c r="BC197" s="12"/>
      <c r="BD197" s="12"/>
      <c r="BE197" s="12"/>
      <c r="BF197" s="12"/>
      <c r="BG197" s="12"/>
      <c r="BH197" s="12"/>
      <c r="BI197" s="13"/>
    </row>
    <row r="198" spans="1:61" s="49" customFormat="1">
      <c r="A198" s="212" t="s">
        <v>493</v>
      </c>
      <c r="B198" s="978" t="str">
        <f t="shared" si="96"/>
        <v>VABI NTA 8800</v>
      </c>
      <c r="C198" s="978" t="str">
        <f t="shared" si="96"/>
        <v>NTA 8800</v>
      </c>
      <c r="D198" s="947"/>
      <c r="E198" s="50"/>
      <c r="F198" s="46" t="str">
        <f>INDEX(tabellen_EMD!$C$269:$X$274,MATCH($J198,tabellen_EMD!$C$269:$C$274,0),MATCH(EP_versie_scope_functie_methode,tabellen_EMD!$C$269:$X$269,0))</f>
        <v>externe warmte</v>
      </c>
      <c r="G198" s="46"/>
      <c r="H198" s="46"/>
      <c r="I198" s="905"/>
      <c r="J198" s="1691" t="s">
        <v>1539</v>
      </c>
      <c r="K198" s="1691"/>
      <c r="L198" s="44"/>
      <c r="M198" s="24">
        <f>SUM(M187:M188)</f>
        <v>0</v>
      </c>
      <c r="N198" s="22" t="str">
        <f t="shared" si="97"/>
        <v>kWh</v>
      </c>
      <c r="O198" s="44"/>
      <c r="P198" s="24">
        <f>SUM(W187:W188)</f>
        <v>0</v>
      </c>
      <c r="Q198" s="47" t="str">
        <f>INDEX(tabellen_EMD!$C$277:$X$282,MATCH($J198,tabellen_EMD!$C$277:$C$282,0),MATCH(EP_versie_scope_functie_methode,tabellen_EMD!$C$277:$X$277,0))</f>
        <v>GJ</v>
      </c>
      <c r="R198" s="12"/>
      <c r="S198" s="24">
        <f>INDEX(tabellen_EMD!$C$285:$Z$290,MATCH($J198,tabellen_EMD!$C$285:$C$290,0),MATCH(EP_versie_scope_functie_methode,tabellen_EMD!$C$285:$Z$285,0))</f>
        <v>1</v>
      </c>
      <c r="T198" s="24">
        <f>INDEX(tabellen_EMD!$C$293:$Z$298,MATCH(J$195,tabellen_EMD!$C$293:$C$298,0),MATCH(EP_versie_scope_functie_methode,tabellen_EMD!$C$293:$Z$293,0))</f>
        <v>0</v>
      </c>
      <c r="U198" s="12"/>
      <c r="V198" s="899"/>
      <c r="W198" s="24">
        <f t="shared" si="99"/>
        <v>0</v>
      </c>
      <c r="X198" s="47" t="str">
        <f>INDEX(tabellen_EMD!$C$277:$X$282,MATCH($J198,tabellen_EMD!$C$277:$C$282,0),MATCH(EP_versie_scope_functie_methode,tabellen_EMD!$C$277:$X$277,0))</f>
        <v>GJ</v>
      </c>
      <c r="Y198" s="12"/>
      <c r="Z198" s="453"/>
      <c r="AA198" s="453"/>
      <c r="AB198" s="909"/>
      <c r="AC198" s="995"/>
      <c r="AD198" s="1405"/>
      <c r="AE198" s="1405"/>
      <c r="AF198" s="1405"/>
      <c r="AG198" s="1405"/>
      <c r="AH198" s="1405"/>
      <c r="AI198" s="1405"/>
      <c r="AJ198" s="1405"/>
      <c r="AK198" s="1405"/>
      <c r="AL198" s="1405"/>
      <c r="AM198" s="1405"/>
      <c r="AN198" s="1405"/>
      <c r="AO198" s="1405"/>
      <c r="AP198" s="1405"/>
      <c r="AQ198" s="1405"/>
      <c r="AR198" s="1405"/>
      <c r="AS198" s="909"/>
      <c r="AT198" s="1001"/>
      <c r="AU198" s="12"/>
      <c r="AV198" s="12"/>
      <c r="AW198" s="12"/>
      <c r="AX198" s="12"/>
      <c r="AY198" s="12"/>
      <c r="AZ198" s="12"/>
      <c r="BA198" s="12"/>
      <c r="BB198" s="12"/>
      <c r="BC198" s="12"/>
      <c r="BD198" s="12"/>
      <c r="BE198" s="12"/>
      <c r="BF198" s="12"/>
      <c r="BG198" s="12"/>
      <c r="BH198" s="12"/>
      <c r="BI198" s="13"/>
    </row>
    <row r="199" spans="1:61" s="49" customFormat="1">
      <c r="A199" s="212" t="s">
        <v>493</v>
      </c>
      <c r="B199" s="978" t="str">
        <f t="shared" si="96"/>
        <v>VABI NTA 8800</v>
      </c>
      <c r="C199" s="978" t="str">
        <f t="shared" si="96"/>
        <v>NTA 8800</v>
      </c>
      <c r="D199" s="947"/>
      <c r="E199" s="50"/>
      <c r="F199" s="46" t="str">
        <f>INDEX(tabellen_EMD!$C$269:$X$274,MATCH($J199,tabellen_EMD!$C$269:$C$274,0),MATCH(EP_versie_scope_functie_methode,tabellen_EMD!$C$269:$X$269,0))</f>
        <v>hout/biomassa</v>
      </c>
      <c r="G199" s="46"/>
      <c r="H199" s="46"/>
      <c r="I199" s="905"/>
      <c r="J199" s="1691" t="s">
        <v>467</v>
      </c>
      <c r="K199" s="1691"/>
      <c r="L199" s="44"/>
      <c r="M199" s="24">
        <f>M189</f>
        <v>0</v>
      </c>
      <c r="N199" s="22" t="str">
        <f t="shared" si="97"/>
        <v>kWh</v>
      </c>
      <c r="O199" s="44"/>
      <c r="P199" s="24">
        <f>W189</f>
        <v>0</v>
      </c>
      <c r="Q199" s="47" t="str">
        <f>INDEX(tabellen_EMD!$C$277:$X$282,MATCH($J199,tabellen_EMD!$C$277:$C$282,0),MATCH(EP_versie_scope_functie_methode,tabellen_EMD!$C$277:$X$277,0))</f>
        <v>kWh</v>
      </c>
      <c r="R199" s="12"/>
      <c r="S199" s="24">
        <f>INDEX(tabellen_EMD!$C$285:$Z$290,MATCH($J199,tabellen_EMD!$C$285:$C$290,0),MATCH(EP_versie_scope_functie_methode,tabellen_EMD!$C$285:$Z$285,0))</f>
        <v>4.166666666666667</v>
      </c>
      <c r="T199" s="24">
        <f>INDEX(tabellen_EMD!$C$293:$Z$298,MATCH(J$195,tabellen_EMD!$C$293:$C$298,0),MATCH(EP_versie_scope_functie_methode,tabellen_EMD!$C$293:$Z$293,0))</f>
        <v>0</v>
      </c>
      <c r="U199" s="12"/>
      <c r="V199" s="899"/>
      <c r="W199" s="24">
        <f t="shared" si="99"/>
        <v>0</v>
      </c>
      <c r="X199" s="47" t="str">
        <f>INDEX(tabellen_EMD!$C$277:$X$282,MATCH($J199,tabellen_EMD!$C$277:$C$282,0),MATCH(EP_versie_scope_functie_methode,tabellen_EMD!$C$277:$X$277,0))</f>
        <v>kWh</v>
      </c>
      <c r="Y199" s="12"/>
      <c r="Z199" s="453"/>
      <c r="AA199" s="453"/>
      <c r="AB199" s="909"/>
      <c r="AC199" s="995"/>
      <c r="AD199" s="1405"/>
      <c r="AE199" s="1405"/>
      <c r="AF199" s="1405"/>
      <c r="AG199" s="1405"/>
      <c r="AH199" s="1405"/>
      <c r="AI199" s="1405"/>
      <c r="AJ199" s="1405"/>
      <c r="AK199" s="1405"/>
      <c r="AL199" s="1405"/>
      <c r="AM199" s="1405"/>
      <c r="AN199" s="1405"/>
      <c r="AO199" s="1405"/>
      <c r="AP199" s="1405"/>
      <c r="AQ199" s="1405"/>
      <c r="AR199" s="1405"/>
      <c r="AS199" s="909"/>
      <c r="AT199" s="1001"/>
      <c r="AU199" s="12"/>
      <c r="AV199" s="12"/>
      <c r="AW199" s="12"/>
      <c r="AX199" s="12"/>
      <c r="AY199" s="12"/>
      <c r="AZ199" s="12"/>
      <c r="BA199" s="12"/>
      <c r="BB199" s="12"/>
      <c r="BC199" s="12"/>
      <c r="BD199" s="12"/>
      <c r="BE199" s="12"/>
      <c r="BF199" s="12"/>
      <c r="BG199" s="12"/>
      <c r="BH199" s="12"/>
      <c r="BI199" s="13"/>
    </row>
    <row r="200" spans="1:61" s="940" customFormat="1">
      <c r="A200" s="212" t="s">
        <v>493</v>
      </c>
      <c r="B200" s="978" t="str">
        <f t="shared" si="96"/>
        <v>VABI NTA 8800</v>
      </c>
      <c r="C200" s="978" t="str">
        <f t="shared" si="96"/>
        <v>NTA 8800</v>
      </c>
      <c r="D200" s="947"/>
      <c r="E200" s="14"/>
      <c r="F200" s="43" t="str">
        <f>tabellen_EMD!C215</f>
        <v>totaal</v>
      </c>
      <c r="G200" s="43"/>
      <c r="H200" s="43"/>
      <c r="I200" s="43"/>
      <c r="J200" s="965" t="s">
        <v>1391</v>
      </c>
      <c r="K200" s="965"/>
      <c r="L200" s="43"/>
      <c r="M200" s="54">
        <f>SUM(M195:M196,M198:M199)-M197</f>
        <v>0</v>
      </c>
      <c r="N200" s="43" t="str">
        <f t="shared" si="97"/>
        <v>kWh</v>
      </c>
      <c r="O200" s="43"/>
      <c r="P200" s="452"/>
      <c r="Q200" s="452"/>
      <c r="R200" s="899"/>
      <c r="S200" s="899"/>
      <c r="T200" s="899"/>
      <c r="U200" s="899"/>
      <c r="V200" s="899"/>
      <c r="W200" s="54"/>
      <c r="X200" s="39"/>
      <c r="Y200" s="12"/>
      <c r="Z200" s="453"/>
      <c r="AA200" s="453"/>
      <c r="AB200" s="909"/>
      <c r="AC200" s="995"/>
      <c r="AD200" s="1405"/>
      <c r="AE200" s="1405"/>
      <c r="AF200" s="1405"/>
      <c r="AG200" s="1405"/>
      <c r="AH200" s="1405"/>
      <c r="AI200" s="1405"/>
      <c r="AJ200" s="1405"/>
      <c r="AK200" s="1405"/>
      <c r="AL200" s="1405"/>
      <c r="AM200" s="1405"/>
      <c r="AN200" s="1405"/>
      <c r="AO200" s="1405"/>
      <c r="AP200" s="1405"/>
      <c r="AQ200" s="1405"/>
      <c r="AR200" s="1405"/>
      <c r="AS200" s="909"/>
      <c r="AT200" s="995"/>
      <c r="AU200" s="12"/>
      <c r="AV200" s="12"/>
      <c r="AW200" s="12"/>
      <c r="AX200" s="12"/>
      <c r="AY200" s="12"/>
      <c r="AZ200" s="12"/>
      <c r="BA200" s="12"/>
      <c r="BB200" s="12"/>
      <c r="BC200" s="12"/>
      <c r="BD200" s="12"/>
      <c r="BE200" s="12"/>
      <c r="BF200" s="12"/>
      <c r="BG200" s="12"/>
      <c r="BH200" s="12"/>
      <c r="BI200" s="13"/>
    </row>
    <row r="201" spans="1:61" s="49" customFormat="1">
      <c r="A201" s="212" t="s">
        <v>493</v>
      </c>
      <c r="B201" s="978" t="str">
        <f t="shared" si="96"/>
        <v>VABI NTA 8800</v>
      </c>
      <c r="C201" s="978" t="str">
        <f t="shared" si="96"/>
        <v>NTA 8800</v>
      </c>
      <c r="D201" s="947"/>
      <c r="E201" s="50"/>
      <c r="F201" s="452" t="str">
        <f>IFERROR(IF($P$23=$B201,_xlfn.CONCAT("Bij 1.1 ingevuld: ",FIXED($J$35,2,FALSE)," ",$K$35),""),"invoer niet correct")</f>
        <v>Bij 1.1 ingevuld: 50.00 kWh/m2 Ag</v>
      </c>
      <c r="G201" s="452"/>
      <c r="H201" s="452"/>
      <c r="I201" s="905"/>
      <c r="J201" s="909" t="str">
        <f>IFERROR(IF($P$23=$B201,IF(ABS((M201-$J$35)/$J$35)&gt;1%,"Afwijking &gt;1% met subthema 1.1",""),""),"invoer niet correct")</f>
        <v>Afwijking &gt;1% met subthema 1.1</v>
      </c>
      <c r="K201" s="909"/>
      <c r="L201" s="910"/>
      <c r="M201" s="1479">
        <f>IFERROR(IF($P$23=$B201,M200/$J$59,""),"")</f>
        <v>0</v>
      </c>
      <c r="N201" s="452" t="str">
        <f>IF($P$23=$B201,_xlfn.CONCAT(N200,"/m2"),"")</f>
        <v>kWh/m2</v>
      </c>
      <c r="O201" s="452"/>
      <c r="P201" s="39"/>
      <c r="Q201" s="39"/>
      <c r="R201" s="899"/>
      <c r="S201" s="899"/>
      <c r="T201" s="899"/>
      <c r="U201" s="39"/>
      <c r="V201" s="39"/>
      <c r="W201" s="910" t="str">
        <f>IFERROR(IF($P$23=$B201,_xlfn.CONCAT("Bij 1.1 ingevuld: ",FIXED($AG$40,1,FALSE)," ",$AH$40),""),"invoer niet correct")</f>
        <v>Bij 1.1 ingevuld: 0,0 kg/m2 Ag</v>
      </c>
      <c r="X201" s="909" t="str">
        <f>IFERROR(IF($P$23=$B201,IF(ABS((Z201-$AG$40)/$AG$40)&gt;1%,"afwijking &gt;1% met subthema 1.1",""),""),"invoer niet correct")</f>
        <v>invoer niet correct</v>
      </c>
      <c r="Y201" s="12"/>
      <c r="Z201" s="951"/>
      <c r="AA201" s="452"/>
      <c r="AB201" s="909"/>
      <c r="AC201" s="995"/>
      <c r="AD201" s="1405"/>
      <c r="AE201" s="1405"/>
      <c r="AF201" s="1405"/>
      <c r="AG201" s="1405"/>
      <c r="AH201" s="1405"/>
      <c r="AI201" s="1405"/>
      <c r="AJ201" s="1405"/>
      <c r="AK201" s="1405"/>
      <c r="AL201" s="1405"/>
      <c r="AM201" s="1405"/>
      <c r="AN201" s="1405"/>
      <c r="AO201" s="1405"/>
      <c r="AP201" s="1405"/>
      <c r="AQ201" s="1405"/>
      <c r="AR201" s="1405"/>
      <c r="AS201" s="909"/>
      <c r="AT201" s="1001"/>
      <c r="AU201" s="12"/>
      <c r="AV201" s="12"/>
      <c r="AW201" s="12"/>
      <c r="AX201" s="12"/>
      <c r="AY201" s="12"/>
      <c r="AZ201" s="12"/>
      <c r="BA201" s="12"/>
      <c r="BB201" s="12"/>
      <c r="BC201" s="12"/>
      <c r="BD201" s="12"/>
      <c r="BE201" s="12"/>
      <c r="BF201" s="12"/>
      <c r="BG201" s="12"/>
      <c r="BH201" s="12"/>
      <c r="BI201" s="13"/>
    </row>
    <row r="202" spans="1:61" s="49" customFormat="1" ht="18" thickBot="1">
      <c r="A202" s="212" t="s">
        <v>493</v>
      </c>
      <c r="B202" s="943"/>
      <c r="C202" s="943"/>
      <c r="D202" s="943"/>
      <c r="E202" s="50"/>
      <c r="F202" s="43"/>
      <c r="G202" s="44"/>
      <c r="H202" s="44"/>
      <c r="I202" s="44"/>
      <c r="J202" s="917"/>
      <c r="K202" s="44"/>
      <c r="L202" s="44"/>
      <c r="M202" s="44"/>
      <c r="N202" s="44"/>
      <c r="O202" s="44"/>
      <c r="P202" s="899"/>
      <c r="Q202" s="899"/>
      <c r="R202" s="899"/>
      <c r="S202" s="899"/>
      <c r="T202" s="899"/>
      <c r="U202" s="899"/>
      <c r="V202" s="39"/>
      <c r="W202" s="39"/>
      <c r="X202" s="39"/>
      <c r="Y202" s="12"/>
      <c r="Z202" s="453"/>
      <c r="AA202" s="453"/>
      <c r="AB202" s="909"/>
      <c r="AC202" s="995"/>
      <c r="AD202" s="1405"/>
      <c r="AE202" s="1405"/>
      <c r="AF202" s="1405"/>
      <c r="AG202" s="1405"/>
      <c r="AH202" s="1405"/>
      <c r="AI202" s="1405"/>
      <c r="AJ202" s="1405"/>
      <c r="AK202" s="1405"/>
      <c r="AL202" s="1405"/>
      <c r="AM202" s="1405"/>
      <c r="AN202" s="1405"/>
      <c r="AO202" s="1405"/>
      <c r="AP202" s="1405"/>
      <c r="AQ202" s="1405"/>
      <c r="AR202" s="1405"/>
      <c r="AS202" s="909"/>
      <c r="AT202" s="1001"/>
      <c r="AU202" s="12"/>
      <c r="AV202" s="12"/>
      <c r="AW202" s="12"/>
      <c r="AX202" s="12"/>
      <c r="AY202" s="12"/>
      <c r="AZ202" s="12"/>
      <c r="BA202" s="12"/>
      <c r="BB202" s="12"/>
      <c r="BC202" s="12"/>
      <c r="BD202" s="12"/>
      <c r="BE202" s="12"/>
      <c r="BF202" s="12"/>
      <c r="BG202" s="12"/>
      <c r="BH202" s="12"/>
      <c r="BI202" s="13"/>
    </row>
    <row r="203" spans="1:61" ht="18" thickTop="1">
      <c r="A203" s="212" t="s">
        <v>493</v>
      </c>
      <c r="B203" s="943"/>
      <c r="C203" s="943"/>
      <c r="D203" s="943"/>
      <c r="E203" s="14"/>
      <c r="F203" s="43" t="s">
        <v>517</v>
      </c>
      <c r="G203" s="17"/>
      <c r="H203" s="17"/>
      <c r="I203" s="1"/>
      <c r="J203" s="12"/>
      <c r="K203" s="36"/>
      <c r="L203" s="148"/>
      <c r="M203" s="54"/>
      <c r="N203" s="16"/>
      <c r="O203" s="44"/>
      <c r="P203" s="1480" t="s">
        <v>1731</v>
      </c>
      <c r="Q203" s="1481"/>
      <c r="R203" s="1481"/>
      <c r="S203" s="1482"/>
      <c r="T203" s="1483"/>
      <c r="U203" s="1484"/>
      <c r="V203" s="1485"/>
      <c r="W203" s="1486"/>
      <c r="X203" s="16"/>
      <c r="Y203" s="12"/>
      <c r="Z203" s="453"/>
      <c r="AA203" s="453"/>
      <c r="AB203" s="67"/>
      <c r="AC203" s="995"/>
      <c r="AD203" s="1432"/>
      <c r="AE203" s="1409" t="str">
        <f>_xlfn.CONCAT("Informatief: score in ",$P$24," ",$P$25)</f>
        <v>Informatief: score in GPR 4.4 nieuwbouw</v>
      </c>
      <c r="AF203" s="1408"/>
      <c r="AG203" s="1408"/>
      <c r="AH203" s="1388"/>
      <c r="AI203" s="1388"/>
      <c r="AJ203" s="1388"/>
      <c r="AK203" s="1408"/>
      <c r="AL203" s="1415"/>
      <c r="AM203" s="1415"/>
      <c r="AN203" s="39"/>
      <c r="AO203" s="13"/>
      <c r="AP203" s="13"/>
      <c r="AQ203" s="13"/>
      <c r="AR203" s="1405"/>
      <c r="AS203" s="67"/>
      <c r="AT203" s="995"/>
      <c r="AU203" s="12"/>
      <c r="AV203" s="12"/>
      <c r="AW203" s="12"/>
      <c r="AX203" s="12"/>
      <c r="AY203" s="12"/>
      <c r="AZ203" s="12"/>
      <c r="BA203" s="12"/>
      <c r="BB203" s="12"/>
      <c r="BC203" s="12"/>
      <c r="BD203" s="12"/>
      <c r="BE203" s="12"/>
      <c r="BF203" s="12"/>
      <c r="BG203" s="12"/>
      <c r="BH203" s="12"/>
      <c r="BI203" s="13"/>
    </row>
    <row r="204" spans="1:61" ht="32">
      <c r="A204" s="212" t="s">
        <v>493</v>
      </c>
      <c r="D204" s="943"/>
      <c r="E204" s="14"/>
      <c r="F204" s="911" t="s">
        <v>458</v>
      </c>
      <c r="G204" s="918" t="str">
        <f>tabellen_EMD!$C$302</f>
        <v>aardgas</v>
      </c>
      <c r="H204" s="918" t="str">
        <f>tabellen_EMD!$C$303</f>
        <v>elektriciteit</v>
      </c>
      <c r="I204" s="911"/>
      <c r="J204" s="918" t="str">
        <f>tabellen_EMD!$C$304</f>
        <v>elektriciteit opgewekt</v>
      </c>
      <c r="K204" s="918" t="str">
        <f>tabellen_EMD!$C$305</f>
        <v>externe warmte</v>
      </c>
      <c r="L204" s="911"/>
      <c r="M204" s="918" t="str">
        <f>tabellen_EMD!$C$306</f>
        <v>hout / biomassa</v>
      </c>
      <c r="N204" s="918" t="s">
        <v>1594</v>
      </c>
      <c r="O204" s="44"/>
      <c r="P204" s="1487" t="str">
        <f>tabellen_EMD!$C$302</f>
        <v>aardgas</v>
      </c>
      <c r="Q204" s="918" t="str">
        <f>tabellen_EMD!$C$303</f>
        <v>elektriciteit</v>
      </c>
      <c r="R204" s="230"/>
      <c r="S204" s="918" t="str">
        <f>tabellen_EMD!$C$304</f>
        <v>elektriciteit opgewekt</v>
      </c>
      <c r="T204" s="918" t="str">
        <f>tabellen_EMD!$C$305</f>
        <v>externe warmte</v>
      </c>
      <c r="U204" s="230"/>
      <c r="V204" s="918" t="str">
        <f>tabellen_EMD!$C$306</f>
        <v>hout / biomassa</v>
      </c>
      <c r="W204" s="1488" t="s">
        <v>1594</v>
      </c>
      <c r="Y204" s="12"/>
      <c r="Z204" s="453"/>
      <c r="AA204" s="453"/>
      <c r="AB204" s="67"/>
      <c r="AC204" s="995"/>
      <c r="AD204" s="1432"/>
      <c r="AE204" s="1408"/>
      <c r="AF204" s="1408"/>
      <c r="AG204" s="1408"/>
      <c r="AH204" s="1408"/>
      <c r="AI204" s="1408"/>
      <c r="AJ204" s="1408"/>
      <c r="AK204" s="1408"/>
      <c r="AL204" s="1416"/>
      <c r="AM204" s="1416"/>
      <c r="AN204" s="16"/>
      <c r="AO204" s="13"/>
      <c r="AP204" s="13"/>
      <c r="AQ204" s="13"/>
      <c r="AR204" s="1405"/>
      <c r="AS204" s="67"/>
      <c r="AT204" s="995"/>
      <c r="AU204" s="12"/>
      <c r="AV204" s="12"/>
      <c r="AW204" s="12"/>
      <c r="AX204" s="12"/>
      <c r="AY204" s="12"/>
      <c r="AZ204" s="12"/>
      <c r="BA204" s="12"/>
      <c r="BB204" s="12"/>
      <c r="BC204" s="12"/>
      <c r="BD204" s="12"/>
      <c r="BE204" s="12"/>
      <c r="BF204" s="12"/>
      <c r="BG204" s="12"/>
      <c r="BH204" s="12"/>
      <c r="BI204" s="13"/>
    </row>
    <row r="205" spans="1:61">
      <c r="A205" s="212" t="s">
        <v>493</v>
      </c>
      <c r="B205" s="943"/>
      <c r="C205" s="943"/>
      <c r="D205" s="943"/>
      <c r="E205" s="14"/>
      <c r="F205" s="911" t="s">
        <v>1554</v>
      </c>
      <c r="G205" s="1047">
        <f>INDEX(tabellen_EMD!$C$285:$Z$290,MATCH(G$204,tabellen_EMD!$C$285:$C$290,0),MATCH(EP_versie_scope_functie_methode,tabellen_EMD!$C$285:$Z$285,0))</f>
        <v>1</v>
      </c>
      <c r="H205" s="1047">
        <f>INDEX(tabellen_EMD!$C$285:$Z$290,MATCH(H$204,tabellen_EMD!$C$285:$C$290,0),MATCH(EP_versie_scope_functie_methode,tabellen_EMD!$C$285:$Z$285,0))</f>
        <v>1</v>
      </c>
      <c r="I205" s="1047"/>
      <c r="J205" s="1047">
        <f>INDEX(tabellen_EMD!$C$285:$Z$290,MATCH(J$204,tabellen_EMD!$C$285:$C$290,0),MATCH(EP_versie_scope_functie_methode,tabellen_EMD!$C$285:$Z$285,0))</f>
        <v>1</v>
      </c>
      <c r="K205" s="1047">
        <f>INDEX(tabellen_EMD!$C$285:$Z$290,MATCH(K$204,tabellen_EMD!$C$285:$C$290,0),MATCH(EP_versie_scope_functie_methode,tabellen_EMD!$C$285:$Z$285,0))</f>
        <v>1</v>
      </c>
      <c r="L205" s="1047"/>
      <c r="M205" s="1047">
        <f>INDEX(tabellen_EMD!$C$285:$Z$290,MATCH(M$204,tabellen_EMD!$C$285:$C$290,0),MATCH(EP_versie_scope_functie_methode,tabellen_EMD!$C$285:$Z$285,0))</f>
        <v>4.166666666666667</v>
      </c>
      <c r="N205" s="1047"/>
      <c r="O205" s="44"/>
      <c r="P205" s="1489">
        <f>INDEX(tabellen_EMD!$C$285:$Z$290,MATCH(P$204,tabellen_EMD!$C$285:$C$290,0),MATCH(EP_versie_scope_functie_methode,tabellen_EMD!$C$285:$Z$285,0))</f>
        <v>1</v>
      </c>
      <c r="Q205" s="1047">
        <f>INDEX(tabellen_EMD!$C$285:$Z$290,MATCH(Q$204,tabellen_EMD!$C$285:$C$290,0),MATCH(EP_versie_scope_functie_methode,tabellen_EMD!$C$285:$Z$285,0))</f>
        <v>1</v>
      </c>
      <c r="R205" s="230"/>
      <c r="S205" s="1047">
        <f>INDEX(tabellen_EMD!$C$285:$Z$290,MATCH(S$204,tabellen_EMD!$C$285:$C$290,0),MATCH(EP_versie_scope_functie_methode,tabellen_EMD!$C$285:$Z$285,0))</f>
        <v>1</v>
      </c>
      <c r="T205" s="1047">
        <f>INDEX(tabellen_EMD!$C$285:$Z$290,MATCH(T$204,tabellen_EMD!$C$285:$C$290,0),MATCH(EP_versie_scope_functie_methode,tabellen_EMD!$C$285:$Z$285,0))</f>
        <v>1</v>
      </c>
      <c r="U205" s="230"/>
      <c r="V205" s="1047">
        <f>INDEX(tabellen_EMD!$C$285:$Z$290,MATCH(V$204,tabellen_EMD!$C$285:$C$290,0),MATCH(EP_versie_scope_functie_methode,tabellen_EMD!$C$285:$Z$285,0))</f>
        <v>4.166666666666667</v>
      </c>
      <c r="W205" s="1490"/>
      <c r="Y205" s="12"/>
      <c r="Z205" s="453"/>
      <c r="AA205" s="453"/>
      <c r="AB205" s="67"/>
      <c r="AC205" s="995"/>
      <c r="AD205" s="1432"/>
      <c r="AE205" s="1408"/>
      <c r="AF205" s="1408"/>
      <c r="AG205" s="1408"/>
      <c r="AH205" s="1408"/>
      <c r="AI205" s="1408"/>
      <c r="AJ205" s="1408"/>
      <c r="AK205" s="1408"/>
      <c r="AL205" s="1416"/>
      <c r="AM205" s="1416"/>
      <c r="AN205" s="16"/>
      <c r="AO205" s="13"/>
      <c r="AP205" s="13"/>
      <c r="AQ205" s="13"/>
      <c r="AR205" s="1405"/>
      <c r="AS205" s="67"/>
      <c r="AT205" s="995"/>
      <c r="AU205" s="12"/>
      <c r="AV205" s="12"/>
      <c r="AW205" s="12"/>
      <c r="AX205" s="12"/>
      <c r="AY205" s="12"/>
      <c r="AZ205" s="12"/>
      <c r="BA205" s="12"/>
      <c r="BB205" s="12"/>
      <c r="BC205" s="12"/>
      <c r="BD205" s="12"/>
      <c r="BE205" s="12"/>
      <c r="BF205" s="12"/>
      <c r="BG205" s="12"/>
      <c r="BH205" s="12"/>
      <c r="BI205" s="13"/>
    </row>
    <row r="206" spans="1:61">
      <c r="A206" s="212" t="s">
        <v>493</v>
      </c>
      <c r="B206" s="943"/>
      <c r="C206" s="943"/>
      <c r="D206" s="943"/>
      <c r="E206" s="14"/>
      <c r="F206" s="911" t="s">
        <v>1555</v>
      </c>
      <c r="G206" s="1047">
        <f>INDEX(tabellen_EMD!$C$293:$Z$298,MATCH(G$204,tabellen_EMD!$C$293:$C$298,0),MATCH(EP_versie_scope_functie_methode,tabellen_EMD!$C$293:$Z$293,0))</f>
        <v>0</v>
      </c>
      <c r="H206" s="1047">
        <f>INDEX(tabellen_EMD!$C$293:$Z$298,MATCH(H$204,tabellen_EMD!$C$293:$C$298,0),MATCH(EP_versie_scope_functie_methode,tabellen_EMD!$C$293:$Z$293,0))</f>
        <v>0</v>
      </c>
      <c r="I206" s="1047"/>
      <c r="J206" s="1047">
        <f>INDEX(tabellen_EMD!$C$293:$Z$298,MATCH(J$204,tabellen_EMD!$C$293:$C$298,0),MATCH(EP_versie_scope_functie_methode,tabellen_EMD!$C$293:$Z$293,0))</f>
        <v>0</v>
      </c>
      <c r="K206" s="1047">
        <f>INDEX(tabellen_EMD!$C$293:$Z$298,MATCH(K$204,tabellen_EMD!$C$293:$C$298,0),MATCH(EP_versie_scope_functie_methode,tabellen_EMD!$C$293:$Z$293,0))</f>
        <v>1</v>
      </c>
      <c r="L206" s="1047"/>
      <c r="M206" s="1047">
        <f>INDEX(tabellen_EMD!$C$293:$Z$298,MATCH(M$204,tabellen_EMD!$C$293:$C$298,0),MATCH(EP_versie_scope_functie_methode,tabellen_EMD!$C$293:$Z$293,0))</f>
        <v>0</v>
      </c>
      <c r="N206" s="1047"/>
      <c r="O206" s="44"/>
      <c r="P206" s="1489">
        <f>INDEX(tabellen_EMD!$C$293:$Z$298,MATCH(P$204,tabellen_EMD!$C$293:$C$298,0),MATCH(EP_versie_scope_functie_methode,tabellen_EMD!$C$293:$Z$293,0))</f>
        <v>0</v>
      </c>
      <c r="Q206" s="1047">
        <f>INDEX(tabellen_EMD!$C$293:$Z$298,MATCH(Q$204,tabellen_EMD!$C$293:$C$298,0),MATCH(EP_versie_scope_functie_methode,tabellen_EMD!$C$293:$Z$293,0))</f>
        <v>0</v>
      </c>
      <c r="R206" s="230"/>
      <c r="S206" s="1047">
        <f>INDEX(tabellen_EMD!$C$293:$Z$298,MATCH(S$204,tabellen_EMD!$C$293:$C$298,0),MATCH(EP_versie_scope_functie_methode,tabellen_EMD!$C$293:$Z$293,0))</f>
        <v>0</v>
      </c>
      <c r="T206" s="1047">
        <f>INDEX(tabellen_EMD!$C$293:$Z$298,MATCH(T$204,tabellen_EMD!$C$293:$C$298,0),MATCH(EP_versie_scope_functie_methode,tabellen_EMD!$C$293:$Z$293,0))</f>
        <v>1</v>
      </c>
      <c r="U206" s="230"/>
      <c r="V206" s="1047">
        <f>INDEX(tabellen_EMD!$C$293:$Z$298,MATCH(V$204,tabellen_EMD!$C$293:$C$298,0),MATCH(EP_versie_scope_functie_methode,tabellen_EMD!$C$293:$Z$293,0))</f>
        <v>0</v>
      </c>
      <c r="W206" s="1490"/>
      <c r="Y206" s="12"/>
      <c r="Z206" s="453"/>
      <c r="AA206" s="453"/>
      <c r="AB206" s="67"/>
      <c r="AC206" s="995"/>
      <c r="AD206" s="1432"/>
      <c r="AE206" s="1408"/>
      <c r="AF206" s="1408"/>
      <c r="AG206" s="1408"/>
      <c r="AH206" s="1408"/>
      <c r="AI206" s="1408"/>
      <c r="AJ206" s="1408"/>
      <c r="AK206" s="1408"/>
      <c r="AL206" s="1416"/>
      <c r="AM206" s="1416"/>
      <c r="AN206" s="16"/>
      <c r="AO206" s="13"/>
      <c r="AP206" s="13"/>
      <c r="AQ206" s="13"/>
      <c r="AR206" s="1405"/>
      <c r="AS206" s="67"/>
      <c r="AT206" s="995"/>
      <c r="AU206" s="12"/>
      <c r="AV206" s="12"/>
      <c r="AW206" s="12"/>
      <c r="AX206" s="12"/>
      <c r="AY206" s="12"/>
      <c r="AZ206" s="12"/>
      <c r="BA206" s="12"/>
      <c r="BB206" s="12"/>
      <c r="BC206" s="12"/>
      <c r="BD206" s="12"/>
      <c r="BE206" s="12"/>
      <c r="BF206" s="12"/>
      <c r="BG206" s="12"/>
      <c r="BH206" s="12"/>
      <c r="BI206" s="13"/>
    </row>
    <row r="207" spans="1:61" ht="32">
      <c r="A207" s="212" t="s">
        <v>493</v>
      </c>
      <c r="B207" s="943"/>
      <c r="C207" s="943"/>
      <c r="D207" s="943"/>
      <c r="E207" s="14"/>
      <c r="F207" s="911"/>
      <c r="G207" s="911" t="s">
        <v>463</v>
      </c>
      <c r="H207" s="911" t="s">
        <v>519</v>
      </c>
      <c r="I207" s="911"/>
      <c r="J207" s="911" t="s">
        <v>520</v>
      </c>
      <c r="K207" s="911" t="s">
        <v>521</v>
      </c>
      <c r="L207" s="911"/>
      <c r="M207" s="911" t="s">
        <v>522</v>
      </c>
      <c r="N207" s="911"/>
      <c r="O207" s="44"/>
      <c r="P207" s="1491" t="s">
        <v>463</v>
      </c>
      <c r="Q207" s="911" t="s">
        <v>519</v>
      </c>
      <c r="R207" s="230"/>
      <c r="S207" s="911" t="s">
        <v>520</v>
      </c>
      <c r="T207" s="911" t="s">
        <v>521</v>
      </c>
      <c r="U207" s="230"/>
      <c r="V207" s="911" t="s">
        <v>522</v>
      </c>
      <c r="W207" s="1492"/>
      <c r="Y207" s="12"/>
      <c r="Z207" s="453"/>
      <c r="AA207" s="453"/>
      <c r="AB207" s="67"/>
      <c r="AC207" s="995"/>
      <c r="AD207" s="891" t="s">
        <v>396</v>
      </c>
      <c r="AE207" s="1410" t="s">
        <v>511</v>
      </c>
      <c r="AF207" s="1408"/>
      <c r="AG207" s="1388"/>
      <c r="AH207" s="1388"/>
      <c r="AI207" s="1388"/>
      <c r="AJ207" s="1388"/>
      <c r="AK207" s="1408"/>
      <c r="AL207" s="1416"/>
      <c r="AM207" s="1416"/>
      <c r="AN207" s="16"/>
      <c r="AO207" s="13"/>
      <c r="AP207" s="13"/>
      <c r="AQ207" s="13"/>
      <c r="AR207" s="1405"/>
      <c r="AS207" s="67"/>
      <c r="AT207" s="995"/>
      <c r="AU207" s="12"/>
      <c r="AV207" s="12"/>
      <c r="AW207" s="12"/>
      <c r="AX207" s="12"/>
      <c r="AY207" s="12"/>
      <c r="AZ207" s="12"/>
      <c r="BA207" s="12"/>
      <c r="BB207" s="12"/>
      <c r="BC207" s="12"/>
      <c r="BD207" s="12"/>
      <c r="BE207" s="12"/>
      <c r="BF207" s="12"/>
      <c r="BG207" s="12"/>
      <c r="BH207" s="12"/>
      <c r="BI207" s="13"/>
    </row>
    <row r="208" spans="1:61">
      <c r="A208" s="212" t="s">
        <v>493</v>
      </c>
      <c r="B208" s="943"/>
      <c r="C208" s="943"/>
      <c r="D208" s="943"/>
      <c r="E208" s="14"/>
      <c r="F208" s="911"/>
      <c r="G208" s="911" t="str">
        <f>INDEX(tabellen_EMD!$C$277:$Z$282,MATCH(G$204,tabellen_EMD!$C$285:$C$290,0),MATCH(EP_versie_scope_functie_methode,tabellen_EMD!$C$285:$Z$285,0))</f>
        <v>m3</v>
      </c>
      <c r="H208" s="911" t="str">
        <f>INDEX(tabellen_EMD!$C$277:$Z$282,MATCH(H$204,tabellen_EMD!$C$285:$C$290,0),MATCH(EP_versie_scope_functie_methode,tabellen_EMD!$C$285:$Z$285,0))</f>
        <v>kWh</v>
      </c>
      <c r="I208" s="911"/>
      <c r="J208" s="911" t="str">
        <f>INDEX(tabellen_EMD!$C$277:$Z$282,MATCH(J$204,tabellen_EMD!$C$285:$C$290,0),MATCH(EP_versie_scope_functie_methode,tabellen_EMD!$C$285:$Z$285,0))</f>
        <v>kWh</v>
      </c>
      <c r="K208" s="911" t="str">
        <f>INDEX(tabellen_EMD!$C$277:$Z$282,MATCH(K$204,tabellen_EMD!$C$285:$C$290,0),MATCH(EP_versie_scope_functie_methode,tabellen_EMD!$C$285:$Z$285,0))</f>
        <v>GJ</v>
      </c>
      <c r="L208" s="911"/>
      <c r="M208" s="911" t="str">
        <f>INDEX(tabellen_EMD!$C$277:$Z$282,MATCH(M$204,tabellen_EMD!$C$285:$C$290,0),MATCH(EP_versie_scope_functie_methode,tabellen_EMD!$C$285:$Z$285,0))</f>
        <v>kWh</v>
      </c>
      <c r="N208" s="911" t="s">
        <v>562</v>
      </c>
      <c r="O208" s="44"/>
      <c r="P208" s="1491" t="s">
        <v>464</v>
      </c>
      <c r="Q208" s="911" t="s">
        <v>406</v>
      </c>
      <c r="R208" s="230"/>
      <c r="S208" s="911" t="s">
        <v>406</v>
      </c>
      <c r="T208" s="911" t="s">
        <v>405</v>
      </c>
      <c r="U208" s="230"/>
      <c r="V208" s="911" t="str">
        <f>INDEX(tabellen_EMD!$C$277:$Z$282,MATCH(V$204,tabellen_EMD!$C$285:$C$290,0),MATCH(EP_versie_scope_functie_methode,tabellen_EMD!$C$285:$Z$285,0))</f>
        <v>kWh</v>
      </c>
      <c r="W208" s="1492" t="s">
        <v>562</v>
      </c>
      <c r="Y208" s="12"/>
      <c r="Z208" s="453"/>
      <c r="AA208" s="453"/>
      <c r="AB208" s="67"/>
      <c r="AC208" s="995"/>
      <c r="AD208" s="891" t="s">
        <v>396</v>
      </c>
      <c r="AE208" s="1412" t="str">
        <f>_xlfn.CONCAT("Broeikasgas-emissie tgv energiegebruik (",$P$27,")")</f>
        <v>Broeikasgas-emissie tgv energiegebruik (NTA 8800)</v>
      </c>
      <c r="AF208" s="1444"/>
      <c r="AG208" s="1445">
        <f>IFERROR(SUMPRODUCT($G$229:$M$229,$G$249:$M$249)/J275,"")</f>
        <v>0</v>
      </c>
      <c r="AH208" s="1412" t="s">
        <v>1409</v>
      </c>
      <c r="AI208" s="1412"/>
      <c r="AJ208" s="1412"/>
      <c r="AK208" s="1408"/>
      <c r="AL208" s="1416"/>
      <c r="AM208" s="1416"/>
      <c r="AN208" s="16"/>
      <c r="AO208" s="13"/>
      <c r="AP208" s="13"/>
      <c r="AQ208" s="13"/>
      <c r="AR208" s="1405"/>
      <c r="AS208" s="67"/>
      <c r="AT208" s="995"/>
      <c r="AU208" s="12"/>
      <c r="AV208" s="12"/>
      <c r="AW208" s="12"/>
      <c r="AX208" s="12"/>
      <c r="AY208" s="12"/>
      <c r="AZ208" s="12"/>
      <c r="BA208" s="12"/>
      <c r="BB208" s="12"/>
      <c r="BC208" s="12"/>
      <c r="BD208" s="12"/>
      <c r="BE208" s="12"/>
      <c r="BF208" s="12"/>
      <c r="BG208" s="12"/>
      <c r="BH208" s="12"/>
      <c r="BI208" s="13"/>
    </row>
    <row r="209" spans="1:61">
      <c r="A209" s="212" t="s">
        <v>493</v>
      </c>
      <c r="B209" s="943"/>
      <c r="C209" s="943"/>
      <c r="D209" s="943"/>
      <c r="E209" s="14"/>
      <c r="F209" s="22" t="s">
        <v>297</v>
      </c>
      <c r="G209" s="214" t="str">
        <f>G256</f>
        <v/>
      </c>
      <c r="H209" s="214" t="str">
        <f t="shared" ref="H209:N209" si="100">H256</f>
        <v/>
      </c>
      <c r="I209" s="214"/>
      <c r="J209" s="214" t="str">
        <f t="shared" si="100"/>
        <v/>
      </c>
      <c r="K209" s="214" t="str">
        <f t="shared" si="100"/>
        <v/>
      </c>
      <c r="L209" s="214"/>
      <c r="M209" s="214" t="str">
        <f t="shared" si="100"/>
        <v/>
      </c>
      <c r="N209" s="142" t="str">
        <f t="shared" si="100"/>
        <v/>
      </c>
      <c r="O209" s="44"/>
      <c r="P209" s="1493">
        <f t="shared" ref="P209:Q220" si="101">Q256</f>
        <v>0</v>
      </c>
      <c r="Q209" s="214">
        <f t="shared" si="101"/>
        <v>0</v>
      </c>
      <c r="R209" s="230"/>
      <c r="S209" s="214">
        <f t="shared" ref="S209:T220" si="102">T256</f>
        <v>0</v>
      </c>
      <c r="T209" s="214">
        <f t="shared" si="102"/>
        <v>0</v>
      </c>
      <c r="U209" s="230"/>
      <c r="V209" s="214"/>
      <c r="W209" s="1494">
        <f>IFERROR(M44/$M$58*$J$275,"")</f>
        <v>0</v>
      </c>
      <c r="Y209" s="12"/>
      <c r="Z209" s="453"/>
      <c r="AA209" s="453"/>
      <c r="AB209" s="67"/>
      <c r="AC209" s="995"/>
      <c r="AD209" s="891" t="s">
        <v>396</v>
      </c>
      <c r="AE209" s="1412" t="s">
        <v>1408</v>
      </c>
      <c r="AF209" s="1443"/>
      <c r="AG209" s="1445">
        <f>IFERROR(M273,"")</f>
        <v>0</v>
      </c>
      <c r="AH209" s="1412" t="s">
        <v>1409</v>
      </c>
      <c r="AI209" s="1412"/>
      <c r="AJ209" s="1412"/>
      <c r="AK209" s="1408"/>
      <c r="AL209" s="1416"/>
      <c r="AM209" s="1416"/>
      <c r="AN209" s="16"/>
      <c r="AO209" s="13"/>
      <c r="AP209" s="13"/>
      <c r="AQ209" s="13"/>
      <c r="AR209" s="1405"/>
      <c r="AS209" s="67"/>
      <c r="AT209" s="995"/>
      <c r="AU209" s="12"/>
      <c r="AV209" s="12"/>
      <c r="AW209" s="12"/>
      <c r="AX209" s="12"/>
      <c r="AY209" s="12"/>
      <c r="AZ209" s="12"/>
      <c r="BA209" s="12"/>
      <c r="BB209" s="12"/>
      <c r="BC209" s="12"/>
      <c r="BD209" s="12"/>
      <c r="BE209" s="12"/>
      <c r="BF209" s="12"/>
      <c r="BG209" s="12"/>
      <c r="BH209" s="12"/>
      <c r="BI209" s="13"/>
    </row>
    <row r="210" spans="1:61">
      <c r="A210" s="212" t="s">
        <v>493</v>
      </c>
      <c r="B210" s="943"/>
      <c r="C210" s="943"/>
      <c r="D210" s="943"/>
      <c r="E210" s="14"/>
      <c r="F210" s="22" t="s">
        <v>298</v>
      </c>
      <c r="G210" s="214" t="str">
        <f t="shared" ref="G210:N210" si="103">G257</f>
        <v/>
      </c>
      <c r="H210" s="214" t="str">
        <f t="shared" si="103"/>
        <v/>
      </c>
      <c r="I210" s="214"/>
      <c r="J210" s="214" t="str">
        <f t="shared" si="103"/>
        <v/>
      </c>
      <c r="K210" s="214" t="str">
        <f t="shared" si="103"/>
        <v/>
      </c>
      <c r="L210" s="214"/>
      <c r="M210" s="214" t="str">
        <f t="shared" si="103"/>
        <v/>
      </c>
      <c r="N210" s="142" t="str">
        <f t="shared" si="103"/>
        <v/>
      </c>
      <c r="O210" s="44"/>
      <c r="P210" s="1493">
        <f t="shared" si="101"/>
        <v>0</v>
      </c>
      <c r="Q210" s="214">
        <f t="shared" si="101"/>
        <v>0</v>
      </c>
      <c r="R210" s="230"/>
      <c r="S210" s="214">
        <f t="shared" si="102"/>
        <v>0</v>
      </c>
      <c r="T210" s="214">
        <f t="shared" si="102"/>
        <v>0</v>
      </c>
      <c r="U210" s="230"/>
      <c r="V210" s="214"/>
      <c r="W210" s="1494">
        <f t="shared" ref="W210:W220" si="104">IFERROR(M45/$M$58*$J$275,"")</f>
        <v>0</v>
      </c>
      <c r="Y210" s="12"/>
      <c r="Z210" s="453"/>
      <c r="AA210" s="453"/>
      <c r="AB210" s="67"/>
      <c r="AC210" s="995"/>
      <c r="AD210" s="1434"/>
      <c r="AE210" s="1412" t="s">
        <v>1391</v>
      </c>
      <c r="AF210" s="1443"/>
      <c r="AG210" s="1448">
        <f>SUM(AG208,M273)</f>
        <v>0</v>
      </c>
      <c r="AH210" s="1412" t="s">
        <v>1409</v>
      </c>
      <c r="AI210" s="1412"/>
      <c r="AJ210" s="1412"/>
      <c r="AK210" s="1408"/>
      <c r="AL210" s="1416"/>
      <c r="AM210" s="1416"/>
      <c r="AN210" s="16"/>
      <c r="AO210" s="13"/>
      <c r="AP210" s="13"/>
      <c r="AQ210" s="13"/>
      <c r="AR210" s="1405"/>
      <c r="AS210" s="67"/>
      <c r="AT210" s="995"/>
      <c r="AU210" s="12"/>
      <c r="AV210" s="12"/>
      <c r="AW210" s="12"/>
      <c r="AX210" s="12"/>
      <c r="AY210" s="12"/>
      <c r="AZ210" s="12"/>
      <c r="BA210" s="12"/>
      <c r="BB210" s="12"/>
      <c r="BC210" s="12"/>
      <c r="BD210" s="12"/>
      <c r="BE210" s="12"/>
      <c r="BF210" s="12"/>
      <c r="BG210" s="12"/>
      <c r="BH210" s="12"/>
      <c r="BI210" s="13"/>
    </row>
    <row r="211" spans="1:61">
      <c r="A211" s="212" t="s">
        <v>493</v>
      </c>
      <c r="B211" s="943"/>
      <c r="C211" s="943"/>
      <c r="D211" s="943"/>
      <c r="E211" s="14"/>
      <c r="F211" s="22" t="s">
        <v>303</v>
      </c>
      <c r="G211" s="214" t="str">
        <f t="shared" ref="G211:N211" si="105">G258</f>
        <v>0</v>
      </c>
      <c r="H211" s="214" t="str">
        <f t="shared" si="105"/>
        <v>0</v>
      </c>
      <c r="I211" s="214"/>
      <c r="J211" s="214" t="str">
        <f t="shared" si="105"/>
        <v>0</v>
      </c>
      <c r="K211" s="214" t="str">
        <f t="shared" si="105"/>
        <v>0.0</v>
      </c>
      <c r="L211" s="214"/>
      <c r="M211" s="214" t="str">
        <f t="shared" si="105"/>
        <v>0</v>
      </c>
      <c r="N211" s="142">
        <f t="shared" si="105"/>
        <v>0.33333333333333331</v>
      </c>
      <c r="O211" s="44"/>
      <c r="P211" s="1493">
        <f t="shared" si="101"/>
        <v>0</v>
      </c>
      <c r="Q211" s="214">
        <f t="shared" si="101"/>
        <v>0</v>
      </c>
      <c r="R211" s="230"/>
      <c r="S211" s="214">
        <f t="shared" si="102"/>
        <v>0</v>
      </c>
      <c r="T211" s="214">
        <f t="shared" si="102"/>
        <v>0</v>
      </c>
      <c r="U211" s="230"/>
      <c r="V211" s="214"/>
      <c r="W211" s="1494">
        <f t="shared" si="104"/>
        <v>0.33333333333333331</v>
      </c>
      <c r="Y211" s="12"/>
      <c r="Z211" s="453"/>
      <c r="AA211" s="453"/>
      <c r="AB211" s="67"/>
      <c r="AC211" s="995"/>
      <c r="AD211" s="1429"/>
      <c r="AE211" s="1418"/>
      <c r="AF211" s="1418"/>
      <c r="AG211" s="1418"/>
      <c r="AH211" s="1418"/>
      <c r="AI211" s="1418"/>
      <c r="AJ211" s="1388"/>
      <c r="AK211" s="1408"/>
      <c r="AL211" s="1416"/>
      <c r="AM211" s="1416"/>
      <c r="AN211" s="16"/>
      <c r="AO211" s="13"/>
      <c r="AP211" s="13"/>
      <c r="AQ211" s="13"/>
      <c r="AR211" s="1405"/>
      <c r="AS211" s="67"/>
      <c r="AT211" s="995"/>
      <c r="AU211" s="12"/>
      <c r="AV211" s="12"/>
      <c r="AW211" s="12"/>
      <c r="AX211" s="12"/>
      <c r="AY211" s="12"/>
      <c r="AZ211" s="12"/>
      <c r="BA211" s="12"/>
      <c r="BB211" s="12"/>
      <c r="BC211" s="12"/>
      <c r="BD211" s="12"/>
      <c r="BE211" s="12"/>
      <c r="BF211" s="12"/>
      <c r="BG211" s="12"/>
      <c r="BH211" s="12"/>
      <c r="BI211" s="13"/>
    </row>
    <row r="212" spans="1:61">
      <c r="A212" s="212" t="s">
        <v>493</v>
      </c>
      <c r="B212" s="943"/>
      <c r="C212" s="943"/>
      <c r="D212" s="943"/>
      <c r="E212" s="14"/>
      <c r="F212" s="22" t="s">
        <v>299</v>
      </c>
      <c r="G212" s="214" t="str">
        <f t="shared" ref="G212:N212" si="106">G259</f>
        <v>0</v>
      </c>
      <c r="H212" s="214" t="str">
        <f t="shared" si="106"/>
        <v>0</v>
      </c>
      <c r="I212" s="214"/>
      <c r="J212" s="214" t="str">
        <f t="shared" si="106"/>
        <v>0</v>
      </c>
      <c r="K212" s="214" t="str">
        <f t="shared" si="106"/>
        <v>0.0</v>
      </c>
      <c r="L212" s="214"/>
      <c r="M212" s="214" t="str">
        <f t="shared" si="106"/>
        <v>0</v>
      </c>
      <c r="N212" s="142">
        <f t="shared" si="106"/>
        <v>0.33333333333333331</v>
      </c>
      <c r="O212" s="44"/>
      <c r="P212" s="1493">
        <f t="shared" si="101"/>
        <v>0</v>
      </c>
      <c r="Q212" s="214">
        <f t="shared" si="101"/>
        <v>0</v>
      </c>
      <c r="R212" s="230"/>
      <c r="S212" s="214">
        <f t="shared" si="102"/>
        <v>0</v>
      </c>
      <c r="T212" s="214">
        <f t="shared" si="102"/>
        <v>0</v>
      </c>
      <c r="U212" s="230"/>
      <c r="V212" s="214"/>
      <c r="W212" s="1494">
        <f t="shared" si="104"/>
        <v>0.33333333333333331</v>
      </c>
      <c r="Y212" s="12"/>
      <c r="Z212" s="453"/>
      <c r="AA212" s="453"/>
      <c r="AB212" s="67"/>
      <c r="AC212" s="995"/>
      <c r="AD212" s="891" t="s">
        <v>396</v>
      </c>
      <c r="AE212" s="1477" t="s">
        <v>1406</v>
      </c>
      <c r="AF212" s="1478"/>
      <c r="AG212" s="905"/>
      <c r="AH212" s="905"/>
      <c r="AI212" s="1418"/>
      <c r="AJ212" s="1388"/>
      <c r="AK212" s="1408"/>
      <c r="AL212" s="1416"/>
      <c r="AM212" s="1416"/>
      <c r="AN212" s="16"/>
      <c r="AO212" s="13"/>
      <c r="AP212" s="13"/>
      <c r="AQ212" s="13"/>
      <c r="AR212" s="1405"/>
      <c r="AS212" s="67"/>
      <c r="AT212" s="995"/>
      <c r="AU212" s="12"/>
      <c r="AV212" s="12"/>
      <c r="AW212" s="12"/>
      <c r="AX212" s="12"/>
      <c r="AY212" s="12"/>
      <c r="AZ212" s="12"/>
      <c r="BA212" s="12"/>
      <c r="BB212" s="12"/>
      <c r="BC212" s="12"/>
      <c r="BD212" s="12"/>
      <c r="BE212" s="12"/>
      <c r="BF212" s="12"/>
      <c r="BG212" s="12"/>
      <c r="BH212" s="12"/>
      <c r="BI212" s="13"/>
    </row>
    <row r="213" spans="1:61">
      <c r="A213" s="212" t="s">
        <v>493</v>
      </c>
      <c r="B213" s="943"/>
      <c r="C213" s="943"/>
      <c r="D213" s="943"/>
      <c r="E213" s="14"/>
      <c r="F213" s="22" t="s">
        <v>422</v>
      </c>
      <c r="G213" s="214" t="str">
        <f t="shared" ref="G213:N213" si="107">G260</f>
        <v>0</v>
      </c>
      <c r="H213" s="214" t="str">
        <f t="shared" si="107"/>
        <v>0</v>
      </c>
      <c r="I213" s="214"/>
      <c r="J213" s="214" t="str">
        <f t="shared" si="107"/>
        <v>0</v>
      </c>
      <c r="K213" s="214" t="str">
        <f t="shared" si="107"/>
        <v>0.0</v>
      </c>
      <c r="L213" s="214"/>
      <c r="M213" s="214" t="str">
        <f t="shared" si="107"/>
        <v>0</v>
      </c>
      <c r="N213" s="142">
        <f t="shared" si="107"/>
        <v>0.33333333333333331</v>
      </c>
      <c r="O213" s="44"/>
      <c r="P213" s="1493">
        <f t="shared" si="101"/>
        <v>0</v>
      </c>
      <c r="Q213" s="214">
        <f t="shared" si="101"/>
        <v>0</v>
      </c>
      <c r="R213" s="230"/>
      <c r="S213" s="214">
        <f t="shared" si="102"/>
        <v>0</v>
      </c>
      <c r="T213" s="214">
        <f t="shared" si="102"/>
        <v>0</v>
      </c>
      <c r="U213" s="230"/>
      <c r="V213" s="214"/>
      <c r="W213" s="1494">
        <f t="shared" si="104"/>
        <v>0.33333333333333331</v>
      </c>
      <c r="Y213" s="12"/>
      <c r="Z213" s="453"/>
      <c r="AA213" s="453"/>
      <c r="AB213" s="67"/>
      <c r="AC213" s="995"/>
      <c r="AD213" s="891" t="s">
        <v>396</v>
      </c>
      <c r="AE213" s="903" t="s">
        <v>1441</v>
      </c>
      <c r="AF213" s="1474"/>
      <c r="AG213" s="1475">
        <f>F385</f>
        <v>4.2922165274118269</v>
      </c>
      <c r="AH213" s="1476" t="s">
        <v>440</v>
      </c>
      <c r="AI213" s="1412"/>
      <c r="AJ213" s="1388"/>
      <c r="AK213" s="1408"/>
      <c r="AL213" s="1416"/>
      <c r="AM213" s="1416"/>
      <c r="AN213" s="16"/>
      <c r="AO213" s="13"/>
      <c r="AP213" s="13"/>
      <c r="AQ213" s="13"/>
      <c r="AR213" s="1405"/>
      <c r="AS213" s="67"/>
      <c r="AT213" s="995"/>
      <c r="AU213" s="12"/>
      <c r="AV213" s="12"/>
      <c r="AW213" s="12"/>
      <c r="AX213" s="12"/>
      <c r="AY213" s="12"/>
      <c r="AZ213" s="12"/>
      <c r="BA213" s="12"/>
      <c r="BB213" s="12"/>
      <c r="BC213" s="12"/>
      <c r="BD213" s="12"/>
      <c r="BE213" s="12"/>
      <c r="BF213" s="12"/>
      <c r="BG213" s="12"/>
      <c r="BH213" s="12"/>
      <c r="BI213" s="13"/>
    </row>
    <row r="214" spans="1:61">
      <c r="A214" s="212" t="s">
        <v>493</v>
      </c>
      <c r="B214" s="943"/>
      <c r="C214" s="943"/>
      <c r="D214" s="943"/>
      <c r="E214" s="14"/>
      <c r="F214" s="22" t="s">
        <v>305</v>
      </c>
      <c r="G214" s="214" t="str">
        <f t="shared" ref="G214:N214" si="108">G261</f>
        <v/>
      </c>
      <c r="H214" s="214" t="str">
        <f t="shared" si="108"/>
        <v/>
      </c>
      <c r="I214" s="214"/>
      <c r="J214" s="214" t="str">
        <f t="shared" si="108"/>
        <v/>
      </c>
      <c r="K214" s="214" t="str">
        <f t="shared" si="108"/>
        <v/>
      </c>
      <c r="L214" s="214"/>
      <c r="M214" s="214" t="str">
        <f t="shared" si="108"/>
        <v/>
      </c>
      <c r="N214" s="142" t="str">
        <f t="shared" si="108"/>
        <v/>
      </c>
      <c r="O214" s="44"/>
      <c r="P214" s="1493">
        <f t="shared" si="101"/>
        <v>0</v>
      </c>
      <c r="Q214" s="214">
        <f t="shared" si="101"/>
        <v>0</v>
      </c>
      <c r="R214" s="230"/>
      <c r="S214" s="214">
        <f t="shared" si="102"/>
        <v>0</v>
      </c>
      <c r="T214" s="214">
        <f t="shared" si="102"/>
        <v>0</v>
      </c>
      <c r="U214" s="230"/>
      <c r="V214" s="214"/>
      <c r="W214" s="1494">
        <f t="shared" si="104"/>
        <v>0</v>
      </c>
      <c r="Y214" s="12"/>
      <c r="Z214" s="453"/>
      <c r="AA214" s="453"/>
      <c r="AB214" s="67"/>
      <c r="AC214" s="995"/>
      <c r="AD214" s="891" t="s">
        <v>396</v>
      </c>
      <c r="AE214" s="903" t="s">
        <v>1442</v>
      </c>
      <c r="AF214" s="1474"/>
      <c r="AG214" s="1475">
        <f>G385</f>
        <v>-3.9773319655195288E-2</v>
      </c>
      <c r="AH214" s="1476" t="s">
        <v>440</v>
      </c>
      <c r="AI214" s="1412"/>
      <c r="AJ214" s="1388"/>
      <c r="AK214" s="1408"/>
      <c r="AL214" s="1416"/>
      <c r="AM214" s="1416"/>
      <c r="AN214" s="16"/>
      <c r="AO214" s="13"/>
      <c r="AP214" s="13"/>
      <c r="AQ214" s="13"/>
      <c r="AR214" s="1405"/>
      <c r="AS214" s="67"/>
      <c r="AT214" s="995"/>
      <c r="AU214" s="12"/>
      <c r="AV214" s="12"/>
      <c r="AW214" s="12"/>
      <c r="AX214" s="12"/>
      <c r="AY214" s="12"/>
      <c r="AZ214" s="12"/>
      <c r="BA214" s="12"/>
      <c r="BB214" s="12"/>
      <c r="BC214" s="12"/>
      <c r="BD214" s="12"/>
      <c r="BE214" s="12"/>
      <c r="BF214" s="12"/>
      <c r="BG214" s="12"/>
      <c r="BH214" s="12"/>
      <c r="BI214" s="13"/>
    </row>
    <row r="215" spans="1:61">
      <c r="A215" s="212" t="s">
        <v>493</v>
      </c>
      <c r="B215" s="943"/>
      <c r="C215" s="943"/>
      <c r="D215" s="943"/>
      <c r="E215" s="14"/>
      <c r="F215" s="22" t="s">
        <v>302</v>
      </c>
      <c r="G215" s="214" t="str">
        <f t="shared" ref="G215:N215" si="109">G262</f>
        <v/>
      </c>
      <c r="H215" s="214" t="str">
        <f t="shared" si="109"/>
        <v/>
      </c>
      <c r="I215" s="214"/>
      <c r="J215" s="214" t="str">
        <f t="shared" si="109"/>
        <v/>
      </c>
      <c r="K215" s="214" t="str">
        <f t="shared" si="109"/>
        <v/>
      </c>
      <c r="L215" s="214"/>
      <c r="M215" s="214" t="str">
        <f t="shared" si="109"/>
        <v/>
      </c>
      <c r="N215" s="142" t="str">
        <f t="shared" si="109"/>
        <v/>
      </c>
      <c r="O215" s="44"/>
      <c r="P215" s="1493">
        <f t="shared" si="101"/>
        <v>0</v>
      </c>
      <c r="Q215" s="214">
        <f t="shared" si="101"/>
        <v>0</v>
      </c>
      <c r="R215" s="230"/>
      <c r="S215" s="214">
        <f t="shared" si="102"/>
        <v>0</v>
      </c>
      <c r="T215" s="214">
        <f t="shared" si="102"/>
        <v>0</v>
      </c>
      <c r="U215" s="230"/>
      <c r="V215" s="214"/>
      <c r="W215" s="1494">
        <f t="shared" si="104"/>
        <v>0</v>
      </c>
      <c r="Y215" s="12"/>
      <c r="Z215" s="453"/>
      <c r="AA215" s="453"/>
      <c r="AB215" s="67"/>
      <c r="AC215" s="995"/>
      <c r="AD215" s="1429"/>
      <c r="AE215" s="1418"/>
      <c r="AF215" s="1418"/>
      <c r="AG215" s="1418"/>
      <c r="AH215" s="1418"/>
      <c r="AI215" s="1418"/>
      <c r="AJ215" s="1388"/>
      <c r="AK215" s="1408"/>
      <c r="AL215" s="1416"/>
      <c r="AM215" s="1416"/>
      <c r="AN215" s="16"/>
      <c r="AO215" s="13"/>
      <c r="AP215" s="13"/>
      <c r="AQ215" s="13"/>
      <c r="AR215" s="1405"/>
      <c r="AS215" s="67"/>
      <c r="AT215" s="995"/>
      <c r="AU215" s="12"/>
      <c r="AV215" s="12"/>
      <c r="AW215" s="12"/>
      <c r="AX215" s="12"/>
      <c r="AY215" s="12"/>
      <c r="AZ215" s="12"/>
      <c r="BA215" s="12"/>
      <c r="BB215" s="12"/>
      <c r="BC215" s="12"/>
      <c r="BD215" s="12"/>
      <c r="BE215" s="12"/>
      <c r="BF215" s="12"/>
      <c r="BG215" s="12"/>
      <c r="BH215" s="12"/>
      <c r="BI215" s="13"/>
    </row>
    <row r="216" spans="1:61">
      <c r="A216" s="212" t="s">
        <v>493</v>
      </c>
      <c r="B216" s="943"/>
      <c r="C216" s="943"/>
      <c r="D216" s="943"/>
      <c r="E216" s="14"/>
      <c r="F216" s="22" t="s">
        <v>423</v>
      </c>
      <c r="G216" s="214" t="str">
        <f t="shared" ref="G216:N216" si="110">G263</f>
        <v/>
      </c>
      <c r="H216" s="214" t="str">
        <f t="shared" si="110"/>
        <v/>
      </c>
      <c r="I216" s="214"/>
      <c r="J216" s="214" t="str">
        <f t="shared" si="110"/>
        <v/>
      </c>
      <c r="K216" s="214" t="str">
        <f t="shared" si="110"/>
        <v/>
      </c>
      <c r="L216" s="214"/>
      <c r="M216" s="214" t="str">
        <f t="shared" si="110"/>
        <v/>
      </c>
      <c r="N216" s="142" t="str">
        <f t="shared" si="110"/>
        <v/>
      </c>
      <c r="O216" s="44"/>
      <c r="P216" s="1493">
        <f t="shared" si="101"/>
        <v>0</v>
      </c>
      <c r="Q216" s="214">
        <f t="shared" si="101"/>
        <v>0</v>
      </c>
      <c r="R216" s="230"/>
      <c r="S216" s="214">
        <f t="shared" si="102"/>
        <v>0</v>
      </c>
      <c r="T216" s="214">
        <f t="shared" si="102"/>
        <v>0</v>
      </c>
      <c r="U216" s="230"/>
      <c r="V216" s="214"/>
      <c r="W216" s="1494">
        <f t="shared" si="104"/>
        <v>0</v>
      </c>
      <c r="Y216" s="12"/>
      <c r="Z216" s="453"/>
      <c r="AA216" s="453"/>
      <c r="AB216" s="67"/>
      <c r="AC216" s="995"/>
      <c r="AD216" s="891"/>
      <c r="AE216" s="1383" t="s">
        <v>538</v>
      </c>
      <c r="AF216" s="1444"/>
      <c r="AG216" s="1445">
        <f>N404</f>
        <v>3.3306690738754696E-16</v>
      </c>
      <c r="AH216" s="1412" t="s">
        <v>440</v>
      </c>
      <c r="AI216" s="1412"/>
      <c r="AJ216" s="1388"/>
      <c r="AK216" s="1408"/>
      <c r="AL216" s="1416"/>
      <c r="AM216" s="1416"/>
      <c r="AN216" s="16"/>
      <c r="AO216" s="13"/>
      <c r="AP216" s="13"/>
      <c r="AQ216" s="13"/>
      <c r="AR216" s="1405"/>
      <c r="AS216" s="67"/>
      <c r="AT216" s="995"/>
      <c r="AU216" s="12"/>
      <c r="AV216" s="12"/>
      <c r="AW216" s="12"/>
      <c r="AX216" s="12"/>
      <c r="AY216" s="12"/>
      <c r="AZ216" s="12"/>
      <c r="BA216" s="12"/>
      <c r="BB216" s="12"/>
      <c r="BC216" s="12"/>
      <c r="BD216" s="12"/>
      <c r="BE216" s="12"/>
      <c r="BF216" s="12"/>
      <c r="BG216" s="12"/>
      <c r="BH216" s="12"/>
      <c r="BI216" s="13"/>
    </row>
    <row r="217" spans="1:61">
      <c r="A217" s="212" t="s">
        <v>493</v>
      </c>
      <c r="B217" s="943"/>
      <c r="C217" s="943"/>
      <c r="D217" s="943"/>
      <c r="E217" s="14"/>
      <c r="F217" s="22" t="s">
        <v>307</v>
      </c>
      <c r="G217" s="214" t="str">
        <f t="shared" ref="G217:N217" si="111">G264</f>
        <v/>
      </c>
      <c r="H217" s="214" t="str">
        <f t="shared" si="111"/>
        <v/>
      </c>
      <c r="I217" s="214"/>
      <c r="J217" s="214" t="str">
        <f t="shared" si="111"/>
        <v/>
      </c>
      <c r="K217" s="214" t="str">
        <f t="shared" si="111"/>
        <v/>
      </c>
      <c r="L217" s="214"/>
      <c r="M217" s="214" t="str">
        <f t="shared" si="111"/>
        <v/>
      </c>
      <c r="N217" s="142" t="str">
        <f t="shared" si="111"/>
        <v/>
      </c>
      <c r="O217" s="44"/>
      <c r="P217" s="1493">
        <f t="shared" si="101"/>
        <v>0</v>
      </c>
      <c r="Q217" s="214">
        <f t="shared" si="101"/>
        <v>0</v>
      </c>
      <c r="R217" s="230"/>
      <c r="S217" s="214">
        <f t="shared" si="102"/>
        <v>0</v>
      </c>
      <c r="T217" s="214">
        <f t="shared" si="102"/>
        <v>0</v>
      </c>
      <c r="U217" s="230"/>
      <c r="V217" s="214"/>
      <c r="W217" s="1494">
        <f t="shared" si="104"/>
        <v>0</v>
      </c>
      <c r="Y217" s="12"/>
      <c r="Z217" s="453"/>
      <c r="AA217" s="453"/>
      <c r="AB217" s="67"/>
      <c r="AC217" s="995"/>
      <c r="AD217" s="891"/>
      <c r="AE217" s="1383" t="s">
        <v>431</v>
      </c>
      <c r="AF217" s="1444"/>
      <c r="AG217" s="1445">
        <f>J272</f>
        <v>0</v>
      </c>
      <c r="AH217" s="1412" t="s">
        <v>440</v>
      </c>
      <c r="AI217" s="1412"/>
      <c r="AJ217" s="1388"/>
      <c r="AK217" s="1408"/>
      <c r="AL217" s="1416"/>
      <c r="AM217" s="1416"/>
      <c r="AN217" s="16"/>
      <c r="AO217" s="13"/>
      <c r="AP217" s="13"/>
      <c r="AQ217" s="13"/>
      <c r="AR217" s="1405"/>
      <c r="AS217" s="67"/>
      <c r="AT217" s="995"/>
      <c r="AU217" s="12"/>
      <c r="AV217" s="12"/>
      <c r="AW217" s="12"/>
      <c r="AX217" s="12"/>
      <c r="AY217" s="12"/>
      <c r="AZ217" s="12"/>
      <c r="BA217" s="12"/>
      <c r="BB217" s="12"/>
      <c r="BC217" s="12"/>
      <c r="BD217" s="12"/>
      <c r="BE217" s="12"/>
      <c r="BF217" s="12"/>
      <c r="BG217" s="12"/>
      <c r="BH217" s="12"/>
      <c r="BI217" s="13"/>
    </row>
    <row r="218" spans="1:61">
      <c r="A218" s="212" t="s">
        <v>493</v>
      </c>
      <c r="B218" s="943"/>
      <c r="C218" s="943"/>
      <c r="D218" s="943"/>
      <c r="E218" s="14"/>
      <c r="F218" s="22" t="s">
        <v>306</v>
      </c>
      <c r="G218" s="214" t="str">
        <f t="shared" ref="G218:N218" si="112">G265</f>
        <v/>
      </c>
      <c r="H218" s="214" t="str">
        <f t="shared" si="112"/>
        <v/>
      </c>
      <c r="I218" s="214"/>
      <c r="J218" s="214" t="str">
        <f t="shared" si="112"/>
        <v/>
      </c>
      <c r="K218" s="214" t="str">
        <f t="shared" si="112"/>
        <v/>
      </c>
      <c r="L218" s="214"/>
      <c r="M218" s="214" t="str">
        <f t="shared" si="112"/>
        <v/>
      </c>
      <c r="N218" s="142" t="str">
        <f t="shared" si="112"/>
        <v/>
      </c>
      <c r="O218" s="44"/>
      <c r="P218" s="1493">
        <f t="shared" si="101"/>
        <v>0</v>
      </c>
      <c r="Q218" s="214">
        <f t="shared" si="101"/>
        <v>0</v>
      </c>
      <c r="R218" s="230"/>
      <c r="S218" s="214">
        <f t="shared" si="102"/>
        <v>0</v>
      </c>
      <c r="T218" s="214">
        <f t="shared" si="102"/>
        <v>0</v>
      </c>
      <c r="U218" s="230"/>
      <c r="V218" s="214"/>
      <c r="W218" s="1494">
        <f t="shared" si="104"/>
        <v>0</v>
      </c>
      <c r="Y218" s="12"/>
      <c r="Z218" s="453"/>
      <c r="AA218" s="453"/>
      <c r="AB218" s="67"/>
      <c r="AC218" s="995"/>
      <c r="AD218" s="891" t="s">
        <v>396</v>
      </c>
      <c r="AE218" s="1383" t="s">
        <v>456</v>
      </c>
      <c r="AF218" s="1444"/>
      <c r="AG218" s="1445">
        <f>IFERROR(K404,"")</f>
        <v>3.3306690738754696E-16</v>
      </c>
      <c r="AH218" s="1412" t="s">
        <v>440</v>
      </c>
      <c r="AI218" s="1412"/>
      <c r="AJ218" s="1388"/>
      <c r="AK218" s="1408"/>
      <c r="AL218" s="1416"/>
      <c r="AM218" s="1416"/>
      <c r="AN218" s="16"/>
      <c r="AO218" s="13"/>
      <c r="AP218" s="13"/>
      <c r="AQ218" s="13"/>
      <c r="AR218" s="1405"/>
      <c r="AS218" s="67"/>
      <c r="AT218" s="995"/>
      <c r="AU218" s="12"/>
      <c r="AV218" s="12"/>
      <c r="AW218" s="12"/>
      <c r="AX218" s="12"/>
      <c r="AY218" s="12"/>
      <c r="AZ218" s="12"/>
      <c r="BA218" s="12"/>
      <c r="BB218" s="12"/>
      <c r="BC218" s="12"/>
      <c r="BD218" s="12"/>
      <c r="BE218" s="12"/>
      <c r="BF218" s="12"/>
      <c r="BG218" s="12"/>
      <c r="BH218" s="12"/>
      <c r="BI218" s="13"/>
    </row>
    <row r="219" spans="1:61">
      <c r="A219" s="212" t="s">
        <v>493</v>
      </c>
      <c r="B219" s="943"/>
      <c r="C219" s="943"/>
      <c r="D219" s="943"/>
      <c r="E219" s="14"/>
      <c r="F219" s="22" t="s">
        <v>424</v>
      </c>
      <c r="G219" s="214" t="str">
        <f t="shared" ref="G219:N219" si="113">G266</f>
        <v/>
      </c>
      <c r="H219" s="214" t="str">
        <f t="shared" si="113"/>
        <v/>
      </c>
      <c r="I219" s="214"/>
      <c r="J219" s="214" t="str">
        <f t="shared" si="113"/>
        <v/>
      </c>
      <c r="K219" s="214" t="str">
        <f t="shared" si="113"/>
        <v/>
      </c>
      <c r="L219" s="214"/>
      <c r="M219" s="214" t="str">
        <f t="shared" si="113"/>
        <v/>
      </c>
      <c r="N219" s="142" t="str">
        <f t="shared" si="113"/>
        <v/>
      </c>
      <c r="O219" s="44"/>
      <c r="P219" s="1493">
        <f t="shared" si="101"/>
        <v>0</v>
      </c>
      <c r="Q219" s="214">
        <f t="shared" si="101"/>
        <v>0</v>
      </c>
      <c r="R219" s="230"/>
      <c r="S219" s="214">
        <f t="shared" si="102"/>
        <v>0</v>
      </c>
      <c r="T219" s="214">
        <f t="shared" si="102"/>
        <v>0</v>
      </c>
      <c r="U219" s="230"/>
      <c r="V219" s="214"/>
      <c r="W219" s="1494">
        <f t="shared" si="104"/>
        <v>0</v>
      </c>
      <c r="Y219" s="12"/>
      <c r="Z219" s="453"/>
      <c r="AA219" s="453"/>
      <c r="AB219" s="67"/>
      <c r="AC219" s="995"/>
      <c r="AD219" s="1429"/>
      <c r="AE219" s="1418"/>
      <c r="AF219" s="1418"/>
      <c r="AG219" s="1418"/>
      <c r="AH219" s="1418"/>
      <c r="AI219" s="1418"/>
      <c r="AJ219" s="1388"/>
      <c r="AK219" s="1408"/>
      <c r="AL219" s="1416"/>
      <c r="AM219" s="1416"/>
      <c r="AN219" s="16"/>
      <c r="AO219" s="13"/>
      <c r="AP219" s="13"/>
      <c r="AQ219" s="13"/>
      <c r="AR219" s="1405"/>
      <c r="AS219" s="67"/>
      <c r="AT219" s="995"/>
      <c r="AU219" s="12"/>
      <c r="AV219" s="12"/>
      <c r="AW219" s="12"/>
      <c r="AX219" s="12"/>
      <c r="AY219" s="12"/>
      <c r="AZ219" s="12"/>
      <c r="BA219" s="12"/>
      <c r="BB219" s="12"/>
      <c r="BC219" s="12"/>
      <c r="BD219" s="12"/>
      <c r="BE219" s="12"/>
      <c r="BF219" s="12"/>
      <c r="BG219" s="12"/>
      <c r="BH219" s="12"/>
      <c r="BI219" s="13"/>
    </row>
    <row r="220" spans="1:61" ht="18" thickBot="1">
      <c r="A220" s="212" t="s">
        <v>493</v>
      </c>
      <c r="B220" s="943"/>
      <c r="C220" s="943"/>
      <c r="D220" s="943"/>
      <c r="E220" s="14"/>
      <c r="F220" s="22" t="s">
        <v>425</v>
      </c>
      <c r="G220" s="214" t="str">
        <f t="shared" ref="G220:N220" si="114">G267</f>
        <v/>
      </c>
      <c r="H220" s="214" t="str">
        <f t="shared" si="114"/>
        <v/>
      </c>
      <c r="I220" s="214"/>
      <c r="J220" s="214" t="str">
        <f t="shared" si="114"/>
        <v/>
      </c>
      <c r="K220" s="214" t="str">
        <f t="shared" si="114"/>
        <v/>
      </c>
      <c r="L220" s="214"/>
      <c r="M220" s="214" t="str">
        <f t="shared" si="114"/>
        <v/>
      </c>
      <c r="N220" s="142" t="str">
        <f t="shared" si="114"/>
        <v/>
      </c>
      <c r="O220" s="44"/>
      <c r="P220" s="1495">
        <f t="shared" si="101"/>
        <v>0</v>
      </c>
      <c r="Q220" s="1496">
        <f t="shared" si="101"/>
        <v>0</v>
      </c>
      <c r="R220" s="1497"/>
      <c r="S220" s="1496">
        <f t="shared" si="102"/>
        <v>0</v>
      </c>
      <c r="T220" s="1496">
        <f t="shared" si="102"/>
        <v>0</v>
      </c>
      <c r="U220" s="1497"/>
      <c r="V220" s="1496"/>
      <c r="W220" s="1498">
        <f t="shared" si="104"/>
        <v>0</v>
      </c>
      <c r="Y220" s="12"/>
      <c r="Z220" s="453"/>
      <c r="AA220" s="453"/>
      <c r="AB220" s="67"/>
      <c r="AC220" s="995"/>
      <c r="AD220" s="891" t="s">
        <v>396</v>
      </c>
      <c r="AE220" s="1383" t="s">
        <v>1451</v>
      </c>
      <c r="AF220" s="1444"/>
      <c r="AG220" s="1446">
        <f>F404</f>
        <v>9.9532093528295782</v>
      </c>
      <c r="AH220" s="1387" t="s">
        <v>132</v>
      </c>
      <c r="AI220" s="1412"/>
      <c r="AJ220" s="1388"/>
      <c r="AK220" s="1408"/>
      <c r="AL220" s="1416"/>
      <c r="AM220" s="1416"/>
      <c r="AN220" s="16"/>
      <c r="AO220" s="13"/>
      <c r="AP220" s="13"/>
      <c r="AQ220" s="13"/>
      <c r="AR220" s="1405"/>
      <c r="AS220" s="67"/>
      <c r="AT220" s="995"/>
      <c r="AU220" s="12"/>
      <c r="AV220" s="12"/>
      <c r="AW220" s="12"/>
      <c r="AX220" s="12"/>
      <c r="AY220" s="12"/>
      <c r="AZ220" s="12"/>
      <c r="BA220" s="12"/>
      <c r="BB220" s="12"/>
      <c r="BC220" s="12"/>
      <c r="BD220" s="12"/>
      <c r="BE220" s="12"/>
      <c r="BF220" s="12"/>
      <c r="BG220" s="12"/>
      <c r="BH220" s="12"/>
      <c r="BI220" s="13"/>
    </row>
    <row r="221" spans="1:61" ht="18.5" thickTop="1" thickBot="1">
      <c r="A221" s="212" t="s">
        <v>493</v>
      </c>
      <c r="B221" s="943"/>
      <c r="C221" s="943"/>
      <c r="D221" s="943"/>
      <c r="E221" s="14"/>
      <c r="F221" s="43"/>
      <c r="G221" s="55"/>
      <c r="H221" s="55"/>
      <c r="I221" s="53"/>
      <c r="J221" s="55"/>
      <c r="K221" s="56"/>
      <c r="L221" s="148"/>
      <c r="M221" s="54"/>
      <c r="N221" s="16"/>
      <c r="O221" s="44"/>
      <c r="P221" s="1499"/>
      <c r="Q221" s="1500"/>
      <c r="R221" s="1500"/>
      <c r="S221" s="1500"/>
      <c r="T221" s="1500"/>
      <c r="U221" s="1500"/>
      <c r="V221" s="1501"/>
      <c r="W221" s="1502"/>
      <c r="X221" s="39"/>
      <c r="Y221" s="12"/>
      <c r="Z221" s="453"/>
      <c r="AA221" s="453"/>
      <c r="AB221" s="67"/>
      <c r="AC221" s="995"/>
      <c r="AD221" s="1435"/>
      <c r="AE221" s="1416"/>
      <c r="AF221" s="1419"/>
      <c r="AG221" s="1419"/>
      <c r="AH221" s="1419"/>
      <c r="AI221" s="1418"/>
      <c r="AJ221" s="1418"/>
      <c r="AK221" s="1417"/>
      <c r="AL221" s="1416"/>
      <c r="AM221" s="1416"/>
      <c r="AN221" s="16"/>
      <c r="AO221" s="13"/>
      <c r="AP221" s="13"/>
      <c r="AQ221" s="13"/>
      <c r="AR221" s="1405"/>
      <c r="AS221" s="67"/>
      <c r="AT221" s="995"/>
      <c r="AU221" s="12"/>
      <c r="AV221" s="12"/>
      <c r="AW221" s="12"/>
      <c r="AX221" s="12"/>
      <c r="AY221" s="12"/>
      <c r="AZ221" s="12"/>
      <c r="BA221" s="12"/>
      <c r="BB221" s="12"/>
      <c r="BC221" s="12"/>
      <c r="BD221" s="12"/>
      <c r="BE221" s="12"/>
      <c r="BF221" s="12"/>
      <c r="BG221" s="12"/>
      <c r="BH221" s="12"/>
      <c r="BI221" s="13"/>
    </row>
    <row r="222" spans="1:61" ht="18" thickTop="1">
      <c r="A222" s="212"/>
      <c r="B222" s="943"/>
      <c r="C222" s="943"/>
      <c r="D222" s="943"/>
      <c r="E222" s="14"/>
      <c r="F222" s="43" t="s">
        <v>517</v>
      </c>
      <c r="G222" s="17"/>
      <c r="H222" s="17"/>
      <c r="I222" s="1"/>
      <c r="J222" s="12"/>
      <c r="K222" s="36"/>
      <c r="L222" s="148"/>
      <c r="M222" s="54"/>
      <c r="N222" s="16"/>
      <c r="O222" s="44"/>
      <c r="P222" s="899"/>
      <c r="Q222" s="899"/>
      <c r="R222" s="899"/>
      <c r="S222" s="899"/>
      <c r="T222" s="899"/>
      <c r="U222" s="899"/>
      <c r="V222" s="39"/>
      <c r="W222" s="39"/>
      <c r="X222" s="39"/>
      <c r="Y222" s="12"/>
      <c r="Z222" s="453"/>
      <c r="AA222" s="453"/>
      <c r="AB222" s="67"/>
      <c r="AC222" s="995"/>
      <c r="AD222" s="1432"/>
      <c r="AE222" s="1692" t="str">
        <f>_xlfn.CONCAT("Informatief: Klimaatmonitor en DPG in ",$P$24," ",$P$25)</f>
        <v>Informatief: Klimaatmonitor en DPG in GPR 4.4 nieuwbouw</v>
      </c>
      <c r="AF222" s="1452"/>
      <c r="AG222" s="1694" t="str">
        <f>_xlfn.CONCAT("Grenswaarde GPR bij doelmethode ",P27)</f>
        <v>Grenswaarde GPR bij doelmethode NTA 8800</v>
      </c>
      <c r="AH222" s="1695"/>
      <c r="AI222" s="1453"/>
      <c r="AJ222" s="1694" t="str">
        <f>_xlfn.CONCAT("Broeikasgas-emissie tgv")</f>
        <v>Broeikasgas-emissie tgv</v>
      </c>
      <c r="AK222" s="1695"/>
      <c r="AL222" s="1695"/>
      <c r="AM222" s="1453"/>
      <c r="AN222" s="1694" t="s">
        <v>1711</v>
      </c>
      <c r="AO222" s="1695"/>
      <c r="AP222" s="1695"/>
      <c r="AQ222" s="13"/>
      <c r="AR222" s="1405"/>
      <c r="AS222" s="67"/>
      <c r="AT222" s="995"/>
      <c r="AU222" s="12"/>
      <c r="AV222" s="12"/>
      <c r="AW222" s="12"/>
      <c r="AX222" s="12"/>
      <c r="AY222" s="12"/>
      <c r="AZ222" s="12"/>
      <c r="BA222" s="12"/>
      <c r="BB222" s="12"/>
      <c r="BC222" s="12"/>
      <c r="BD222" s="12"/>
      <c r="BE222" s="12"/>
      <c r="BF222" s="12"/>
      <c r="BG222" s="12"/>
      <c r="BH222" s="12"/>
      <c r="BI222" s="13"/>
    </row>
    <row r="223" spans="1:61" s="211" customFormat="1">
      <c r="A223" s="212"/>
      <c r="B223" s="1092"/>
      <c r="C223" s="1092"/>
      <c r="D223" s="1092"/>
      <c r="E223" s="210"/>
      <c r="F223" s="911"/>
      <c r="G223" s="911"/>
      <c r="H223" s="911"/>
      <c r="I223" s="911"/>
      <c r="J223" s="911"/>
      <c r="K223" s="911"/>
      <c r="L223" s="911"/>
      <c r="M223" s="911"/>
      <c r="N223" s="918"/>
      <c r="O223" s="44"/>
      <c r="P223" s="899"/>
      <c r="Q223" s="899"/>
      <c r="R223" s="899"/>
      <c r="S223" s="899"/>
      <c r="T223" s="899"/>
      <c r="U223" s="899"/>
      <c r="V223" s="39"/>
      <c r="W223" s="39"/>
      <c r="X223" s="39"/>
      <c r="Y223" s="12"/>
      <c r="Z223" s="453"/>
      <c r="AA223" s="453"/>
      <c r="AB223" s="1394"/>
      <c r="AC223" s="1002"/>
      <c r="AD223" s="1436"/>
      <c r="AE223" s="1693"/>
      <c r="AF223" s="1453"/>
      <c r="AG223" s="1695"/>
      <c r="AH223" s="1695"/>
      <c r="AI223" s="1454"/>
      <c r="AJ223" s="1695"/>
      <c r="AK223" s="1695"/>
      <c r="AL223" s="1695"/>
      <c r="AM223" s="1454"/>
      <c r="AN223" s="1695"/>
      <c r="AO223" s="1695"/>
      <c r="AP223" s="1695"/>
      <c r="AQ223" s="1409"/>
      <c r="AR223" s="1409"/>
      <c r="AS223" s="1394"/>
      <c r="AT223" s="1002"/>
      <c r="AU223" s="12"/>
      <c r="AV223" s="12"/>
      <c r="AW223" s="12"/>
      <c r="AX223" s="12"/>
      <c r="AY223" s="12"/>
      <c r="AZ223" s="12"/>
      <c r="BA223" s="12"/>
      <c r="BB223" s="12"/>
      <c r="BC223" s="12"/>
      <c r="BD223" s="12"/>
      <c r="BE223" s="12"/>
      <c r="BF223" s="12"/>
      <c r="BG223" s="12"/>
      <c r="BH223" s="12"/>
      <c r="BI223" s="13"/>
    </row>
    <row r="224" spans="1:61" ht="30.75" customHeight="1">
      <c r="B224" s="943"/>
      <c r="C224" s="943"/>
      <c r="D224" s="943"/>
      <c r="E224" s="14"/>
      <c r="F224" s="911"/>
      <c r="G224" s="911" t="str">
        <f>INDEX(tabellen_EMD!$C$269:$X$274,MATCH(G$226,tabellen_EMD!$C$269:$C$274,0),MATCH(EP_versie_scope_functie_methode,tabellen_EMD!$C$269:$X$269,0))</f>
        <v>aardgas</v>
      </c>
      <c r="H224" s="911" t="str">
        <f>INDEX(tabellen_EMD!$C$269:$X$274,MATCH(H$226,tabellen_EMD!$C$269:$C$274,0),MATCH(EP_versie_scope_functie_methode,tabellen_EMD!$C$269:$X$269,0))</f>
        <v>elektriciteit: gebruik gebouwgebonden installaties</v>
      </c>
      <c r="I224" s="911"/>
      <c r="J224" s="911" t="str">
        <f>INDEX(tabellen_EMD!$C$269:$X$274,MATCH(J$226,tabellen_EMD!$C$269:$C$274,0),MATCH(EP_versie_scope_functie_methode,tabellen_EMD!$C$269:$X$269,0))</f>
        <v>elektriciteit: opgewekt</v>
      </c>
      <c r="K224" s="911" t="str">
        <f>INDEX(tabellen_EMD!$C$269:$X$274,MATCH(K$226,tabellen_EMD!$C$269:$C$274,0),MATCH(EP_versie_scope_functie_methode,tabellen_EMD!$C$269:$X$269,0))</f>
        <v>externe warmte</v>
      </c>
      <c r="L224" s="911"/>
      <c r="M224" s="911" t="str">
        <f>INDEX(tabellen_EMD!$C$269:$X$274,MATCH(M$226,tabellen_EMD!$C$269:$C$274,0),MATCH(EP_versie_scope_functie_methode,tabellen_EMD!$C$269:$X$269,0))</f>
        <v>hout/biomassa</v>
      </c>
      <c r="N224" s="918" t="s">
        <v>1594</v>
      </c>
      <c r="O224" s="44"/>
      <c r="P224" s="899"/>
      <c r="Q224" s="899"/>
      <c r="R224" s="899"/>
      <c r="S224" s="899"/>
      <c r="T224" s="899"/>
      <c r="U224" s="899"/>
      <c r="V224" s="39"/>
      <c r="W224" s="39"/>
      <c r="X224" s="39"/>
      <c r="Y224" s="12"/>
      <c r="Z224" s="453"/>
      <c r="AA224" s="453"/>
      <c r="AB224" s="67"/>
      <c r="AC224" s="995"/>
      <c r="AD224" s="891"/>
      <c r="AE224" s="891"/>
      <c r="AF224" s="891"/>
      <c r="AG224" s="1420" t="s">
        <v>1635</v>
      </c>
      <c r="AH224" s="1420" t="s">
        <v>1636</v>
      </c>
      <c r="AI224" s="1415"/>
      <c r="AJ224" s="1420" t="str">
        <f>_xlfn.CONCAT("energie
(",$P$27,")")</f>
        <v>energie
(NTA 8800)</v>
      </c>
      <c r="AK224" s="1420" t="s">
        <v>1637</v>
      </c>
      <c r="AL224" s="1420" t="s">
        <v>1391</v>
      </c>
      <c r="AM224" s="1420"/>
      <c r="AN224" s="1420" t="s">
        <v>538</v>
      </c>
      <c r="AO224" s="1420" t="s">
        <v>431</v>
      </c>
      <c r="AP224" s="1420" t="s">
        <v>456</v>
      </c>
      <c r="AQ224" s="1420"/>
      <c r="AR224" s="1420" t="s">
        <v>484</v>
      </c>
      <c r="AS224" s="67"/>
      <c r="AT224" s="995"/>
      <c r="AU224" s="12"/>
      <c r="AV224" s="12"/>
      <c r="AW224" s="12"/>
      <c r="AX224" s="12"/>
      <c r="AY224" s="12"/>
      <c r="AZ224" s="12"/>
      <c r="BA224" s="12"/>
      <c r="BB224" s="12"/>
      <c r="BC224" s="12"/>
      <c r="BD224" s="12"/>
      <c r="BE224" s="12"/>
      <c r="BF224" s="12"/>
      <c r="BG224" s="12"/>
      <c r="BH224" s="12"/>
      <c r="BI224" s="13"/>
    </row>
    <row r="225" spans="1:61" s="211" customFormat="1" ht="32">
      <c r="A225" s="1091"/>
      <c r="B225" s="1092"/>
      <c r="C225" s="1092"/>
      <c r="D225" s="1092"/>
      <c r="E225" s="210"/>
      <c r="F225" s="911" t="s">
        <v>204</v>
      </c>
      <c r="G225" s="911" t="str">
        <f>INDEX(tabellen_EMD!$C$277:$Z$282,MATCH(G$204,tabellen_EMD!$C$285:$C$290,0),MATCH(EP_versie_scope_functie_methode,tabellen_EMD!$C$285:$Z$285,0))</f>
        <v>m3</v>
      </c>
      <c r="H225" s="911" t="str">
        <f>INDEX(tabellen_EMD!$C$277:$Z$282,MATCH(H$204,tabellen_EMD!$C$285:$C$290,0),MATCH(EP_versie_scope_functie_methode,tabellen_EMD!$C$285:$Z$285,0))</f>
        <v>kWh</v>
      </c>
      <c r="I225" s="911"/>
      <c r="J225" s="911" t="str">
        <f>INDEX(tabellen_EMD!$C$277:$Z$282,MATCH(J$204,tabellen_EMD!$C$285:$C$290,0),MATCH(EP_versie_scope_functie_methode,tabellen_EMD!$C$285:$Z$285,0))</f>
        <v>kWh</v>
      </c>
      <c r="K225" s="911" t="str">
        <f>INDEX(tabellen_EMD!$C$277:$Z$282,MATCH(K$204,tabellen_EMD!$C$285:$C$290,0),MATCH(EP_versie_scope_functie_methode,tabellen_EMD!$C$285:$Z$285,0))</f>
        <v>GJ</v>
      </c>
      <c r="L225" s="911"/>
      <c r="M225" s="911" t="str">
        <f>INDEX(tabellen_EMD!$C$277:$Z$282,MATCH(M$204,tabellen_EMD!$C$285:$C$290,0),MATCH(EP_versie_scope_functie_methode,tabellen_EMD!$C$285:$Z$285,0))</f>
        <v>kWh</v>
      </c>
      <c r="N225" s="911" t="s">
        <v>562</v>
      </c>
      <c r="O225" s="44"/>
      <c r="P225" s="899"/>
      <c r="Q225" s="899"/>
      <c r="R225" s="899"/>
      <c r="S225" s="899"/>
      <c r="T225" s="899"/>
      <c r="U225" s="899"/>
      <c r="V225" s="39"/>
      <c r="W225" s="39"/>
      <c r="X225" s="39"/>
      <c r="Y225" s="12"/>
      <c r="Z225" s="453"/>
      <c r="AA225" s="453"/>
      <c r="AB225" s="1394"/>
      <c r="AC225" s="1002"/>
      <c r="AD225" s="1436"/>
      <c r="AE225" s="1436"/>
      <c r="AF225" s="1436"/>
      <c r="AG225" s="1420" t="s">
        <v>440</v>
      </c>
      <c r="AH225" s="1420" t="s">
        <v>440</v>
      </c>
      <c r="AI225" s="1415"/>
      <c r="AJ225" s="1420" t="s">
        <v>1595</v>
      </c>
      <c r="AK225" s="1420" t="s">
        <v>1595</v>
      </c>
      <c r="AL225" s="1420" t="s">
        <v>1595</v>
      </c>
      <c r="AM225" s="1420"/>
      <c r="AN225" s="1420" t="s">
        <v>440</v>
      </c>
      <c r="AO225" s="1420" t="s">
        <v>440</v>
      </c>
      <c r="AP225" s="1420" t="s">
        <v>440</v>
      </c>
      <c r="AQ225" s="1420"/>
      <c r="AR225" s="1420" t="s">
        <v>132</v>
      </c>
      <c r="AS225" s="1394"/>
      <c r="AT225" s="1002"/>
      <c r="AU225" s="12"/>
      <c r="AV225" s="12"/>
      <c r="AW225" s="12"/>
      <c r="AX225" s="12"/>
      <c r="AY225" s="12"/>
      <c r="AZ225" s="12"/>
      <c r="BA225" s="12"/>
      <c r="BB225" s="12"/>
      <c r="BC225" s="12"/>
      <c r="BD225" s="12"/>
      <c r="BE225" s="12"/>
      <c r="BF225" s="12"/>
      <c r="BG225" s="12"/>
      <c r="BH225" s="12"/>
      <c r="BI225" s="13"/>
    </row>
    <row r="226" spans="1:61" ht="32">
      <c r="A226" s="212" t="s">
        <v>493</v>
      </c>
      <c r="B226" s="943"/>
      <c r="C226" s="943"/>
      <c r="D226" s="943"/>
      <c r="E226" s="14"/>
      <c r="F226" s="911" t="s">
        <v>458</v>
      </c>
      <c r="G226" s="918" t="str">
        <f>tabellen_EMD!$C$302</f>
        <v>aardgas</v>
      </c>
      <c r="H226" s="918" t="str">
        <f>tabellen_EMD!$C$303</f>
        <v>elektriciteit</v>
      </c>
      <c r="I226" s="911"/>
      <c r="J226" s="918" t="str">
        <f>tabellen_EMD!$C$304</f>
        <v>elektriciteit opgewekt</v>
      </c>
      <c r="K226" s="918" t="str">
        <f>tabellen_EMD!$C$305</f>
        <v>externe warmte</v>
      </c>
      <c r="L226" s="911"/>
      <c r="M226" s="918" t="str">
        <f>tabellen_EMD!$C$306</f>
        <v>hout / biomassa</v>
      </c>
      <c r="N226" s="918" t="s">
        <v>1594</v>
      </c>
      <c r="O226" s="44"/>
      <c r="P226" s="899"/>
      <c r="Q226" s="899"/>
      <c r="R226" s="899"/>
      <c r="S226" s="899"/>
      <c r="T226" s="899"/>
      <c r="U226" s="899"/>
      <c r="V226" s="39"/>
      <c r="W226" s="39"/>
      <c r="X226" s="39"/>
      <c r="Y226" s="12"/>
      <c r="Z226" s="453"/>
      <c r="AA226" s="453"/>
      <c r="AB226" s="67"/>
      <c r="AC226" s="995"/>
      <c r="AD226" s="1432"/>
      <c r="AE226" s="1432"/>
      <c r="AF226" s="1432"/>
      <c r="AG226" s="1432"/>
      <c r="AH226" s="1432"/>
      <c r="AI226" s="1432"/>
      <c r="AJ226" s="1432"/>
      <c r="AK226" s="1432"/>
      <c r="AL226" s="1432"/>
      <c r="AM226" s="1432"/>
      <c r="AN226" s="1432"/>
      <c r="AO226" s="1432"/>
      <c r="AP226" s="1432"/>
      <c r="AQ226" s="1432"/>
      <c r="AR226" s="1432"/>
      <c r="AS226" s="67"/>
      <c r="AT226" s="995"/>
      <c r="AU226" s="12"/>
      <c r="AV226" s="12"/>
      <c r="AW226" s="12"/>
      <c r="AX226" s="12"/>
      <c r="AY226" s="12"/>
      <c r="AZ226" s="12"/>
      <c r="BA226" s="12"/>
      <c r="BB226" s="12"/>
      <c r="BC226" s="12"/>
      <c r="BD226" s="12"/>
      <c r="BE226" s="12"/>
      <c r="BF226" s="12"/>
      <c r="BG226" s="12"/>
      <c r="BH226" s="12"/>
      <c r="BI226" s="13"/>
    </row>
    <row r="227" spans="1:61" s="211" customFormat="1">
      <c r="A227" s="212" t="s">
        <v>493</v>
      </c>
      <c r="B227" s="1092"/>
      <c r="C227" s="1092"/>
      <c r="D227" s="1092"/>
      <c r="E227" s="210"/>
      <c r="F227" s="22" t="s">
        <v>553</v>
      </c>
      <c r="G227" s="186">
        <f>INDEX(tabellen_EMD!$C$301:$R$306,MATCH(G$226,tabellen_EMD!$C$301:$C$306,0),MATCH($P$24,tabellen_EMD!$C$301:$R$301,0))</f>
        <v>0.12266000000000001</v>
      </c>
      <c r="H227" s="186">
        <f>INDEX(tabellen_EMD!$C$301:$R$306,MATCH(H$226,tabellen_EMD!$C$301:$C$306,0),MATCH($P$24,tabellen_EMD!$C$301:$R$301,0))</f>
        <v>3.6199000000000002E-2</v>
      </c>
      <c r="I227" s="911"/>
      <c r="J227" s="186">
        <f>INDEX(tabellen_EMD!$C$301:$R$306,MATCH(J$226,tabellen_EMD!$C$301:$C$306,0),MATCH($P$24,tabellen_EMD!$C$301:$R$301,0))</f>
        <v>-3.6199000000000002E-2</v>
      </c>
      <c r="K227" s="186">
        <f>INDEX(tabellen_EMD!$C$301:$R$306,MATCH(K$226,tabellen_EMD!$C$301:$C$306,0),MATCH($P$24,tabellen_EMD!$C$301:$R$301,0))</f>
        <v>5.2314472561842482</v>
      </c>
      <c r="L227" s="911"/>
      <c r="M227" s="186">
        <f>INDEX(tabellen_EMD!$C$301:$R$306,MATCH(M$226,tabellen_EMD!$C$301:$C$306,0),MATCH($P$24,tabellen_EMD!$C$301:$R$301,0))</f>
        <v>7.2647999999999992E-3</v>
      </c>
      <c r="N227" s="911"/>
      <c r="O227" s="44"/>
      <c r="P227" s="899"/>
      <c r="Q227" s="899"/>
      <c r="R227" s="899"/>
      <c r="S227" s="899"/>
      <c r="T227" s="899"/>
      <c r="U227" s="899"/>
      <c r="V227" s="39"/>
      <c r="W227" s="39"/>
      <c r="X227" s="39"/>
      <c r="Y227" s="12"/>
      <c r="Z227" s="453"/>
      <c r="AA227" s="453"/>
      <c r="AB227" s="1394"/>
      <c r="AC227" s="1002"/>
      <c r="AD227" s="1436"/>
      <c r="AE227" s="1436"/>
      <c r="AF227" s="1436"/>
      <c r="AG227" s="1436"/>
      <c r="AH227" s="1436"/>
      <c r="AI227" s="1436"/>
      <c r="AJ227" s="1436"/>
      <c r="AK227" s="1436"/>
      <c r="AL227" s="1436"/>
      <c r="AM227" s="1436"/>
      <c r="AN227" s="1436"/>
      <c r="AO227" s="1436"/>
      <c r="AP227" s="1436"/>
      <c r="AQ227" s="1436"/>
      <c r="AR227" s="1436"/>
      <c r="AS227" s="1394"/>
      <c r="AT227" s="1002"/>
      <c r="AU227" s="12"/>
      <c r="AV227" s="12"/>
      <c r="AW227" s="12"/>
      <c r="AX227" s="12"/>
      <c r="AY227" s="12"/>
      <c r="AZ227" s="12"/>
      <c r="BA227" s="12"/>
      <c r="BB227" s="12"/>
      <c r="BC227" s="12"/>
      <c r="BD227" s="12"/>
      <c r="BE227" s="12"/>
      <c r="BF227" s="12"/>
      <c r="BG227" s="12"/>
      <c r="BH227" s="12"/>
      <c r="BI227" s="13"/>
    </row>
    <row r="228" spans="1:61" s="211" customFormat="1">
      <c r="A228" s="212" t="s">
        <v>493</v>
      </c>
      <c r="B228" s="1092"/>
      <c r="C228" s="1092"/>
      <c r="D228" s="1092"/>
      <c r="E228" s="210"/>
      <c r="F228" s="22" t="s">
        <v>204</v>
      </c>
      <c r="G228" s="186" t="str">
        <f>INDEX(tabellen_EMD!$C$301:$R$306,MATCH(G$226,tabellen_EMD!$C$301:$C$306,0),MATCH($P$24&amp;" | eenheid",tabellen_EMD!$C$301:$R$301,0))</f>
        <v>euro/m3</v>
      </c>
      <c r="H228" s="186" t="str">
        <f>INDEX(tabellen_EMD!$C$301:$R$306,MATCH(H$226,tabellen_EMD!$C$301:$C$306,0),MATCH($P$24&amp;" | eenheid",tabellen_EMD!$C$301:$R$301,0))</f>
        <v>euro/kWh</v>
      </c>
      <c r="I228" s="911"/>
      <c r="J228" s="186" t="str">
        <f>INDEX(tabellen_EMD!$C$301:$R$306,MATCH(J$226,tabellen_EMD!$C$301:$C$306,0),MATCH($P$24&amp;" | eenheid",tabellen_EMD!$C$301:$R$301,0))</f>
        <v>euro/kWh</v>
      </c>
      <c r="K228" s="186" t="str">
        <f>INDEX(tabellen_EMD!$C$301:$R$306,MATCH(K$226,tabellen_EMD!$C$301:$C$306,0),MATCH($P$24&amp;" | eenheid",tabellen_EMD!$C$301:$R$301,0))</f>
        <v>euro/GJ</v>
      </c>
      <c r="L228" s="911"/>
      <c r="M228" s="186" t="str">
        <f>INDEX(tabellen_EMD!$C$301:$R$306,MATCH(M$226,tabellen_EMD!$C$301:$C$306,0),MATCH($P$24&amp;" | eenheid",tabellen_EMD!$C$301:$R$301,0))</f>
        <v>euro/kg</v>
      </c>
      <c r="N228" s="911"/>
      <c r="O228" s="44"/>
      <c r="P228" s="899"/>
      <c r="Q228" s="899"/>
      <c r="R228" s="899"/>
      <c r="S228" s="899"/>
      <c r="T228" s="899"/>
      <c r="U228" s="899"/>
      <c r="V228" s="39"/>
      <c r="W228" s="39"/>
      <c r="X228" s="39"/>
      <c r="Y228" s="12"/>
      <c r="Z228" s="453"/>
      <c r="AA228" s="453"/>
      <c r="AB228" s="1394"/>
      <c r="AC228" s="1002"/>
      <c r="AD228" s="1436"/>
      <c r="AE228" s="1436"/>
      <c r="AF228" s="1436"/>
      <c r="AG228" s="1436"/>
      <c r="AH228" s="1436"/>
      <c r="AI228" s="1436"/>
      <c r="AJ228" s="1436"/>
      <c r="AK228" s="1436"/>
      <c r="AL228" s="1436"/>
      <c r="AM228" s="1436"/>
      <c r="AN228" s="1436"/>
      <c r="AO228" s="1436"/>
      <c r="AP228" s="1436"/>
      <c r="AQ228" s="1436"/>
      <c r="AR228" s="1436"/>
      <c r="AS228" s="1394"/>
      <c r="AT228" s="1002"/>
      <c r="AU228" s="12"/>
      <c r="AV228" s="12"/>
      <c r="AW228" s="12"/>
      <c r="AX228" s="12"/>
      <c r="AY228" s="12"/>
      <c r="AZ228" s="12"/>
      <c r="BA228" s="12"/>
      <c r="BB228" s="12"/>
      <c r="BC228" s="12"/>
      <c r="BD228" s="12"/>
      <c r="BE228" s="12"/>
      <c r="BF228" s="12"/>
      <c r="BG228" s="12"/>
      <c r="BH228" s="12"/>
      <c r="BI228" s="13"/>
    </row>
    <row r="229" spans="1:61" s="211" customFormat="1">
      <c r="A229" s="212" t="s">
        <v>493</v>
      </c>
      <c r="B229" s="1092"/>
      <c r="C229" s="1092"/>
      <c r="D229" s="1092"/>
      <c r="E229" s="210"/>
      <c r="F229" s="22" t="s">
        <v>510</v>
      </c>
      <c r="G229" s="186">
        <f>INDEX(tabellen_EMD!$C$301:$R$306,MATCH(G$226,tabellen_EMD!$C$301:$C$306,0),MATCH($P$24&amp;" | GWP E",tabellen_EMD!$C$301:$R$301,0))</f>
        <v>2.1019999999999999</v>
      </c>
      <c r="H229" s="186">
        <f>INDEX(tabellen_EMD!$C$301:$R$306,MATCH(H$226,tabellen_EMD!$C$301:$C$306,0),MATCH($P$24&amp;" | GWP E",tabellen_EMD!$C$301:$R$301,0))</f>
        <v>0.48699999999999999</v>
      </c>
      <c r="I229" s="911"/>
      <c r="J229" s="186">
        <f>INDEX(tabellen_EMD!$C$301:$R$306,MATCH(J$226,tabellen_EMD!$C$301:$C$306,0),MATCH($P$24&amp;" | GWP E",tabellen_EMD!$C$301:$R$301,0))</f>
        <v>-0.48699999999999999</v>
      </c>
      <c r="K229" s="186">
        <f>INDEX(tabellen_EMD!$C$301:$R$306,MATCH(K$226,tabellen_EMD!$C$301:$C$306,0),MATCH($P$24&amp;" | GWP E",tabellen_EMD!$C$301:$R$301,0))</f>
        <v>89.650270116576607</v>
      </c>
      <c r="L229" s="911"/>
      <c r="M229" s="186">
        <f>INDEX(tabellen_EMD!$C$301:$R$306,MATCH(M$226,tabellen_EMD!$C$301:$C$306,0),MATCH($P$24&amp;" | GWP E",tabellen_EMD!$C$301:$R$301,0))</f>
        <v>3.9581999999999999E-2</v>
      </c>
      <c r="N229" s="911"/>
      <c r="O229" s="44"/>
      <c r="P229" s="899"/>
      <c r="Q229" s="899"/>
      <c r="R229" s="899"/>
      <c r="S229" s="899"/>
      <c r="T229" s="899"/>
      <c r="U229" s="899"/>
      <c r="V229" s="39"/>
      <c r="W229" s="39"/>
      <c r="X229" s="39"/>
      <c r="Y229" s="12"/>
      <c r="Z229" s="453"/>
      <c r="AA229" s="453"/>
      <c r="AB229" s="1394"/>
      <c r="AC229" s="1002"/>
      <c r="AD229" s="1436"/>
      <c r="AE229" s="1436"/>
      <c r="AF229" s="1436"/>
      <c r="AG229" s="1436"/>
      <c r="AH229" s="1436"/>
      <c r="AI229" s="1436"/>
      <c r="AJ229" s="1436"/>
      <c r="AK229" s="1436"/>
      <c r="AL229" s="1436"/>
      <c r="AM229" s="1436"/>
      <c r="AN229" s="1436"/>
      <c r="AO229" s="1436"/>
      <c r="AP229" s="1436"/>
      <c r="AQ229" s="1436"/>
      <c r="AR229" s="1436"/>
      <c r="AS229" s="1394"/>
      <c r="AT229" s="1002"/>
      <c r="AU229" s="12"/>
      <c r="AV229" s="12"/>
      <c r="AW229" s="12"/>
      <c r="AX229" s="12"/>
      <c r="AY229" s="12"/>
      <c r="AZ229" s="12"/>
      <c r="BA229" s="12"/>
      <c r="BB229" s="12"/>
      <c r="BC229" s="12"/>
      <c r="BD229" s="12"/>
      <c r="BE229" s="12"/>
      <c r="BF229" s="12"/>
      <c r="BG229" s="12"/>
      <c r="BH229" s="12"/>
      <c r="BI229" s="13"/>
    </row>
    <row r="230" spans="1:61" s="211" customFormat="1">
      <c r="A230" s="212" t="s">
        <v>493</v>
      </c>
      <c r="B230" s="1092"/>
      <c r="C230" s="1092"/>
      <c r="D230" s="1092"/>
      <c r="E230" s="210"/>
      <c r="F230" s="22" t="s">
        <v>204</v>
      </c>
      <c r="G230" s="186" t="str">
        <f>INDEX(tabellen_EMD!$C$301:$S$306,MATCH(G$226,tabellen_EMD!$C$301:$C$306,0),MATCH($P$24&amp;" | GWP eenheid",tabellen_EMD!$C$301:$S$301,0))</f>
        <v>kg/m3</v>
      </c>
      <c r="H230" s="186" t="str">
        <f>INDEX(tabellen_EMD!$C$301:$S$306,MATCH(H$226,tabellen_EMD!$C$301:$C$306,0),MATCH($P$24&amp;" | GWP eenheid",tabellen_EMD!$C$301:$S$301,0))</f>
        <v>kg/kWh</v>
      </c>
      <c r="I230" s="911"/>
      <c r="J230" s="186" t="str">
        <f>INDEX(tabellen_EMD!$C$301:$S$306,MATCH(J$226,tabellen_EMD!$C$301:$C$306,0),MATCH($P$24&amp;" | GWP eenheid",tabellen_EMD!$C$301:$S$301,0))</f>
        <v>kg/kWh</v>
      </c>
      <c r="K230" s="186" t="str">
        <f>INDEX(tabellen_EMD!$C$301:$S$306,MATCH(K$226,tabellen_EMD!$C$301:$C$306,0),MATCH($P$24&amp;" | GWP eenheid",tabellen_EMD!$C$301:$S$301,0))</f>
        <v>kg/GJ</v>
      </c>
      <c r="L230" s="911"/>
      <c r="M230" s="186" t="str">
        <f>INDEX(tabellen_EMD!$C$301:$S$306,MATCH(M$226,tabellen_EMD!$C$301:$C$306,0),MATCH($P$24&amp;" | GWP eenheid",tabellen_EMD!$C$301:$S$301,0))</f>
        <v>kg/kg</v>
      </c>
      <c r="N230" s="911"/>
      <c r="O230" s="44"/>
      <c r="P230" s="899"/>
      <c r="Q230" s="899"/>
      <c r="R230" s="899"/>
      <c r="S230" s="899"/>
      <c r="T230" s="899"/>
      <c r="U230" s="899"/>
      <c r="V230" s="39"/>
      <c r="W230" s="39"/>
      <c r="X230" s="39"/>
      <c r="Y230" s="12"/>
      <c r="Z230" s="453"/>
      <c r="AA230" s="453"/>
      <c r="AB230" s="1394"/>
      <c r="AC230" s="1002"/>
      <c r="AD230" s="1436"/>
      <c r="AE230" s="1436"/>
      <c r="AF230" s="1436"/>
      <c r="AG230" s="1436"/>
      <c r="AH230" s="1436"/>
      <c r="AI230" s="1436"/>
      <c r="AJ230" s="1436"/>
      <c r="AK230" s="1436"/>
      <c r="AL230" s="1436"/>
      <c r="AM230" s="1436"/>
      <c r="AN230" s="1436"/>
      <c r="AO230" s="1436"/>
      <c r="AP230" s="1436"/>
      <c r="AQ230" s="1436"/>
      <c r="AR230" s="1436"/>
      <c r="AS230" s="1394"/>
      <c r="AT230" s="1002"/>
      <c r="AU230" s="12"/>
      <c r="AV230" s="12"/>
      <c r="AW230" s="12"/>
      <c r="AX230" s="12"/>
      <c r="AY230" s="12"/>
      <c r="AZ230" s="12"/>
      <c r="BA230" s="12"/>
      <c r="BB230" s="12"/>
      <c r="BC230" s="12"/>
      <c r="BD230" s="12"/>
      <c r="BE230" s="12"/>
      <c r="BF230" s="12"/>
      <c r="BG230" s="12"/>
      <c r="BH230" s="12"/>
      <c r="BI230" s="13"/>
    </row>
    <row r="231" spans="1:61">
      <c r="A231" s="212" t="s">
        <v>493</v>
      </c>
      <c r="B231" s="943"/>
      <c r="C231" s="943"/>
      <c r="D231" s="943"/>
      <c r="E231" s="14"/>
      <c r="F231" s="22" t="s">
        <v>1554</v>
      </c>
      <c r="G231" s="1161">
        <f>INDEX(tabellen_EMD!$C$285:$Z$290,MATCH(G$226,tabellen_EMD!$C$285:$C$290,0),MATCH(EP_versie_scope_functie_methode,tabellen_EMD!$C$285:$Z$285,0))</f>
        <v>1</v>
      </c>
      <c r="H231" s="1161">
        <f>INDEX(tabellen_EMD!$C$285:$Z$290,MATCH(H$226,tabellen_EMD!$C$285:$C$290,0),MATCH(EP_versie_scope_functie_methode,tabellen_EMD!$C$285:$Z$285,0))</f>
        <v>1</v>
      </c>
      <c r="I231" s="1047"/>
      <c r="J231" s="1161">
        <f>INDEX(tabellen_EMD!$C$285:$Z$290,MATCH(J$226,tabellen_EMD!$C$285:$C$290,0),MATCH(EP_versie_scope_functie_methode,tabellen_EMD!$C$285:$Z$285,0))</f>
        <v>1</v>
      </c>
      <c r="K231" s="1161">
        <f>INDEX(tabellen_EMD!$C$285:$Z$290,MATCH(K$226,tabellen_EMD!$C$285:$C$290,0),MATCH(EP_versie_scope_functie_methode,tabellen_EMD!$C$285:$Z$285,0))</f>
        <v>1</v>
      </c>
      <c r="L231" s="1047"/>
      <c r="M231" s="1161">
        <f>INDEX(tabellen_EMD!$C$285:$Z$290,MATCH(M$226,tabellen_EMD!$C$285:$C$290,0),MATCH(EP_versie_scope_functie_methode,tabellen_EMD!$C$285:$Z$285,0))</f>
        <v>4.166666666666667</v>
      </c>
      <c r="N231" s="1047"/>
      <c r="O231" s="44"/>
      <c r="P231" s="899"/>
      <c r="Q231" s="899"/>
      <c r="R231" s="899"/>
      <c r="S231" s="899"/>
      <c r="T231" s="899"/>
      <c r="U231" s="899"/>
      <c r="V231" s="39"/>
      <c r="W231" s="39"/>
      <c r="X231" s="39"/>
      <c r="Y231" s="12"/>
      <c r="Z231" s="453"/>
      <c r="AA231" s="453"/>
      <c r="AB231" s="67"/>
      <c r="AC231" s="995"/>
      <c r="AD231" s="1432"/>
      <c r="AE231" s="1432"/>
      <c r="AF231" s="1432"/>
      <c r="AG231" s="1432"/>
      <c r="AH231" s="1432"/>
      <c r="AI231" s="1432"/>
      <c r="AJ231" s="1432"/>
      <c r="AK231" s="1432"/>
      <c r="AL231" s="1432"/>
      <c r="AM231" s="1432"/>
      <c r="AN231" s="1432"/>
      <c r="AO231" s="1432"/>
      <c r="AP231" s="1432"/>
      <c r="AQ231" s="1432"/>
      <c r="AR231" s="1432"/>
      <c r="AS231" s="67"/>
      <c r="AT231" s="995"/>
      <c r="AU231" s="12"/>
      <c r="AV231" s="12"/>
      <c r="AW231" s="12"/>
      <c r="AX231" s="12"/>
      <c r="AY231" s="12"/>
      <c r="AZ231" s="12"/>
      <c r="BA231" s="12"/>
      <c r="BB231" s="12"/>
      <c r="BC231" s="12"/>
      <c r="BD231" s="12"/>
      <c r="BE231" s="12"/>
      <c r="BF231" s="12"/>
      <c r="BG231" s="12"/>
      <c r="BH231" s="12"/>
      <c r="BI231" s="13"/>
    </row>
    <row r="232" spans="1:61">
      <c r="A232" s="212" t="s">
        <v>493</v>
      </c>
      <c r="B232" s="943"/>
      <c r="C232" s="943"/>
      <c r="D232" s="943"/>
      <c r="E232" s="14"/>
      <c r="F232" s="22" t="s">
        <v>1555</v>
      </c>
      <c r="G232" s="1161">
        <f>INDEX(tabellen_EMD!$C$293:$Z$298,MATCH(G$226,tabellen_EMD!$C$293:$C$298,0),MATCH(EP_versie_scope_functie_methode,tabellen_EMD!$C$293:$Z$293,0))</f>
        <v>0</v>
      </c>
      <c r="H232" s="1161">
        <f>INDEX(tabellen_EMD!$C$293:$Z$298,MATCH(H$226,tabellen_EMD!$C$293:$C$298,0),MATCH(EP_versie_scope_functie_methode,tabellen_EMD!$C$293:$Z$293,0))</f>
        <v>0</v>
      </c>
      <c r="I232" s="1047"/>
      <c r="J232" s="1161">
        <f>INDEX(tabellen_EMD!$C$293:$Z$298,MATCH(J$226,tabellen_EMD!$C$293:$C$298,0),MATCH(EP_versie_scope_functie_methode,tabellen_EMD!$C$293:$Z$293,0))</f>
        <v>0</v>
      </c>
      <c r="K232" s="1161">
        <f>INDEX(tabellen_EMD!$C$293:$Z$298,MATCH(K$226,tabellen_EMD!$C$293:$C$298,0),MATCH(EP_versie_scope_functie_methode,tabellen_EMD!$C$293:$Z$293,0))</f>
        <v>1</v>
      </c>
      <c r="L232" s="1047"/>
      <c r="M232" s="1161">
        <f>INDEX(tabellen_EMD!$C$293:$Z$298,MATCH(M$226,tabellen_EMD!$C$293:$C$298,0),MATCH(EP_versie_scope_functie_methode,tabellen_EMD!$C$293:$Z$293,0))</f>
        <v>0</v>
      </c>
      <c r="N232" s="1047"/>
      <c r="O232" s="44"/>
      <c r="P232" s="899"/>
      <c r="Q232" s="899"/>
      <c r="R232" s="899"/>
      <c r="S232" s="899"/>
      <c r="T232" s="899"/>
      <c r="U232" s="899"/>
      <c r="V232" s="39"/>
      <c r="W232" s="39"/>
      <c r="X232" s="39"/>
      <c r="Y232" s="12"/>
      <c r="Z232" s="453"/>
      <c r="AA232" s="453"/>
      <c r="AB232" s="67"/>
      <c r="AC232" s="995"/>
      <c r="AD232" s="1432"/>
      <c r="AE232" s="1432"/>
      <c r="AF232" s="1432"/>
      <c r="AG232" s="1432"/>
      <c r="AH232" s="1432"/>
      <c r="AI232" s="1432"/>
      <c r="AJ232" s="1432"/>
      <c r="AK232" s="1432"/>
      <c r="AL232" s="1432"/>
      <c r="AM232" s="1432"/>
      <c r="AN232" s="1432"/>
      <c r="AO232" s="1432"/>
      <c r="AP232" s="1432"/>
      <c r="AQ232" s="1432"/>
      <c r="AR232" s="1432"/>
      <c r="AS232" s="67"/>
      <c r="AT232" s="995"/>
      <c r="AU232" s="12"/>
      <c r="AV232" s="12"/>
      <c r="AW232" s="12"/>
      <c r="AX232" s="12"/>
      <c r="AY232" s="12"/>
      <c r="AZ232" s="12"/>
      <c r="BA232" s="12"/>
      <c r="BB232" s="12"/>
      <c r="BC232" s="12"/>
      <c r="BD232" s="12"/>
      <c r="BE232" s="12"/>
      <c r="BF232" s="12"/>
      <c r="BG232" s="12"/>
      <c r="BH232" s="12"/>
      <c r="BI232" s="13"/>
    </row>
    <row r="233" spans="1:61" s="211" customFormat="1">
      <c r="A233" s="212" t="s">
        <v>493</v>
      </c>
      <c r="B233" s="1092"/>
      <c r="C233" s="1092"/>
      <c r="D233" s="1092"/>
      <c r="E233" s="210"/>
      <c r="F233" s="22" t="s">
        <v>1650</v>
      </c>
      <c r="G233" s="24">
        <f>VLOOKUP(G$226,$J$195:$W$199,COLUMNS($J$194:$W$194),FALSE)*G$231</f>
        <v>0</v>
      </c>
      <c r="H233" s="24">
        <f t="shared" ref="H233:M233" si="115">VLOOKUP(H$226,$J$195:$W$199,COLUMNS($J$194:$W$194),FALSE)*H$231</f>
        <v>0</v>
      </c>
      <c r="I233" s="24"/>
      <c r="J233" s="24">
        <f t="shared" si="115"/>
        <v>0</v>
      </c>
      <c r="K233" s="142">
        <f t="shared" si="115"/>
        <v>0</v>
      </c>
      <c r="L233" s="142"/>
      <c r="M233" s="24">
        <f t="shared" si="115"/>
        <v>0</v>
      </c>
      <c r="N233" s="24">
        <f>J275</f>
        <v>1</v>
      </c>
      <c r="O233" s="44"/>
      <c r="P233" s="899"/>
      <c r="Q233" s="899"/>
      <c r="R233" s="899"/>
      <c r="S233" s="899"/>
      <c r="T233" s="899"/>
      <c r="U233" s="899"/>
      <c r="V233" s="39"/>
      <c r="W233" s="39"/>
      <c r="X233" s="39"/>
      <c r="Y233" s="12"/>
      <c r="Z233" s="453"/>
      <c r="AA233" s="453"/>
      <c r="AB233" s="1394"/>
      <c r="AC233" s="1002"/>
      <c r="AD233" s="1436"/>
      <c r="AE233" s="1436"/>
      <c r="AF233" s="1436"/>
      <c r="AG233" s="1436"/>
      <c r="AH233" s="1436"/>
      <c r="AI233" s="1436"/>
      <c r="AJ233" s="1436"/>
      <c r="AK233" s="1436"/>
      <c r="AL233" s="1436"/>
      <c r="AM233" s="1436"/>
      <c r="AN233" s="1436"/>
      <c r="AO233" s="1436"/>
      <c r="AP233" s="1436"/>
      <c r="AQ233" s="1436"/>
      <c r="AR233" s="1436"/>
      <c r="AS233" s="1394"/>
      <c r="AT233" s="1002"/>
      <c r="AU233" s="12"/>
      <c r="AV233" s="12"/>
      <c r="AW233" s="12"/>
      <c r="AX233" s="12"/>
      <c r="AY233" s="12"/>
      <c r="AZ233" s="12"/>
      <c r="BA233" s="12"/>
      <c r="BB233" s="12"/>
      <c r="BC233" s="12"/>
      <c r="BD233" s="12"/>
      <c r="BE233" s="12"/>
      <c r="BF233" s="12"/>
      <c r="BG233" s="12"/>
      <c r="BH233" s="12"/>
      <c r="BI233" s="13"/>
    </row>
    <row r="234" spans="1:61" s="211" customFormat="1">
      <c r="A234" s="212" t="s">
        <v>493</v>
      </c>
      <c r="B234" s="1092"/>
      <c r="C234" s="1092"/>
      <c r="D234" s="1092"/>
      <c r="E234" s="210"/>
      <c r="F234" s="911"/>
      <c r="G234" s="911"/>
      <c r="H234" s="911"/>
      <c r="I234" s="911"/>
      <c r="J234" s="911"/>
      <c r="K234" s="911"/>
      <c r="L234" s="911"/>
      <c r="M234" s="911"/>
      <c r="N234" s="911"/>
      <c r="O234" s="44"/>
      <c r="P234" s="899"/>
      <c r="Q234" s="899"/>
      <c r="R234" s="899"/>
      <c r="S234" s="899"/>
      <c r="T234" s="899"/>
      <c r="U234" s="899"/>
      <c r="V234" s="39"/>
      <c r="W234" s="39"/>
      <c r="X234" s="39"/>
      <c r="Y234" s="12"/>
      <c r="Z234" s="453"/>
      <c r="AA234" s="453"/>
      <c r="AB234" s="1394"/>
      <c r="AC234" s="1002"/>
      <c r="AD234" s="1436"/>
      <c r="AE234" s="1436"/>
      <c r="AF234" s="1436"/>
      <c r="AG234" s="1436"/>
      <c r="AH234" s="1436"/>
      <c r="AI234" s="1436"/>
      <c r="AJ234" s="1436"/>
      <c r="AK234" s="1436"/>
      <c r="AL234" s="1436"/>
      <c r="AM234" s="1436"/>
      <c r="AN234" s="1436"/>
      <c r="AO234" s="1436"/>
      <c r="AP234" s="1436"/>
      <c r="AQ234" s="1436"/>
      <c r="AR234" s="1436"/>
      <c r="AS234" s="1394"/>
      <c r="AT234" s="1002"/>
      <c r="AU234" s="12"/>
      <c r="AV234" s="12"/>
      <c r="AW234" s="12"/>
      <c r="AX234" s="12"/>
      <c r="AY234" s="12"/>
      <c r="AZ234" s="12"/>
      <c r="BA234" s="12"/>
      <c r="BB234" s="12"/>
      <c r="BC234" s="12"/>
      <c r="BD234" s="12"/>
      <c r="BE234" s="12"/>
      <c r="BF234" s="12"/>
      <c r="BG234" s="12"/>
      <c r="BH234" s="12"/>
      <c r="BI234" s="13"/>
    </row>
    <row r="235" spans="1:61" s="211" customFormat="1">
      <c r="A235" s="212" t="s">
        <v>493</v>
      </c>
      <c r="B235" s="1092"/>
      <c r="C235" s="1092"/>
      <c r="D235" s="1092"/>
      <c r="E235" s="210"/>
      <c r="F235" s="1334" t="s">
        <v>1651</v>
      </c>
      <c r="G235" s="911"/>
      <c r="H235" s="911"/>
      <c r="I235" s="911"/>
      <c r="J235" s="911"/>
      <c r="K235" s="911"/>
      <c r="L235" s="911"/>
      <c r="M235" s="911"/>
      <c r="N235" s="911"/>
      <c r="O235" s="44"/>
      <c r="P235" s="899"/>
      <c r="Q235" s="899"/>
      <c r="R235" s="899"/>
      <c r="S235" s="899"/>
      <c r="T235" s="899"/>
      <c r="U235" s="899"/>
      <c r="V235" s="39"/>
      <c r="W235" s="39"/>
      <c r="X235" s="39"/>
      <c r="Y235" s="12"/>
      <c r="Z235" s="453"/>
      <c r="AA235" s="453"/>
      <c r="AB235" s="1394"/>
      <c r="AC235" s="1002"/>
      <c r="AD235" s="1436"/>
      <c r="AE235" s="1436"/>
      <c r="AF235" s="1436"/>
      <c r="AG235" s="1436"/>
      <c r="AH235" s="1436"/>
      <c r="AI235" s="1436"/>
      <c r="AJ235" s="1436"/>
      <c r="AK235" s="1436"/>
      <c r="AL235" s="1436"/>
      <c r="AM235" s="1436"/>
      <c r="AN235" s="1436"/>
      <c r="AO235" s="1436"/>
      <c r="AP235" s="1436"/>
      <c r="AQ235" s="1436"/>
      <c r="AR235" s="1436"/>
      <c r="AS235" s="1394"/>
      <c r="AT235" s="1002"/>
      <c r="AU235" s="12"/>
      <c r="AV235" s="12"/>
      <c r="AW235" s="12"/>
      <c r="AX235" s="12"/>
      <c r="AY235" s="12"/>
      <c r="AZ235" s="12"/>
      <c r="BA235" s="12"/>
      <c r="BB235" s="12"/>
      <c r="BC235" s="12"/>
      <c r="BD235" s="12"/>
      <c r="BE235" s="12"/>
      <c r="BF235" s="12"/>
      <c r="BG235" s="12"/>
      <c r="BH235" s="12"/>
      <c r="BI235" s="13"/>
    </row>
    <row r="236" spans="1:61" s="211" customFormat="1">
      <c r="A236" s="212" t="s">
        <v>493</v>
      </c>
      <c r="B236" s="1092"/>
      <c r="C236" s="1092"/>
      <c r="D236" s="1092"/>
      <c r="E236" s="210"/>
      <c r="F236" s="22" t="s">
        <v>297</v>
      </c>
      <c r="G236" s="24" t="str">
        <f t="shared" ref="G236:H247" si="116">IF(OR($Q391="",ISNUMBER(G$233)=FALSE),"",$Q391*G$233)</f>
        <v/>
      </c>
      <c r="H236" s="24" t="str">
        <f t="shared" si="116"/>
        <v/>
      </c>
      <c r="I236" s="24"/>
      <c r="J236" s="24" t="str">
        <f t="shared" ref="J236:K247" si="117">IF(OR($Q391="",ISNUMBER(J$233)=FALSE),"",$Q391*J$233)</f>
        <v/>
      </c>
      <c r="K236" s="142" t="str">
        <f t="shared" si="117"/>
        <v/>
      </c>
      <c r="L236" s="142"/>
      <c r="M236" s="24" t="str">
        <f t="shared" ref="M236:M247" si="118">IF(OR($Q391="",ISNUMBER(M$233)=FALSE),"",$Q391*M$233)</f>
        <v/>
      </c>
      <c r="N236" s="911"/>
      <c r="O236" s="44"/>
      <c r="P236" s="899"/>
      <c r="Q236" s="899"/>
      <c r="R236" s="899"/>
      <c r="S236" s="899"/>
      <c r="T236" s="899"/>
      <c r="U236" s="899"/>
      <c r="V236" s="39"/>
      <c r="W236" s="39"/>
      <c r="X236" s="39"/>
      <c r="Y236" s="12"/>
      <c r="Z236" s="453"/>
      <c r="AA236" s="453"/>
      <c r="AB236" s="1394"/>
      <c r="AC236" s="1002"/>
      <c r="AD236" s="1436"/>
      <c r="AE236" s="1436"/>
      <c r="AF236" s="1436"/>
      <c r="AG236" s="1436"/>
      <c r="AH236" s="1436"/>
      <c r="AI236" s="1436"/>
      <c r="AJ236" s="1436"/>
      <c r="AK236" s="1436"/>
      <c r="AL236" s="1436"/>
      <c r="AM236" s="1436"/>
      <c r="AN236" s="1436"/>
      <c r="AO236" s="1436"/>
      <c r="AP236" s="1436"/>
      <c r="AQ236" s="1436"/>
      <c r="AR236" s="1436"/>
      <c r="AS236" s="1394"/>
      <c r="AT236" s="1002"/>
      <c r="AU236" s="12"/>
      <c r="AV236" s="12"/>
      <c r="AW236" s="12"/>
      <c r="AX236" s="12"/>
      <c r="AY236" s="12"/>
      <c r="AZ236" s="12"/>
      <c r="BA236" s="12"/>
      <c r="BB236" s="12"/>
      <c r="BC236" s="12"/>
      <c r="BD236" s="12"/>
      <c r="BE236" s="12"/>
      <c r="BF236" s="12"/>
      <c r="BG236" s="12"/>
      <c r="BH236" s="12"/>
      <c r="BI236" s="13"/>
    </row>
    <row r="237" spans="1:61" s="211" customFormat="1">
      <c r="A237" s="212" t="s">
        <v>493</v>
      </c>
      <c r="B237" s="1092"/>
      <c r="C237" s="1092"/>
      <c r="D237" s="1092"/>
      <c r="E237" s="210"/>
      <c r="F237" s="22" t="s">
        <v>298</v>
      </c>
      <c r="G237" s="24" t="str">
        <f t="shared" si="116"/>
        <v/>
      </c>
      <c r="H237" s="24" t="str">
        <f t="shared" si="116"/>
        <v/>
      </c>
      <c r="I237" s="24"/>
      <c r="J237" s="24" t="str">
        <f t="shared" si="117"/>
        <v/>
      </c>
      <c r="K237" s="142" t="str">
        <f t="shared" si="117"/>
        <v/>
      </c>
      <c r="L237" s="142"/>
      <c r="M237" s="24" t="str">
        <f t="shared" si="118"/>
        <v/>
      </c>
      <c r="N237" s="911"/>
      <c r="O237" s="44"/>
      <c r="P237" s="899"/>
      <c r="Q237" s="899"/>
      <c r="R237" s="899"/>
      <c r="S237" s="899"/>
      <c r="T237" s="899"/>
      <c r="U237" s="899"/>
      <c r="V237" s="39"/>
      <c r="W237" s="39"/>
      <c r="X237" s="39"/>
      <c r="Y237" s="12"/>
      <c r="Z237" s="453"/>
      <c r="AA237" s="453"/>
      <c r="AB237" s="1394"/>
      <c r="AC237" s="1002"/>
      <c r="AD237" s="1436"/>
      <c r="AE237" s="1436"/>
      <c r="AF237" s="1436"/>
      <c r="AG237" s="1436"/>
      <c r="AH237" s="1436"/>
      <c r="AI237" s="1436"/>
      <c r="AJ237" s="1436"/>
      <c r="AK237" s="1436"/>
      <c r="AL237" s="1436"/>
      <c r="AM237" s="1436"/>
      <c r="AN237" s="1436"/>
      <c r="AO237" s="1436"/>
      <c r="AP237" s="1436"/>
      <c r="AQ237" s="1436"/>
      <c r="AR237" s="1436"/>
      <c r="AS237" s="1394"/>
      <c r="AT237" s="1002"/>
      <c r="AU237" s="12"/>
      <c r="AV237" s="12"/>
      <c r="AW237" s="12"/>
      <c r="AX237" s="12"/>
      <c r="AY237" s="12"/>
      <c r="AZ237" s="12"/>
      <c r="BA237" s="12"/>
      <c r="BB237" s="12"/>
      <c r="BC237" s="12"/>
      <c r="BD237" s="12"/>
      <c r="BE237" s="12"/>
      <c r="BF237" s="12"/>
      <c r="BG237" s="12"/>
      <c r="BH237" s="12"/>
      <c r="BI237" s="13"/>
    </row>
    <row r="238" spans="1:61" s="211" customFormat="1">
      <c r="A238" s="212" t="s">
        <v>493</v>
      </c>
      <c r="B238" s="1092"/>
      <c r="C238" s="1092"/>
      <c r="D238" s="1092"/>
      <c r="E238" s="210"/>
      <c r="F238" s="22" t="s">
        <v>303</v>
      </c>
      <c r="G238" s="24">
        <f t="shared" si="116"/>
        <v>0</v>
      </c>
      <c r="H238" s="24">
        <f t="shared" si="116"/>
        <v>0</v>
      </c>
      <c r="I238" s="24"/>
      <c r="J238" s="24">
        <f t="shared" si="117"/>
        <v>0</v>
      </c>
      <c r="K238" s="142">
        <f t="shared" si="117"/>
        <v>0</v>
      </c>
      <c r="L238" s="142"/>
      <c r="M238" s="24">
        <f t="shared" si="118"/>
        <v>0</v>
      </c>
      <c r="N238" s="911"/>
      <c r="O238" s="44"/>
      <c r="P238" s="899"/>
      <c r="Q238" s="899"/>
      <c r="R238" s="899"/>
      <c r="S238" s="899"/>
      <c r="T238" s="899"/>
      <c r="U238" s="899"/>
      <c r="V238" s="39"/>
      <c r="W238" s="39"/>
      <c r="X238" s="39"/>
      <c r="Y238" s="12"/>
      <c r="Z238" s="453"/>
      <c r="AA238" s="453"/>
      <c r="AB238" s="1394"/>
      <c r="AC238" s="1002"/>
      <c r="AD238" s="1436"/>
      <c r="AE238" s="1436"/>
      <c r="AF238" s="1436"/>
      <c r="AG238" s="1436"/>
      <c r="AH238" s="1436"/>
      <c r="AI238" s="1436"/>
      <c r="AJ238" s="1436"/>
      <c r="AK238" s="1436"/>
      <c r="AL238" s="1436"/>
      <c r="AM238" s="1436"/>
      <c r="AN238" s="1436"/>
      <c r="AO238" s="1436"/>
      <c r="AP238" s="1436"/>
      <c r="AQ238" s="1436"/>
      <c r="AR238" s="1436"/>
      <c r="AS238" s="1394"/>
      <c r="AT238" s="1002"/>
      <c r="AU238" s="12"/>
      <c r="AV238" s="12"/>
      <c r="AW238" s="12"/>
      <c r="AX238" s="12"/>
      <c r="AY238" s="12"/>
      <c r="AZ238" s="12"/>
      <c r="BA238" s="12"/>
      <c r="BB238" s="12"/>
      <c r="BC238" s="12"/>
      <c r="BD238" s="12"/>
      <c r="BE238" s="12"/>
      <c r="BF238" s="12"/>
      <c r="BG238" s="12"/>
      <c r="BH238" s="12"/>
      <c r="BI238" s="13"/>
    </row>
    <row r="239" spans="1:61" s="211" customFormat="1">
      <c r="A239" s="212" t="s">
        <v>493</v>
      </c>
      <c r="B239" s="1092"/>
      <c r="C239" s="1092"/>
      <c r="D239" s="1092"/>
      <c r="E239" s="210"/>
      <c r="F239" s="22" t="s">
        <v>299</v>
      </c>
      <c r="G239" s="24">
        <f t="shared" si="116"/>
        <v>0</v>
      </c>
      <c r="H239" s="24">
        <f t="shared" si="116"/>
        <v>0</v>
      </c>
      <c r="I239" s="24"/>
      <c r="J239" s="24">
        <f t="shared" si="117"/>
        <v>0</v>
      </c>
      <c r="K239" s="142">
        <f t="shared" si="117"/>
        <v>0</v>
      </c>
      <c r="L239" s="142"/>
      <c r="M239" s="24">
        <f t="shared" si="118"/>
        <v>0</v>
      </c>
      <c r="N239" s="911"/>
      <c r="O239" s="44"/>
      <c r="P239" s="899"/>
      <c r="Q239" s="899"/>
      <c r="R239" s="899"/>
      <c r="S239" s="899"/>
      <c r="T239" s="899"/>
      <c r="U239" s="899"/>
      <c r="V239" s="39"/>
      <c r="W239" s="39"/>
      <c r="X239" s="39"/>
      <c r="Y239" s="12"/>
      <c r="Z239" s="453"/>
      <c r="AA239" s="453"/>
      <c r="AB239" s="1394"/>
      <c r="AC239" s="1002"/>
      <c r="AD239" s="1436"/>
      <c r="AE239" s="1436"/>
      <c r="AF239" s="1436"/>
      <c r="AG239" s="1436"/>
      <c r="AH239" s="1436"/>
      <c r="AI239" s="1436"/>
      <c r="AJ239" s="1436"/>
      <c r="AK239" s="1436"/>
      <c r="AL239" s="1436"/>
      <c r="AM239" s="1436"/>
      <c r="AN239" s="1436"/>
      <c r="AO239" s="1436"/>
      <c r="AP239" s="1436"/>
      <c r="AQ239" s="1436"/>
      <c r="AR239" s="1436"/>
      <c r="AS239" s="1394"/>
      <c r="AT239" s="1002"/>
      <c r="AU239" s="12"/>
      <c r="AV239" s="12"/>
      <c r="AW239" s="12"/>
      <c r="AX239" s="12"/>
      <c r="AY239" s="12"/>
      <c r="AZ239" s="12"/>
      <c r="BA239" s="12"/>
      <c r="BB239" s="12"/>
      <c r="BC239" s="12"/>
      <c r="BD239" s="12"/>
      <c r="BE239" s="12"/>
      <c r="BF239" s="12"/>
      <c r="BG239" s="12"/>
      <c r="BH239" s="12"/>
      <c r="BI239" s="13"/>
    </row>
    <row r="240" spans="1:61" s="211" customFormat="1">
      <c r="A240" s="212" t="s">
        <v>493</v>
      </c>
      <c r="B240" s="1092"/>
      <c r="C240" s="1092"/>
      <c r="D240" s="1092"/>
      <c r="E240" s="210"/>
      <c r="F240" s="22" t="s">
        <v>422</v>
      </c>
      <c r="G240" s="24">
        <f t="shared" si="116"/>
        <v>0</v>
      </c>
      <c r="H240" s="24">
        <f t="shared" si="116"/>
        <v>0</v>
      </c>
      <c r="I240" s="24"/>
      <c r="J240" s="24">
        <f t="shared" si="117"/>
        <v>0</v>
      </c>
      <c r="K240" s="142">
        <f t="shared" si="117"/>
        <v>0</v>
      </c>
      <c r="L240" s="142"/>
      <c r="M240" s="24">
        <f t="shared" si="118"/>
        <v>0</v>
      </c>
      <c r="N240" s="911"/>
      <c r="O240" s="44"/>
      <c r="P240" s="899"/>
      <c r="Q240" s="899"/>
      <c r="R240" s="899"/>
      <c r="S240" s="899"/>
      <c r="T240" s="899"/>
      <c r="U240" s="899"/>
      <c r="V240" s="39"/>
      <c r="W240" s="39"/>
      <c r="X240" s="39"/>
      <c r="Y240" s="12"/>
      <c r="Z240" s="453"/>
      <c r="AA240" s="453"/>
      <c r="AB240" s="1394"/>
      <c r="AC240" s="1002"/>
      <c r="AD240" s="1436"/>
      <c r="AE240" s="1436"/>
      <c r="AF240" s="1436"/>
      <c r="AG240" s="1436"/>
      <c r="AH240" s="1436"/>
      <c r="AI240" s="1436"/>
      <c r="AJ240" s="1436"/>
      <c r="AK240" s="1436"/>
      <c r="AL240" s="1436"/>
      <c r="AM240" s="1436"/>
      <c r="AN240" s="1436"/>
      <c r="AO240" s="1436"/>
      <c r="AP240" s="1436"/>
      <c r="AQ240" s="1436"/>
      <c r="AR240" s="1436"/>
      <c r="AS240" s="1394"/>
      <c r="AT240" s="1002"/>
      <c r="AU240" s="12"/>
      <c r="AV240" s="12"/>
      <c r="AW240" s="12"/>
      <c r="AX240" s="12"/>
      <c r="AY240" s="12"/>
      <c r="AZ240" s="12"/>
      <c r="BA240" s="12"/>
      <c r="BB240" s="12"/>
      <c r="BC240" s="12"/>
      <c r="BD240" s="12"/>
      <c r="BE240" s="12"/>
      <c r="BF240" s="12"/>
      <c r="BG240" s="12"/>
      <c r="BH240" s="12"/>
      <c r="BI240" s="13"/>
    </row>
    <row r="241" spans="1:61" s="211" customFormat="1">
      <c r="A241" s="212" t="s">
        <v>493</v>
      </c>
      <c r="B241" s="1092"/>
      <c r="C241" s="1092"/>
      <c r="D241" s="1092"/>
      <c r="E241" s="210"/>
      <c r="F241" s="22" t="s">
        <v>305</v>
      </c>
      <c r="G241" s="24" t="str">
        <f t="shared" si="116"/>
        <v/>
      </c>
      <c r="H241" s="24" t="str">
        <f t="shared" si="116"/>
        <v/>
      </c>
      <c r="I241" s="24"/>
      <c r="J241" s="24" t="str">
        <f t="shared" si="117"/>
        <v/>
      </c>
      <c r="K241" s="142" t="str">
        <f t="shared" si="117"/>
        <v/>
      </c>
      <c r="L241" s="142"/>
      <c r="M241" s="24" t="str">
        <f t="shared" si="118"/>
        <v/>
      </c>
      <c r="N241" s="911"/>
      <c r="O241" s="44"/>
      <c r="P241" s="899"/>
      <c r="Q241" s="899"/>
      <c r="R241" s="899"/>
      <c r="S241" s="899"/>
      <c r="T241" s="899"/>
      <c r="U241" s="899"/>
      <c r="V241" s="39"/>
      <c r="W241" s="39"/>
      <c r="X241" s="39"/>
      <c r="Y241" s="12"/>
      <c r="Z241" s="453"/>
      <c r="AA241" s="453"/>
      <c r="AB241" s="1394"/>
      <c r="AC241" s="1002"/>
      <c r="AD241" s="1436"/>
      <c r="AE241" s="1436"/>
      <c r="AF241" s="1436"/>
      <c r="AG241" s="1436"/>
      <c r="AH241" s="1436"/>
      <c r="AI241" s="1436"/>
      <c r="AJ241" s="1436"/>
      <c r="AK241" s="1436"/>
      <c r="AL241" s="1436"/>
      <c r="AM241" s="1436"/>
      <c r="AN241" s="1436"/>
      <c r="AO241" s="1436"/>
      <c r="AP241" s="1436"/>
      <c r="AQ241" s="1436"/>
      <c r="AR241" s="1436"/>
      <c r="AS241" s="1394"/>
      <c r="AT241" s="1002"/>
      <c r="AU241" s="12"/>
      <c r="AV241" s="12"/>
      <c r="AW241" s="12"/>
      <c r="AX241" s="12"/>
      <c r="AY241" s="12"/>
      <c r="AZ241" s="12"/>
      <c r="BA241" s="12"/>
      <c r="BB241" s="12"/>
      <c r="BC241" s="12"/>
      <c r="BD241" s="12"/>
      <c r="BE241" s="12"/>
      <c r="BF241" s="12"/>
      <c r="BG241" s="12"/>
      <c r="BH241" s="12"/>
      <c r="BI241" s="13"/>
    </row>
    <row r="242" spans="1:61" s="211" customFormat="1">
      <c r="A242" s="212" t="s">
        <v>493</v>
      </c>
      <c r="B242" s="1092"/>
      <c r="C242" s="1092"/>
      <c r="D242" s="1092"/>
      <c r="E242" s="210"/>
      <c r="F242" s="22" t="s">
        <v>302</v>
      </c>
      <c r="G242" s="24" t="str">
        <f t="shared" si="116"/>
        <v/>
      </c>
      <c r="H242" s="24" t="str">
        <f t="shared" si="116"/>
        <v/>
      </c>
      <c r="I242" s="24"/>
      <c r="J242" s="24" t="str">
        <f t="shared" si="117"/>
        <v/>
      </c>
      <c r="K242" s="142" t="str">
        <f t="shared" si="117"/>
        <v/>
      </c>
      <c r="L242" s="142"/>
      <c r="M242" s="24" t="str">
        <f t="shared" si="118"/>
        <v/>
      </c>
      <c r="N242" s="911"/>
      <c r="O242" s="44"/>
      <c r="P242" s="899"/>
      <c r="Q242" s="899"/>
      <c r="R242" s="899"/>
      <c r="S242" s="899"/>
      <c r="T242" s="899"/>
      <c r="U242" s="899"/>
      <c r="V242" s="39"/>
      <c r="W242" s="39"/>
      <c r="X242" s="39"/>
      <c r="Y242" s="12"/>
      <c r="Z242" s="453"/>
      <c r="AA242" s="453"/>
      <c r="AB242" s="1394"/>
      <c r="AC242" s="1002"/>
      <c r="AD242" s="1436"/>
      <c r="AE242" s="1436"/>
      <c r="AF242" s="1436"/>
      <c r="AG242" s="1436"/>
      <c r="AH242" s="1436"/>
      <c r="AI242" s="1436"/>
      <c r="AJ242" s="1436"/>
      <c r="AK242" s="1436"/>
      <c r="AL242" s="1436"/>
      <c r="AM242" s="1436"/>
      <c r="AN242" s="1436"/>
      <c r="AO242" s="1436"/>
      <c r="AP242" s="1436"/>
      <c r="AQ242" s="1436"/>
      <c r="AR242" s="1436"/>
      <c r="AS242" s="1394"/>
      <c r="AT242" s="1002"/>
      <c r="AU242" s="12"/>
      <c r="AV242" s="12"/>
      <c r="AW242" s="12"/>
      <c r="AX242" s="12"/>
      <c r="AY242" s="12"/>
      <c r="AZ242" s="12"/>
      <c r="BA242" s="12"/>
      <c r="BB242" s="12"/>
      <c r="BC242" s="12"/>
      <c r="BD242" s="12"/>
      <c r="BE242" s="12"/>
      <c r="BF242" s="12"/>
      <c r="BG242" s="12"/>
      <c r="BH242" s="12"/>
      <c r="BI242" s="13"/>
    </row>
    <row r="243" spans="1:61" s="211" customFormat="1">
      <c r="A243" s="212" t="s">
        <v>493</v>
      </c>
      <c r="B243" s="1092"/>
      <c r="C243" s="1092"/>
      <c r="D243" s="1092"/>
      <c r="E243" s="210"/>
      <c r="F243" s="22" t="s">
        <v>423</v>
      </c>
      <c r="G243" s="24" t="str">
        <f t="shared" si="116"/>
        <v/>
      </c>
      <c r="H243" s="24" t="str">
        <f t="shared" si="116"/>
        <v/>
      </c>
      <c r="I243" s="24"/>
      <c r="J243" s="24" t="str">
        <f t="shared" si="117"/>
        <v/>
      </c>
      <c r="K243" s="142" t="str">
        <f t="shared" si="117"/>
        <v/>
      </c>
      <c r="L243" s="142"/>
      <c r="M243" s="24" t="str">
        <f t="shared" si="118"/>
        <v/>
      </c>
      <c r="N243" s="911"/>
      <c r="O243" s="44"/>
      <c r="P243" s="899"/>
      <c r="Q243" s="899"/>
      <c r="R243" s="899"/>
      <c r="S243" s="899"/>
      <c r="T243" s="899"/>
      <c r="U243" s="899"/>
      <c r="V243" s="39"/>
      <c r="W243" s="39"/>
      <c r="X243" s="39"/>
      <c r="Y243" s="12"/>
      <c r="Z243" s="453"/>
      <c r="AA243" s="453"/>
      <c r="AB243" s="1394"/>
      <c r="AC243" s="1002"/>
      <c r="AD243" s="1436"/>
      <c r="AE243" s="1436"/>
      <c r="AF243" s="1436"/>
      <c r="AG243" s="1436"/>
      <c r="AH243" s="1436"/>
      <c r="AI243" s="1436"/>
      <c r="AJ243" s="1436"/>
      <c r="AK243" s="1436"/>
      <c r="AL243" s="1436"/>
      <c r="AM243" s="1436"/>
      <c r="AN243" s="1436"/>
      <c r="AO243" s="1436"/>
      <c r="AP243" s="1436"/>
      <c r="AQ243" s="1436"/>
      <c r="AR243" s="1436"/>
      <c r="AS243" s="1394"/>
      <c r="AT243" s="1002"/>
      <c r="AU243" s="12"/>
      <c r="AV243" s="12"/>
      <c r="AW243" s="12"/>
      <c r="AX243" s="12"/>
      <c r="AY243" s="12"/>
      <c r="AZ243" s="12"/>
      <c r="BA243" s="12"/>
      <c r="BB243" s="12"/>
      <c r="BC243" s="12"/>
      <c r="BD243" s="12"/>
      <c r="BE243" s="12"/>
      <c r="BF243" s="12"/>
      <c r="BG243" s="12"/>
      <c r="BH243" s="12"/>
      <c r="BI243" s="13"/>
    </row>
    <row r="244" spans="1:61" s="211" customFormat="1">
      <c r="A244" s="212" t="s">
        <v>493</v>
      </c>
      <c r="B244" s="1092"/>
      <c r="C244" s="1092"/>
      <c r="D244" s="1092"/>
      <c r="E244" s="210"/>
      <c r="F244" s="22" t="s">
        <v>307</v>
      </c>
      <c r="G244" s="24" t="str">
        <f t="shared" si="116"/>
        <v/>
      </c>
      <c r="H244" s="24" t="str">
        <f t="shared" si="116"/>
        <v/>
      </c>
      <c r="I244" s="24"/>
      <c r="J244" s="24" t="str">
        <f t="shared" si="117"/>
        <v/>
      </c>
      <c r="K244" s="142" t="str">
        <f t="shared" si="117"/>
        <v/>
      </c>
      <c r="L244" s="142"/>
      <c r="M244" s="24" t="str">
        <f t="shared" si="118"/>
        <v/>
      </c>
      <c r="N244" s="911"/>
      <c r="O244" s="44"/>
      <c r="P244" s="899"/>
      <c r="Q244" s="899"/>
      <c r="R244" s="899"/>
      <c r="S244" s="899"/>
      <c r="T244" s="899"/>
      <c r="U244" s="899"/>
      <c r="V244" s="39"/>
      <c r="W244" s="39"/>
      <c r="X244" s="39"/>
      <c r="Y244" s="12"/>
      <c r="Z244" s="453"/>
      <c r="AA244" s="453"/>
      <c r="AB244" s="1394"/>
      <c r="AC244" s="1002"/>
      <c r="AD244" s="1436"/>
      <c r="AE244" s="1436"/>
      <c r="AF244" s="1436"/>
      <c r="AG244" s="1436"/>
      <c r="AH244" s="1436"/>
      <c r="AI244" s="1436"/>
      <c r="AJ244" s="1436"/>
      <c r="AK244" s="1436"/>
      <c r="AL244" s="1436"/>
      <c r="AM244" s="1436"/>
      <c r="AN244" s="1436"/>
      <c r="AO244" s="1436"/>
      <c r="AP244" s="1436"/>
      <c r="AQ244" s="1436"/>
      <c r="AR244" s="1436"/>
      <c r="AS244" s="1394"/>
      <c r="AT244" s="1002"/>
      <c r="AU244" s="12"/>
      <c r="AV244" s="12"/>
      <c r="AW244" s="12"/>
      <c r="AX244" s="12"/>
      <c r="AY244" s="12"/>
      <c r="AZ244" s="12"/>
      <c r="BA244" s="12"/>
      <c r="BB244" s="12"/>
      <c r="BC244" s="12"/>
      <c r="BD244" s="12"/>
      <c r="BE244" s="12"/>
      <c r="BF244" s="12"/>
      <c r="BG244" s="12"/>
      <c r="BH244" s="12"/>
      <c r="BI244" s="13"/>
    </row>
    <row r="245" spans="1:61" s="211" customFormat="1">
      <c r="A245" s="212" t="s">
        <v>493</v>
      </c>
      <c r="B245" s="1092"/>
      <c r="C245" s="1092"/>
      <c r="D245" s="1092"/>
      <c r="E245" s="210"/>
      <c r="F245" s="22" t="s">
        <v>306</v>
      </c>
      <c r="G245" s="24" t="str">
        <f t="shared" si="116"/>
        <v/>
      </c>
      <c r="H245" s="24" t="str">
        <f t="shared" si="116"/>
        <v/>
      </c>
      <c r="I245" s="24"/>
      <c r="J245" s="24" t="str">
        <f t="shared" si="117"/>
        <v/>
      </c>
      <c r="K245" s="142" t="str">
        <f t="shared" si="117"/>
        <v/>
      </c>
      <c r="L245" s="142"/>
      <c r="M245" s="24" t="str">
        <f t="shared" si="118"/>
        <v/>
      </c>
      <c r="N245" s="911"/>
      <c r="O245" s="44"/>
      <c r="P245" s="899"/>
      <c r="Q245" s="899"/>
      <c r="R245" s="899"/>
      <c r="S245" s="899"/>
      <c r="T245" s="899"/>
      <c r="U245" s="899"/>
      <c r="V245" s="39"/>
      <c r="W245" s="39"/>
      <c r="X245" s="39"/>
      <c r="Y245" s="12"/>
      <c r="Z245" s="453"/>
      <c r="AA245" s="453"/>
      <c r="AB245" s="1394"/>
      <c r="AC245" s="1002"/>
      <c r="AD245" s="1436"/>
      <c r="AE245" s="1436"/>
      <c r="AF245" s="1436"/>
      <c r="AG245" s="1436"/>
      <c r="AH245" s="1436"/>
      <c r="AI245" s="1436"/>
      <c r="AJ245" s="1436"/>
      <c r="AK245" s="1436"/>
      <c r="AL245" s="1436"/>
      <c r="AM245" s="1436"/>
      <c r="AN245" s="1436"/>
      <c r="AO245" s="1436"/>
      <c r="AP245" s="1436"/>
      <c r="AQ245" s="1436"/>
      <c r="AR245" s="1436"/>
      <c r="AS245" s="1394"/>
      <c r="AT245" s="1002"/>
      <c r="AU245" s="12"/>
      <c r="AV245" s="12"/>
      <c r="AW245" s="12"/>
      <c r="AX245" s="12"/>
      <c r="AY245" s="12"/>
      <c r="AZ245" s="12"/>
      <c r="BA245" s="12"/>
      <c r="BB245" s="12"/>
      <c r="BC245" s="12"/>
      <c r="BD245" s="12"/>
      <c r="BE245" s="12"/>
      <c r="BF245" s="12"/>
      <c r="BG245" s="12"/>
      <c r="BH245" s="12"/>
      <c r="BI245" s="13"/>
    </row>
    <row r="246" spans="1:61" s="211" customFormat="1">
      <c r="A246" s="212" t="s">
        <v>493</v>
      </c>
      <c r="B246" s="1092"/>
      <c r="C246" s="1092"/>
      <c r="D246" s="1092"/>
      <c r="E246" s="210"/>
      <c r="F246" s="22" t="s">
        <v>424</v>
      </c>
      <c r="G246" s="24" t="str">
        <f t="shared" si="116"/>
        <v/>
      </c>
      <c r="H246" s="24" t="str">
        <f t="shared" si="116"/>
        <v/>
      </c>
      <c r="I246" s="24"/>
      <c r="J246" s="24" t="str">
        <f t="shared" si="117"/>
        <v/>
      </c>
      <c r="K246" s="142" t="str">
        <f t="shared" si="117"/>
        <v/>
      </c>
      <c r="L246" s="142"/>
      <c r="M246" s="24" t="str">
        <f t="shared" si="118"/>
        <v/>
      </c>
      <c r="N246" s="911"/>
      <c r="O246" s="44"/>
      <c r="P246" s="899"/>
      <c r="Q246" s="899"/>
      <c r="R246" s="899"/>
      <c r="S246" s="899"/>
      <c r="T246" s="899"/>
      <c r="U246" s="899"/>
      <c r="V246" s="39"/>
      <c r="W246" s="39"/>
      <c r="X246" s="39"/>
      <c r="Y246" s="12"/>
      <c r="Z246" s="453"/>
      <c r="AA246" s="453"/>
      <c r="AB246" s="1394"/>
      <c r="AC246" s="1002"/>
      <c r="AD246" s="1436"/>
      <c r="AE246" s="1436"/>
      <c r="AF246" s="1436"/>
      <c r="AG246" s="1436"/>
      <c r="AH246" s="1436"/>
      <c r="AI246" s="1436"/>
      <c r="AJ246" s="1436"/>
      <c r="AK246" s="1436"/>
      <c r="AL246" s="1436"/>
      <c r="AM246" s="1436"/>
      <c r="AN246" s="1436"/>
      <c r="AO246" s="1436"/>
      <c r="AP246" s="1436"/>
      <c r="AQ246" s="1436"/>
      <c r="AR246" s="1436"/>
      <c r="AS246" s="1394"/>
      <c r="AT246" s="1002"/>
      <c r="AU246" s="12"/>
      <c r="AV246" s="12"/>
      <c r="AW246" s="12"/>
      <c r="AX246" s="12"/>
      <c r="AY246" s="12"/>
      <c r="AZ246" s="12"/>
      <c r="BA246" s="12"/>
      <c r="BB246" s="12"/>
      <c r="BC246" s="12"/>
      <c r="BD246" s="12"/>
      <c r="BE246" s="12"/>
      <c r="BF246" s="12"/>
      <c r="BG246" s="12"/>
      <c r="BH246" s="12"/>
      <c r="BI246" s="13"/>
    </row>
    <row r="247" spans="1:61" s="211" customFormat="1">
      <c r="A247" s="212" t="s">
        <v>493</v>
      </c>
      <c r="B247" s="1092"/>
      <c r="C247" s="1092"/>
      <c r="D247" s="1092"/>
      <c r="E247" s="210"/>
      <c r="F247" s="22" t="s">
        <v>425</v>
      </c>
      <c r="G247" s="24" t="str">
        <f t="shared" si="116"/>
        <v/>
      </c>
      <c r="H247" s="24" t="str">
        <f t="shared" si="116"/>
        <v/>
      </c>
      <c r="I247" s="24"/>
      <c r="J247" s="24" t="str">
        <f t="shared" si="117"/>
        <v/>
      </c>
      <c r="K247" s="142" t="str">
        <f t="shared" si="117"/>
        <v/>
      </c>
      <c r="L247" s="142"/>
      <c r="M247" s="24" t="str">
        <f t="shared" si="118"/>
        <v/>
      </c>
      <c r="N247" s="911"/>
      <c r="O247" s="44"/>
      <c r="P247" s="899"/>
      <c r="Q247" s="899"/>
      <c r="R247" s="899"/>
      <c r="S247" s="899"/>
      <c r="T247" s="899"/>
      <c r="U247" s="899"/>
      <c r="V247" s="39"/>
      <c r="W247" s="39"/>
      <c r="X247" s="39"/>
      <c r="Y247" s="12"/>
      <c r="Z247" s="453"/>
      <c r="AA247" s="453"/>
      <c r="AB247" s="1394"/>
      <c r="AC247" s="1002"/>
      <c r="AD247" s="1436"/>
      <c r="AE247" s="1436"/>
      <c r="AF247" s="1436"/>
      <c r="AG247" s="1436"/>
      <c r="AH247" s="1436"/>
      <c r="AI247" s="1436"/>
      <c r="AJ247" s="1436"/>
      <c r="AK247" s="1436"/>
      <c r="AL247" s="1436"/>
      <c r="AM247" s="1436"/>
      <c r="AN247" s="1436"/>
      <c r="AO247" s="1436"/>
      <c r="AP247" s="1436"/>
      <c r="AQ247" s="1436"/>
      <c r="AR247" s="1436"/>
      <c r="AS247" s="1394"/>
      <c r="AT247" s="1002"/>
      <c r="AU247" s="12"/>
      <c r="AV247" s="12"/>
      <c r="AW247" s="12"/>
      <c r="AX247" s="12"/>
      <c r="AY247" s="12"/>
      <c r="AZ247" s="12"/>
      <c r="BA247" s="12"/>
      <c r="BB247" s="12"/>
      <c r="BC247" s="12"/>
      <c r="BD247" s="12"/>
      <c r="BE247" s="12"/>
      <c r="BF247" s="12"/>
      <c r="BG247" s="12"/>
      <c r="BH247" s="12"/>
      <c r="BI247" s="13"/>
    </row>
    <row r="248" spans="1:61" s="211" customFormat="1">
      <c r="A248" s="212" t="s">
        <v>493</v>
      </c>
      <c r="B248" s="1092"/>
      <c r="C248" s="1092"/>
      <c r="D248" s="1092"/>
      <c r="E248" s="210"/>
      <c r="F248" s="43"/>
      <c r="G248" s="911"/>
      <c r="H248" s="911"/>
      <c r="I248" s="911"/>
      <c r="J248" s="911"/>
      <c r="K248" s="911"/>
      <c r="L248" s="911"/>
      <c r="M248" s="911"/>
      <c r="N248" s="911"/>
      <c r="O248" s="44"/>
      <c r="P248" s="899"/>
      <c r="Q248" s="899"/>
      <c r="R248" s="899"/>
      <c r="S248" s="899"/>
      <c r="T248" s="899"/>
      <c r="U248" s="899"/>
      <c r="V248" s="39"/>
      <c r="W248" s="39"/>
      <c r="X248" s="39"/>
      <c r="Y248" s="12"/>
      <c r="Z248" s="453"/>
      <c r="AA248" s="453"/>
      <c r="AB248" s="1394"/>
      <c r="AC248" s="1002"/>
      <c r="AD248" s="1436"/>
      <c r="AE248" s="1436"/>
      <c r="AF248" s="1436"/>
      <c r="AG248" s="1436"/>
      <c r="AH248" s="1436"/>
      <c r="AI248" s="1436"/>
      <c r="AJ248" s="1436"/>
      <c r="AK248" s="1436"/>
      <c r="AL248" s="1436"/>
      <c r="AM248" s="1436"/>
      <c r="AN248" s="1436"/>
      <c r="AO248" s="1436"/>
      <c r="AP248" s="1436"/>
      <c r="AQ248" s="1436"/>
      <c r="AR248" s="1436"/>
      <c r="AS248" s="1394"/>
      <c r="AT248" s="1002"/>
      <c r="AU248" s="12"/>
      <c r="AV248" s="12"/>
      <c r="AW248" s="12"/>
      <c r="AX248" s="12"/>
      <c r="AY248" s="12"/>
      <c r="AZ248" s="12"/>
      <c r="BA248" s="12"/>
      <c r="BB248" s="12"/>
      <c r="BC248" s="12"/>
      <c r="BD248" s="12"/>
      <c r="BE248" s="12"/>
      <c r="BF248" s="12"/>
      <c r="BG248" s="12"/>
      <c r="BH248" s="12"/>
      <c r="BI248" s="13"/>
    </row>
    <row r="249" spans="1:61" s="211" customFormat="1">
      <c r="A249" s="212" t="s">
        <v>493</v>
      </c>
      <c r="B249" s="1092"/>
      <c r="C249" s="1092"/>
      <c r="D249" s="1092"/>
      <c r="E249" s="210"/>
      <c r="F249" s="22" t="s">
        <v>1597</v>
      </c>
      <c r="G249" s="24">
        <f>IF(OR($Q404="",ISNUMBER(G$233)=FALSE),"",$Q404*G$233)</f>
        <v>0</v>
      </c>
      <c r="H249" s="24">
        <f>IF(OR($Q404="",ISNUMBER(H$233)=FALSE),"",$Q404*H$233)</f>
        <v>0</v>
      </c>
      <c r="I249" s="24"/>
      <c r="J249" s="24">
        <f>IF(OR($Q404="",ISNUMBER(J$233)=FALSE),"",$Q404*J$233)</f>
        <v>0</v>
      </c>
      <c r="K249" s="142">
        <f>IF(OR($Q404="",ISNUMBER(K$233)=FALSE),"",$Q404*K$233)</f>
        <v>0</v>
      </c>
      <c r="L249" s="142"/>
      <c r="M249" s="24">
        <f>IF(OR($Q404="",ISNUMBER(M$233)=FALSE),"",$Q404*M$233)</f>
        <v>0</v>
      </c>
      <c r="N249" s="911"/>
      <c r="O249" s="44"/>
      <c r="P249" s="899"/>
      <c r="Q249" s="899"/>
      <c r="R249" s="899"/>
      <c r="S249" s="899"/>
      <c r="T249" s="899"/>
      <c r="U249" s="899"/>
      <c r="V249" s="39"/>
      <c r="W249" s="39"/>
      <c r="X249" s="39"/>
      <c r="Y249" s="12"/>
      <c r="Z249" s="453"/>
      <c r="AA249" s="453"/>
      <c r="AB249" s="1394"/>
      <c r="AC249" s="1002"/>
      <c r="AD249" s="1436"/>
      <c r="AE249" s="1436"/>
      <c r="AF249" s="1436"/>
      <c r="AG249" s="1436"/>
      <c r="AH249" s="1436"/>
      <c r="AI249" s="1436"/>
      <c r="AJ249" s="1436"/>
      <c r="AK249" s="1436"/>
      <c r="AL249" s="1436"/>
      <c r="AM249" s="1436"/>
      <c r="AN249" s="1436"/>
      <c r="AO249" s="1436"/>
      <c r="AP249" s="1436"/>
      <c r="AQ249" s="1436"/>
      <c r="AR249" s="1436"/>
      <c r="AS249" s="1394"/>
      <c r="AT249" s="1002"/>
      <c r="AU249" s="12"/>
      <c r="AV249" s="12"/>
      <c r="AW249" s="12"/>
      <c r="AX249" s="12"/>
      <c r="AY249" s="12"/>
      <c r="AZ249" s="12"/>
      <c r="BA249" s="12"/>
      <c r="BB249" s="12"/>
      <c r="BC249" s="12"/>
      <c r="BD249" s="12"/>
      <c r="BE249" s="12"/>
      <c r="BF249" s="12"/>
      <c r="BG249" s="12"/>
      <c r="BH249" s="12"/>
      <c r="BI249" s="13"/>
    </row>
    <row r="250" spans="1:61" s="211" customFormat="1">
      <c r="A250" s="212" t="s">
        <v>493</v>
      </c>
      <c r="B250" s="1092"/>
      <c r="C250" s="1092"/>
      <c r="D250" s="1092"/>
      <c r="E250" s="210"/>
      <c r="F250" s="22" t="s">
        <v>1600</v>
      </c>
      <c r="G250" s="24">
        <f>SUM(G236:G247)</f>
        <v>0</v>
      </c>
      <c r="H250" s="24">
        <f t="shared" ref="H250:M250" si="119">SUM(H236:H247)</f>
        <v>0</v>
      </c>
      <c r="I250" s="24"/>
      <c r="J250" s="24">
        <f t="shared" si="119"/>
        <v>0</v>
      </c>
      <c r="K250" s="142">
        <f t="shared" si="119"/>
        <v>0</v>
      </c>
      <c r="L250" s="142"/>
      <c r="M250" s="24">
        <f t="shared" si="119"/>
        <v>0</v>
      </c>
      <c r="N250" s="911"/>
      <c r="O250" s="44"/>
      <c r="P250" s="899"/>
      <c r="Q250" s="899"/>
      <c r="R250" s="899"/>
      <c r="S250" s="899"/>
      <c r="T250" s="899"/>
      <c r="U250" s="899"/>
      <c r="V250" s="39"/>
      <c r="W250" s="39"/>
      <c r="X250" s="39"/>
      <c r="Y250" s="12"/>
      <c r="Z250" s="453"/>
      <c r="AA250" s="453"/>
      <c r="AB250" s="1394"/>
      <c r="AC250" s="1002"/>
      <c r="AD250" s="1436"/>
      <c r="AE250" s="1436"/>
      <c r="AF250" s="1436"/>
      <c r="AG250" s="1436"/>
      <c r="AH250" s="1436"/>
      <c r="AI250" s="1436"/>
      <c r="AJ250" s="1436"/>
      <c r="AK250" s="1436"/>
      <c r="AL250" s="1436"/>
      <c r="AM250" s="1436"/>
      <c r="AN250" s="1436"/>
      <c r="AO250" s="1436"/>
      <c r="AP250" s="1436"/>
      <c r="AQ250" s="1436"/>
      <c r="AR250" s="1436"/>
      <c r="AS250" s="1394"/>
      <c r="AT250" s="1002"/>
      <c r="AU250" s="12"/>
      <c r="AV250" s="12"/>
      <c r="AW250" s="12"/>
      <c r="AX250" s="12"/>
      <c r="AY250" s="12"/>
      <c r="AZ250" s="12"/>
      <c r="BA250" s="12"/>
      <c r="BB250" s="12"/>
      <c r="BC250" s="12"/>
      <c r="BD250" s="12"/>
      <c r="BE250" s="12"/>
      <c r="BF250" s="12"/>
      <c r="BG250" s="12"/>
      <c r="BH250" s="12"/>
      <c r="BI250" s="13"/>
    </row>
    <row r="251" spans="1:61" s="211" customFormat="1">
      <c r="A251" s="212" t="s">
        <v>493</v>
      </c>
      <c r="B251" s="1092"/>
      <c r="C251" s="1092"/>
      <c r="D251" s="1092"/>
      <c r="E251" s="210"/>
      <c r="F251" s="43"/>
      <c r="G251" s="911"/>
      <c r="H251" s="911"/>
      <c r="I251" s="911"/>
      <c r="J251" s="911"/>
      <c r="K251" s="911"/>
      <c r="L251" s="911"/>
      <c r="M251" s="911"/>
      <c r="N251" s="911" t="s">
        <v>1391</v>
      </c>
      <c r="O251" s="44"/>
      <c r="P251" s="899"/>
      <c r="Q251" s="899"/>
      <c r="R251" s="899"/>
      <c r="S251" s="899"/>
      <c r="T251" s="899"/>
      <c r="U251" s="899"/>
      <c r="V251" s="39"/>
      <c r="W251" s="39"/>
      <c r="X251" s="39"/>
      <c r="Y251" s="12"/>
      <c r="Z251" s="453"/>
      <c r="AA251" s="453"/>
      <c r="AB251" s="1394"/>
      <c r="AC251" s="1002"/>
      <c r="AD251" s="1436"/>
      <c r="AE251" s="1436"/>
      <c r="AF251" s="1436"/>
      <c r="AG251" s="1436"/>
      <c r="AH251" s="1436"/>
      <c r="AI251" s="1436"/>
      <c r="AJ251" s="1436"/>
      <c r="AK251" s="1436"/>
      <c r="AL251" s="1436"/>
      <c r="AM251" s="1436"/>
      <c r="AN251" s="1436"/>
      <c r="AO251" s="1436"/>
      <c r="AP251" s="1436"/>
      <c r="AQ251" s="1436"/>
      <c r="AR251" s="1436"/>
      <c r="AS251" s="1394"/>
      <c r="AT251" s="1002"/>
      <c r="AU251" s="12"/>
      <c r="AV251" s="12"/>
      <c r="AW251" s="12"/>
      <c r="AX251" s="12"/>
      <c r="AY251" s="12"/>
      <c r="AZ251" s="12"/>
      <c r="BA251" s="12"/>
      <c r="BB251" s="12"/>
      <c r="BC251" s="12"/>
      <c r="BD251" s="12"/>
      <c r="BE251" s="12"/>
      <c r="BF251" s="12"/>
      <c r="BG251" s="12"/>
      <c r="BH251" s="12"/>
      <c r="BI251" s="13"/>
    </row>
    <row r="252" spans="1:61" s="211" customFormat="1">
      <c r="A252" s="212" t="s">
        <v>493</v>
      </c>
      <c r="B252" s="1092"/>
      <c r="C252" s="1092"/>
      <c r="D252" s="1092"/>
      <c r="E252" s="210"/>
      <c r="F252" s="22" t="s">
        <v>1520</v>
      </c>
      <c r="G252" s="59">
        <f>G249/$J$275</f>
        <v>0</v>
      </c>
      <c r="H252" s="59">
        <f>H249/$J$275</f>
        <v>0</v>
      </c>
      <c r="I252" s="59"/>
      <c r="J252" s="115">
        <f>J249/$J$275</f>
        <v>0</v>
      </c>
      <c r="K252" s="115">
        <f>K249/$J$275</f>
        <v>0</v>
      </c>
      <c r="L252" s="115"/>
      <c r="M252" s="115">
        <f>M249/$J$275</f>
        <v>0</v>
      </c>
      <c r="N252" s="911"/>
      <c r="O252" s="44"/>
      <c r="P252" s="899"/>
      <c r="Q252" s="899"/>
      <c r="R252" s="899"/>
      <c r="S252" s="899"/>
      <c r="T252" s="899"/>
      <c r="U252" s="899"/>
      <c r="V252" s="39"/>
      <c r="W252" s="39"/>
      <c r="X252" s="39"/>
      <c r="Y252" s="12"/>
      <c r="Z252" s="453"/>
      <c r="AA252" s="453"/>
      <c r="AB252" s="1394"/>
      <c r="AC252" s="1002"/>
      <c r="AD252" s="1436"/>
      <c r="AE252" s="1436"/>
      <c r="AF252" s="1436"/>
      <c r="AG252" s="1436"/>
      <c r="AH252" s="1436"/>
      <c r="AI252" s="1436"/>
      <c r="AJ252" s="1436"/>
      <c r="AK252" s="1436"/>
      <c r="AL252" s="1436"/>
      <c r="AM252" s="1436"/>
      <c r="AN252" s="1436"/>
      <c r="AO252" s="1436"/>
      <c r="AP252" s="1436"/>
      <c r="AQ252" s="1436"/>
      <c r="AR252" s="1436"/>
      <c r="AS252" s="1394"/>
      <c r="AT252" s="1002"/>
      <c r="AU252" s="12"/>
      <c r="AV252" s="12"/>
      <c r="AW252" s="12"/>
      <c r="AX252" s="12"/>
      <c r="AY252" s="12"/>
      <c r="AZ252" s="12"/>
      <c r="BA252" s="12"/>
      <c r="BB252" s="12"/>
      <c r="BC252" s="12"/>
      <c r="BD252" s="12"/>
      <c r="BE252" s="12"/>
      <c r="BF252" s="12"/>
      <c r="BG252" s="12"/>
      <c r="BH252" s="12"/>
      <c r="BI252" s="13"/>
    </row>
    <row r="253" spans="1:61" s="211" customFormat="1">
      <c r="A253" s="212" t="s">
        <v>493</v>
      </c>
      <c r="B253" s="1092"/>
      <c r="C253" s="1092"/>
      <c r="D253" s="1092"/>
      <c r="E253" s="210"/>
      <c r="F253" s="22" t="s">
        <v>1652</v>
      </c>
      <c r="G253" s="115">
        <f>G$252*G227</f>
        <v>0</v>
      </c>
      <c r="H253" s="115">
        <f>H$252*H227</f>
        <v>0</v>
      </c>
      <c r="I253" s="115"/>
      <c r="J253" s="115">
        <f>J$252*J227</f>
        <v>0</v>
      </c>
      <c r="K253" s="115">
        <f>K$252*K227</f>
        <v>0</v>
      </c>
      <c r="L253" s="115"/>
      <c r="M253" s="115">
        <f>M$252*M227</f>
        <v>0</v>
      </c>
      <c r="N253" s="918">
        <f>SUM(G253:M253)</f>
        <v>0</v>
      </c>
      <c r="O253" s="44"/>
      <c r="P253" s="899"/>
      <c r="Q253" s="899"/>
      <c r="R253" s="899"/>
      <c r="S253" s="899"/>
      <c r="T253" s="899"/>
      <c r="U253" s="899"/>
      <c r="V253" s="39"/>
      <c r="W253" s="39"/>
      <c r="X253" s="39"/>
      <c r="Y253" s="12"/>
      <c r="Z253" s="453"/>
      <c r="AA253" s="453"/>
      <c r="AB253" s="1394"/>
      <c r="AC253" s="1002"/>
      <c r="AD253" s="1436"/>
      <c r="AE253" s="1436"/>
      <c r="AF253" s="1436"/>
      <c r="AG253" s="1436"/>
      <c r="AH253" s="1436"/>
      <c r="AI253" s="1436"/>
      <c r="AJ253" s="1436"/>
      <c r="AK253" s="1436"/>
      <c r="AL253" s="1436"/>
      <c r="AM253" s="1436"/>
      <c r="AN253" s="1436"/>
      <c r="AO253" s="1436"/>
      <c r="AP253" s="1436"/>
      <c r="AQ253" s="1436"/>
      <c r="AR253" s="1436"/>
      <c r="AS253" s="1394"/>
      <c r="AT253" s="1002"/>
      <c r="AU253" s="1421" t="s">
        <v>1621</v>
      </c>
      <c r="AV253" s="12"/>
      <c r="AW253" s="12"/>
      <c r="AX253" s="12"/>
      <c r="AY253" s="12"/>
      <c r="AZ253" s="12"/>
      <c r="BA253" s="12"/>
      <c r="BB253" s="12"/>
      <c r="BC253" s="12"/>
      <c r="BD253" s="12"/>
      <c r="BE253" s="12"/>
      <c r="BF253" s="12"/>
      <c r="BG253" s="12"/>
      <c r="BH253" s="12"/>
      <c r="BI253" s="13"/>
    </row>
    <row r="254" spans="1:61" s="211" customFormat="1">
      <c r="A254" s="212" t="s">
        <v>493</v>
      </c>
      <c r="B254" s="1092"/>
      <c r="C254" s="1092"/>
      <c r="D254" s="1092"/>
      <c r="E254" s="210"/>
      <c r="F254" s="22" t="s">
        <v>1653</v>
      </c>
      <c r="G254" s="115">
        <f>G$252*G229</f>
        <v>0</v>
      </c>
      <c r="H254" s="115">
        <f>H$252*H229</f>
        <v>0</v>
      </c>
      <c r="I254" s="115"/>
      <c r="J254" s="115">
        <f>J$252*J229</f>
        <v>0</v>
      </c>
      <c r="K254" s="115">
        <f>K$252*K229</f>
        <v>0</v>
      </c>
      <c r="L254" s="115"/>
      <c r="M254" s="115">
        <f>M$252*M229</f>
        <v>0</v>
      </c>
      <c r="N254" s="918">
        <f>SUM(G254:M254)</f>
        <v>0</v>
      </c>
      <c r="O254" s="44"/>
      <c r="P254" s="899"/>
      <c r="Q254" s="899"/>
      <c r="R254" s="899"/>
      <c r="S254" s="899"/>
      <c r="T254" s="899"/>
      <c r="U254" s="899"/>
      <c r="V254" s="39"/>
      <c r="W254" s="39"/>
      <c r="X254" s="39"/>
      <c r="Y254" s="12"/>
      <c r="Z254" s="453"/>
      <c r="AA254" s="453"/>
      <c r="AB254" s="1394"/>
      <c r="AC254" s="1002"/>
      <c r="AD254" s="1436"/>
      <c r="AE254" s="1436"/>
      <c r="AF254" s="1436"/>
      <c r="AG254" s="1436"/>
      <c r="AH254" s="1436"/>
      <c r="AI254" s="1436"/>
      <c r="AJ254" s="1436"/>
      <c r="AK254" s="1436"/>
      <c r="AL254" s="1436"/>
      <c r="AM254" s="1436"/>
      <c r="AN254" s="1436"/>
      <c r="AO254" s="1436"/>
      <c r="AP254" s="1436"/>
      <c r="AQ254" s="1436"/>
      <c r="AR254" s="1436"/>
      <c r="AS254" s="1394"/>
      <c r="AT254" s="1002"/>
      <c r="AU254" s="1422" t="s">
        <v>1654</v>
      </c>
      <c r="AV254" s="12"/>
      <c r="AW254" s="12"/>
      <c r="AX254" s="12"/>
      <c r="AY254" s="12"/>
      <c r="AZ254" s="12"/>
      <c r="BA254" s="12"/>
      <c r="BB254" s="12"/>
      <c r="BC254" s="12"/>
      <c r="BD254" s="12"/>
      <c r="BE254" s="12"/>
      <c r="BF254" s="12"/>
      <c r="BG254" s="12"/>
      <c r="BH254" s="12"/>
      <c r="BI254" s="13"/>
    </row>
    <row r="255" spans="1:61" s="211" customFormat="1">
      <c r="A255" s="212" t="s">
        <v>493</v>
      </c>
      <c r="B255" s="1092"/>
      <c r="C255" s="1092"/>
      <c r="D255" s="1092"/>
      <c r="E255" s="210"/>
      <c r="F255" s="911"/>
      <c r="G255" s="911"/>
      <c r="H255" s="911"/>
      <c r="I255" s="911"/>
      <c r="J255" s="911"/>
      <c r="K255" s="911"/>
      <c r="L255" s="911"/>
      <c r="M255" s="911"/>
      <c r="N255" s="911"/>
      <c r="O255" s="44"/>
      <c r="P255" s="899"/>
      <c r="Q255" s="899"/>
      <c r="R255" s="899"/>
      <c r="S255" s="899"/>
      <c r="T255" s="899"/>
      <c r="U255" s="899"/>
      <c r="V255" s="39"/>
      <c r="W255" s="39"/>
      <c r="X255" s="39"/>
      <c r="Y255" s="12"/>
      <c r="Z255" s="453"/>
      <c r="AA255" s="453"/>
      <c r="AB255" s="1394"/>
      <c r="AC255" s="1002"/>
      <c r="AD255" s="1436"/>
      <c r="AE255" s="1436"/>
      <c r="AF255" s="1436"/>
      <c r="AG255" s="1436"/>
      <c r="AH255" s="1436"/>
      <c r="AI255" s="1436"/>
      <c r="AJ255" s="1436"/>
      <c r="AK255" s="1436"/>
      <c r="AL255" s="1436"/>
      <c r="AM255" s="1436"/>
      <c r="AN255" s="1436"/>
      <c r="AO255" s="1436"/>
      <c r="AP255" s="1436"/>
      <c r="AQ255" s="1436"/>
      <c r="AR255" s="1436"/>
      <c r="AS255" s="1394"/>
      <c r="AT255" s="1002"/>
      <c r="AU255" s="12"/>
      <c r="AV255" s="12"/>
      <c r="AW255" s="12"/>
      <c r="AX255" s="12"/>
      <c r="AY255" s="12"/>
      <c r="AZ255" s="12"/>
      <c r="BA255" s="12"/>
      <c r="BB255" s="12"/>
      <c r="BC255" s="12"/>
      <c r="BD255" s="12"/>
      <c r="BE255" s="12"/>
      <c r="BF255" s="12"/>
      <c r="BG255" s="12"/>
      <c r="BH255" s="12"/>
      <c r="BI255" s="13"/>
    </row>
    <row r="256" spans="1:61">
      <c r="A256" s="86"/>
      <c r="B256" s="943"/>
      <c r="C256" s="943"/>
      <c r="D256" s="943"/>
      <c r="E256" s="14"/>
      <c r="F256" s="22" t="s">
        <v>297</v>
      </c>
      <c r="G256" s="214" t="str">
        <f>IFERROR(FIXED(ROUND(G236/G$231,G$232),G$232),"")</f>
        <v/>
      </c>
      <c r="H256" s="214" t="str">
        <f t="shared" ref="H256:M256" si="120">IFERROR(FIXED(ROUND(H236/H$231,H$232),H$232),"")</f>
        <v/>
      </c>
      <c r="I256" s="214" t="str">
        <f t="shared" si="120"/>
        <v/>
      </c>
      <c r="J256" s="214" t="str">
        <f t="shared" si="120"/>
        <v/>
      </c>
      <c r="K256" s="214" t="str">
        <f t="shared" si="120"/>
        <v/>
      </c>
      <c r="L256" s="214" t="str">
        <f t="shared" si="120"/>
        <v/>
      </c>
      <c r="M256" s="214" t="str">
        <f t="shared" si="120"/>
        <v/>
      </c>
      <c r="N256" s="142" t="str">
        <f t="shared" ref="N256:N267" si="121">IF(M44&gt;0,M44/$M$58*$J$275,"")</f>
        <v/>
      </c>
      <c r="O256" s="44"/>
      <c r="P256" s="899"/>
      <c r="Q256" s="899"/>
      <c r="R256" s="899"/>
      <c r="S256" s="899"/>
      <c r="T256" s="899"/>
      <c r="U256" s="899"/>
      <c r="V256" s="39"/>
      <c r="W256" s="39"/>
      <c r="X256" s="39"/>
      <c r="Y256" s="12"/>
      <c r="Z256" s="453"/>
      <c r="AA256" s="453"/>
      <c r="AB256" s="67"/>
      <c r="AC256" s="995"/>
      <c r="AD256" s="891"/>
      <c r="AE256" s="22" t="str">
        <f>F256</f>
        <v>woning</v>
      </c>
      <c r="AF256" s="22"/>
      <c r="AG256" s="1445" t="str">
        <f t="shared" ref="AG256:AG267" si="122">IF($N256&lt;&gt;"",F372,"")</f>
        <v/>
      </c>
      <c r="AH256" s="1449" t="str">
        <f t="shared" ref="AH256:AH267" si="123">IF($N256&lt;&gt;"",G372,"")</f>
        <v/>
      </c>
      <c r="AI256" s="1415"/>
      <c r="AJ256" s="1445" t="str">
        <f t="shared" ref="AJ256:AJ267" si="124">IFERROR(SUMPRODUCT($G$229:$M$229,$G236:$M236)/N256,"")</f>
        <v/>
      </c>
      <c r="AK256" s="1442" t="str">
        <f t="shared" ref="AK256:AK267" si="125">IFERROR(IF(N256&lt;&gt;"",$M$273,""),"")</f>
        <v/>
      </c>
      <c r="AL256" s="1449" t="str">
        <f t="shared" ref="AL256:AL267" si="126">IF(N256&lt;&gt;"",SUM(AJ256,AK256),"")</f>
        <v/>
      </c>
      <c r="AM256" s="1420"/>
      <c r="AN256" s="1445" t="str">
        <f t="shared" ref="AN256:AN267" si="127">IF($N256&lt;&gt;"",N391,"")</f>
        <v/>
      </c>
      <c r="AO256" s="1442" t="str">
        <f t="shared" ref="AO256:AO267" si="128">IF(N256&lt;&gt;"",$J$272,"")</f>
        <v/>
      </c>
      <c r="AP256" s="1442" t="str">
        <f t="shared" ref="AP256:AP267" si="129">IF($N256&lt;&gt;"",SUM(AN256,AO256),"")</f>
        <v/>
      </c>
      <c r="AQ256" s="1420"/>
      <c r="AR256" s="1450" t="str">
        <f t="shared" ref="AR256:AR267" si="130">IF($N256&lt;&gt;"",W391,"")</f>
        <v/>
      </c>
      <c r="AS256" s="67"/>
      <c r="AT256" s="995"/>
      <c r="AU256" s="12"/>
      <c r="AV256" s="12"/>
      <c r="AW256" s="12"/>
      <c r="AX256" s="12"/>
      <c r="AY256" s="12"/>
      <c r="AZ256" s="12"/>
      <c r="BA256" s="12"/>
      <c r="BB256" s="12"/>
      <c r="BC256" s="12"/>
      <c r="BD256" s="12"/>
      <c r="BE256" s="12"/>
      <c r="BF256" s="12"/>
      <c r="BG256" s="12"/>
      <c r="BH256" s="12"/>
      <c r="BI256" s="13"/>
    </row>
    <row r="257" spans="1:61">
      <c r="A257" s="86"/>
      <c r="B257" s="943"/>
      <c r="C257" s="943"/>
      <c r="D257" s="943"/>
      <c r="E257" s="14"/>
      <c r="F257" s="22" t="s">
        <v>298</v>
      </c>
      <c r="G257" s="214" t="str">
        <f t="shared" ref="G257:M257" si="131">IFERROR(FIXED(ROUND(G237/G$231,G$232),G$232),"")</f>
        <v/>
      </c>
      <c r="H257" s="214" t="str">
        <f t="shared" si="131"/>
        <v/>
      </c>
      <c r="I257" s="214" t="str">
        <f t="shared" si="131"/>
        <v/>
      </c>
      <c r="J257" s="214" t="str">
        <f t="shared" si="131"/>
        <v/>
      </c>
      <c r="K257" s="214" t="str">
        <f t="shared" si="131"/>
        <v/>
      </c>
      <c r="L257" s="214" t="str">
        <f t="shared" si="131"/>
        <v/>
      </c>
      <c r="M257" s="214" t="str">
        <f t="shared" si="131"/>
        <v/>
      </c>
      <c r="N257" s="142" t="str">
        <f t="shared" si="121"/>
        <v/>
      </c>
      <c r="O257" s="44"/>
      <c r="P257" s="899"/>
      <c r="Q257" s="899"/>
      <c r="R257" s="899"/>
      <c r="S257" s="899"/>
      <c r="T257" s="899"/>
      <c r="U257" s="899"/>
      <c r="V257" s="39"/>
      <c r="W257" s="39"/>
      <c r="X257" s="39"/>
      <c r="Y257" s="12"/>
      <c r="Z257" s="453"/>
      <c r="AA257" s="453"/>
      <c r="AB257" s="67"/>
      <c r="AC257" s="995"/>
      <c r="AD257" s="1434"/>
      <c r="AE257" s="22" t="str">
        <f t="shared" ref="AE257:AE267" si="132">F257</f>
        <v>woongebouw</v>
      </c>
      <c r="AF257" s="22"/>
      <c r="AG257" s="1445" t="str">
        <f t="shared" si="122"/>
        <v/>
      </c>
      <c r="AH257" s="1449" t="str">
        <f t="shared" si="123"/>
        <v/>
      </c>
      <c r="AI257" s="1415"/>
      <c r="AJ257" s="1445" t="str">
        <f t="shared" si="124"/>
        <v/>
      </c>
      <c r="AK257" s="1442" t="str">
        <f t="shared" si="125"/>
        <v/>
      </c>
      <c r="AL257" s="1449" t="str">
        <f t="shared" si="126"/>
        <v/>
      </c>
      <c r="AM257" s="1420"/>
      <c r="AN257" s="1445" t="str">
        <f t="shared" si="127"/>
        <v/>
      </c>
      <c r="AO257" s="1442" t="str">
        <f t="shared" si="128"/>
        <v/>
      </c>
      <c r="AP257" s="1442" t="str">
        <f t="shared" si="129"/>
        <v/>
      </c>
      <c r="AQ257" s="1420"/>
      <c r="AR257" s="1450" t="str">
        <f t="shared" si="130"/>
        <v/>
      </c>
      <c r="AS257" s="67"/>
      <c r="AT257" s="995"/>
      <c r="AU257" s="12"/>
      <c r="AV257" s="12"/>
      <c r="AW257" s="12"/>
      <c r="AX257" s="12"/>
      <c r="AY257" s="12"/>
      <c r="AZ257" s="12"/>
      <c r="BA257" s="12"/>
      <c r="BB257" s="12"/>
      <c r="BC257" s="12"/>
      <c r="BD257" s="12"/>
      <c r="BE257" s="12"/>
      <c r="BF257" s="12"/>
      <c r="BG257" s="12"/>
      <c r="BH257" s="12"/>
      <c r="BI257" s="13"/>
    </row>
    <row r="258" spans="1:61">
      <c r="A258" s="86"/>
      <c r="B258" s="943"/>
      <c r="C258" s="943"/>
      <c r="D258" s="943"/>
      <c r="E258" s="14"/>
      <c r="F258" s="22" t="s">
        <v>303</v>
      </c>
      <c r="G258" s="214" t="str">
        <f t="shared" ref="G258:M258" si="133">IFERROR(FIXED(ROUND(G238/G$231,G$232),G$232),"")</f>
        <v>0</v>
      </c>
      <c r="H258" s="214" t="str">
        <f t="shared" si="133"/>
        <v>0</v>
      </c>
      <c r="I258" s="214" t="str">
        <f t="shared" si="133"/>
        <v/>
      </c>
      <c r="J258" s="214" t="str">
        <f t="shared" si="133"/>
        <v>0</v>
      </c>
      <c r="K258" s="214" t="str">
        <f t="shared" si="133"/>
        <v>0.0</v>
      </c>
      <c r="L258" s="214" t="str">
        <f t="shared" si="133"/>
        <v/>
      </c>
      <c r="M258" s="214" t="str">
        <f t="shared" si="133"/>
        <v>0</v>
      </c>
      <c r="N258" s="142">
        <f t="shared" si="121"/>
        <v>0.33333333333333331</v>
      </c>
      <c r="O258" s="44"/>
      <c r="P258" s="899"/>
      <c r="Q258" s="899"/>
      <c r="R258" s="899"/>
      <c r="S258" s="899"/>
      <c r="T258" s="899"/>
      <c r="U258" s="899"/>
      <c r="V258" s="39"/>
      <c r="W258" s="39"/>
      <c r="X258" s="39"/>
      <c r="Y258" s="12"/>
      <c r="Z258" s="453"/>
      <c r="AA258" s="453"/>
      <c r="AB258" s="67"/>
      <c r="AC258" s="995"/>
      <c r="AD258" s="1429"/>
      <c r="AE258" s="22" t="str">
        <f t="shared" si="132"/>
        <v>kantoor</v>
      </c>
      <c r="AF258" s="22"/>
      <c r="AG258" s="1445">
        <f t="shared" si="122"/>
        <v>3.4181135498615678</v>
      </c>
      <c r="AH258" s="1449">
        <f t="shared" si="123"/>
        <v>-0.5305607399933423</v>
      </c>
      <c r="AI258" s="1415"/>
      <c r="AJ258" s="1445">
        <f t="shared" si="124"/>
        <v>0</v>
      </c>
      <c r="AK258" s="1442">
        <f t="shared" si="125"/>
        <v>0</v>
      </c>
      <c r="AL258" s="1449">
        <f t="shared" si="126"/>
        <v>0</v>
      </c>
      <c r="AM258" s="1420"/>
      <c r="AN258" s="1445">
        <f t="shared" si="127"/>
        <v>-0.49430675734585661</v>
      </c>
      <c r="AO258" s="1442">
        <f t="shared" si="128"/>
        <v>0</v>
      </c>
      <c r="AP258" s="1442">
        <f t="shared" si="129"/>
        <v>-0.49430675734585661</v>
      </c>
      <c r="AQ258" s="1420"/>
      <c r="AR258" s="1450">
        <f t="shared" si="130"/>
        <v>9.3366580783613315</v>
      </c>
      <c r="AS258" s="67"/>
      <c r="AT258" s="995"/>
      <c r="AU258" s="12"/>
      <c r="AV258" s="12"/>
      <c r="AW258" s="12"/>
      <c r="AX258" s="12"/>
      <c r="AY258" s="12"/>
      <c r="AZ258" s="12"/>
      <c r="BA258" s="12"/>
      <c r="BB258" s="12"/>
      <c r="BC258" s="12"/>
      <c r="BD258" s="12"/>
      <c r="BE258" s="12"/>
      <c r="BF258" s="12"/>
      <c r="BG258" s="12"/>
      <c r="BH258" s="12"/>
      <c r="BI258" s="13"/>
    </row>
    <row r="259" spans="1:61">
      <c r="A259" s="86"/>
      <c r="B259" s="943"/>
      <c r="C259" s="943"/>
      <c r="D259" s="943"/>
      <c r="E259" s="14"/>
      <c r="F259" s="22" t="s">
        <v>299</v>
      </c>
      <c r="G259" s="214" t="str">
        <f t="shared" ref="G259:M259" si="134">IFERROR(FIXED(ROUND(G239/G$231,G$232),G$232),"")</f>
        <v>0</v>
      </c>
      <c r="H259" s="214" t="str">
        <f t="shared" si="134"/>
        <v>0</v>
      </c>
      <c r="I259" s="214" t="str">
        <f t="shared" si="134"/>
        <v/>
      </c>
      <c r="J259" s="214" t="str">
        <f t="shared" si="134"/>
        <v>0</v>
      </c>
      <c r="K259" s="214" t="str">
        <f t="shared" si="134"/>
        <v>0.0</v>
      </c>
      <c r="L259" s="214" t="str">
        <f t="shared" si="134"/>
        <v/>
      </c>
      <c r="M259" s="214" t="str">
        <f t="shared" si="134"/>
        <v>0</v>
      </c>
      <c r="N259" s="142">
        <f t="shared" si="121"/>
        <v>0.33333333333333331</v>
      </c>
      <c r="O259" s="44"/>
      <c r="P259" s="899"/>
      <c r="Q259" s="899"/>
      <c r="R259" s="899"/>
      <c r="S259" s="899"/>
      <c r="T259" s="899"/>
      <c r="U259" s="899"/>
      <c r="V259" s="39"/>
      <c r="W259" s="39"/>
      <c r="X259" s="39"/>
      <c r="Y259" s="12"/>
      <c r="Z259" s="453"/>
      <c r="AA259" s="453"/>
      <c r="AB259" s="67"/>
      <c r="AC259" s="995"/>
      <c r="AD259" s="891"/>
      <c r="AE259" s="22" t="str">
        <f t="shared" si="132"/>
        <v>bijeenkomst overig</v>
      </c>
      <c r="AF259" s="22"/>
      <c r="AG259" s="1445">
        <f t="shared" si="122"/>
        <v>4.496642433386441</v>
      </c>
      <c r="AH259" s="1449">
        <f t="shared" si="123"/>
        <v>0.18902985498063157</v>
      </c>
      <c r="AI259" s="1415"/>
      <c r="AJ259" s="1445">
        <f t="shared" si="124"/>
        <v>0</v>
      </c>
      <c r="AK259" s="1442">
        <f t="shared" si="125"/>
        <v>0</v>
      </c>
      <c r="AL259" s="1449">
        <f t="shared" si="126"/>
        <v>0</v>
      </c>
      <c r="AM259" s="1420"/>
      <c r="AN259" s="1445">
        <f t="shared" si="127"/>
        <v>0.22857935949936295</v>
      </c>
      <c r="AO259" s="1442">
        <f t="shared" si="128"/>
        <v>0</v>
      </c>
      <c r="AP259" s="1442">
        <f t="shared" si="129"/>
        <v>0.22857935949936295</v>
      </c>
      <c r="AQ259" s="1420"/>
      <c r="AR259" s="1450">
        <f t="shared" si="130"/>
        <v>10.226695655633833</v>
      </c>
      <c r="AS259" s="67"/>
      <c r="AT259" s="995"/>
      <c r="AU259" s="12"/>
      <c r="AV259" s="12"/>
      <c r="AW259" s="12"/>
      <c r="AX259" s="12"/>
      <c r="AY259" s="12"/>
      <c r="AZ259" s="12"/>
      <c r="BA259" s="12"/>
      <c r="BB259" s="12"/>
      <c r="BC259" s="12"/>
      <c r="BD259" s="12"/>
      <c r="BE259" s="12"/>
      <c r="BF259" s="12"/>
      <c r="BG259" s="12"/>
      <c r="BH259" s="12"/>
      <c r="BI259" s="13"/>
    </row>
    <row r="260" spans="1:61">
      <c r="A260" s="86"/>
      <c r="B260" s="943"/>
      <c r="C260" s="943"/>
      <c r="D260" s="943"/>
      <c r="E260" s="14"/>
      <c r="F260" s="22" t="s">
        <v>422</v>
      </c>
      <c r="G260" s="214" t="str">
        <f t="shared" ref="G260:M260" si="135">IFERROR(FIXED(ROUND(G240/G$231,G$232),G$232),"")</f>
        <v>0</v>
      </c>
      <c r="H260" s="214" t="str">
        <f t="shared" si="135"/>
        <v>0</v>
      </c>
      <c r="I260" s="214" t="str">
        <f t="shared" si="135"/>
        <v/>
      </c>
      <c r="J260" s="214" t="str">
        <f t="shared" si="135"/>
        <v>0</v>
      </c>
      <c r="K260" s="214" t="str">
        <f t="shared" si="135"/>
        <v>0.0</v>
      </c>
      <c r="L260" s="214" t="str">
        <f t="shared" si="135"/>
        <v/>
      </c>
      <c r="M260" s="214" t="str">
        <f t="shared" si="135"/>
        <v>0</v>
      </c>
      <c r="N260" s="142">
        <f t="shared" si="121"/>
        <v>0.33333333333333331</v>
      </c>
      <c r="O260" s="44"/>
      <c r="P260" s="899"/>
      <c r="Q260" s="899"/>
      <c r="R260" s="899"/>
      <c r="S260" s="899"/>
      <c r="T260" s="899"/>
      <c r="U260" s="899"/>
      <c r="V260" s="39"/>
      <c r="W260" s="39"/>
      <c r="X260" s="39"/>
      <c r="Y260" s="12"/>
      <c r="Z260" s="453"/>
      <c r="AA260" s="453"/>
      <c r="AB260" s="67"/>
      <c r="AC260" s="995"/>
      <c r="AD260" s="891"/>
      <c r="AE260" s="22" t="str">
        <f t="shared" si="132"/>
        <v>bijeenkomst kinderdagverblijf</v>
      </c>
      <c r="AF260" s="22"/>
      <c r="AG260" s="1445">
        <f t="shared" si="122"/>
        <v>4.9618935989874702</v>
      </c>
      <c r="AH260" s="1449">
        <f t="shared" si="123"/>
        <v>0.22221092604712483</v>
      </c>
      <c r="AI260" s="1415"/>
      <c r="AJ260" s="1445">
        <f t="shared" si="124"/>
        <v>0</v>
      </c>
      <c r="AK260" s="1442">
        <f t="shared" si="125"/>
        <v>0</v>
      </c>
      <c r="AL260" s="1449">
        <f t="shared" si="126"/>
        <v>0</v>
      </c>
      <c r="AM260" s="1420"/>
      <c r="AN260" s="1445">
        <f t="shared" si="127"/>
        <v>0.26572739784649463</v>
      </c>
      <c r="AO260" s="1442">
        <f t="shared" si="128"/>
        <v>0</v>
      </c>
      <c r="AP260" s="1442">
        <f t="shared" si="129"/>
        <v>0.26572739784649463</v>
      </c>
      <c r="AQ260" s="1420"/>
      <c r="AR260" s="1450">
        <f t="shared" si="130"/>
        <v>10.242381613607767</v>
      </c>
      <c r="AS260" s="67"/>
      <c r="AT260" s="995"/>
      <c r="AU260" s="12"/>
      <c r="AV260" s="12"/>
      <c r="AW260" s="12"/>
      <c r="AX260" s="12"/>
      <c r="AY260" s="12"/>
      <c r="AZ260" s="12"/>
      <c r="BA260" s="12"/>
      <c r="BB260" s="12"/>
      <c r="BC260" s="12"/>
      <c r="BD260" s="12"/>
      <c r="BE260" s="12"/>
      <c r="BF260" s="12"/>
      <c r="BG260" s="12"/>
      <c r="BH260" s="12"/>
      <c r="BI260" s="13"/>
    </row>
    <row r="261" spans="1:61">
      <c r="A261" s="86"/>
      <c r="B261" s="943"/>
      <c r="C261" s="943"/>
      <c r="D261" s="943"/>
      <c r="E261" s="14"/>
      <c r="F261" s="22" t="s">
        <v>305</v>
      </c>
      <c r="G261" s="214" t="str">
        <f t="shared" ref="G261:M261" si="136">IFERROR(FIXED(ROUND(G241/G$231,G$232),G$232),"")</f>
        <v/>
      </c>
      <c r="H261" s="214" t="str">
        <f t="shared" si="136"/>
        <v/>
      </c>
      <c r="I261" s="214" t="str">
        <f t="shared" si="136"/>
        <v/>
      </c>
      <c r="J261" s="214" t="str">
        <f t="shared" si="136"/>
        <v/>
      </c>
      <c r="K261" s="214" t="str">
        <f t="shared" si="136"/>
        <v/>
      </c>
      <c r="L261" s="214" t="str">
        <f t="shared" si="136"/>
        <v/>
      </c>
      <c r="M261" s="214" t="str">
        <f t="shared" si="136"/>
        <v/>
      </c>
      <c r="N261" s="142" t="str">
        <f t="shared" si="121"/>
        <v/>
      </c>
      <c r="O261" s="44"/>
      <c r="P261" s="899"/>
      <c r="Q261" s="899"/>
      <c r="R261" s="899"/>
      <c r="S261" s="899"/>
      <c r="T261" s="899"/>
      <c r="U261" s="899"/>
      <c r="V261" s="39"/>
      <c r="W261" s="39"/>
      <c r="X261" s="39"/>
      <c r="Y261" s="12"/>
      <c r="Z261" s="453"/>
      <c r="AA261" s="453"/>
      <c r="AB261" s="67"/>
      <c r="AC261" s="995"/>
      <c r="AD261" s="891"/>
      <c r="AE261" s="22" t="str">
        <f t="shared" si="132"/>
        <v>onderwijs</v>
      </c>
      <c r="AF261" s="22"/>
      <c r="AG261" s="1445" t="str">
        <f t="shared" si="122"/>
        <v/>
      </c>
      <c r="AH261" s="1449" t="str">
        <f t="shared" si="123"/>
        <v/>
      </c>
      <c r="AI261" s="1415"/>
      <c r="AJ261" s="1445" t="str">
        <f t="shared" si="124"/>
        <v/>
      </c>
      <c r="AK261" s="1442" t="str">
        <f t="shared" si="125"/>
        <v/>
      </c>
      <c r="AL261" s="1449" t="str">
        <f t="shared" si="126"/>
        <v/>
      </c>
      <c r="AM261" s="1420"/>
      <c r="AN261" s="1445" t="str">
        <f t="shared" si="127"/>
        <v/>
      </c>
      <c r="AO261" s="1442" t="str">
        <f t="shared" si="128"/>
        <v/>
      </c>
      <c r="AP261" s="1442" t="str">
        <f t="shared" si="129"/>
        <v/>
      </c>
      <c r="AQ261" s="1420"/>
      <c r="AR261" s="1450" t="str">
        <f t="shared" si="130"/>
        <v/>
      </c>
      <c r="AS261" s="67"/>
      <c r="AT261" s="995"/>
      <c r="AU261" s="12"/>
      <c r="AV261" s="12"/>
      <c r="AW261" s="12"/>
      <c r="AX261" s="12"/>
      <c r="AY261" s="12"/>
      <c r="AZ261" s="12"/>
      <c r="BA261" s="12"/>
      <c r="BB261" s="12"/>
      <c r="BC261" s="12"/>
      <c r="BD261" s="12"/>
      <c r="BE261" s="12"/>
      <c r="BF261" s="12"/>
      <c r="BG261" s="12"/>
      <c r="BH261" s="12"/>
      <c r="BI261" s="13"/>
    </row>
    <row r="262" spans="1:61">
      <c r="A262" s="86"/>
      <c r="B262" s="943"/>
      <c r="C262" s="943"/>
      <c r="D262" s="943"/>
      <c r="E262" s="14"/>
      <c r="F262" s="22" t="s">
        <v>302</v>
      </c>
      <c r="G262" s="214" t="str">
        <f t="shared" ref="G262:M262" si="137">IFERROR(FIXED(ROUND(G242/G$231,G$232),G$232),"")</f>
        <v/>
      </c>
      <c r="H262" s="214" t="str">
        <f t="shared" si="137"/>
        <v/>
      </c>
      <c r="I262" s="214" t="str">
        <f t="shared" si="137"/>
        <v/>
      </c>
      <c r="J262" s="214" t="str">
        <f t="shared" si="137"/>
        <v/>
      </c>
      <c r="K262" s="214" t="str">
        <f t="shared" si="137"/>
        <v/>
      </c>
      <c r="L262" s="214" t="str">
        <f t="shared" si="137"/>
        <v/>
      </c>
      <c r="M262" s="214" t="str">
        <f t="shared" si="137"/>
        <v/>
      </c>
      <c r="N262" s="142" t="str">
        <f t="shared" si="121"/>
        <v/>
      </c>
      <c r="O262" s="44"/>
      <c r="P262" s="899"/>
      <c r="Q262" s="899"/>
      <c r="R262" s="899"/>
      <c r="S262" s="899"/>
      <c r="T262" s="899"/>
      <c r="U262" s="899"/>
      <c r="V262" s="39"/>
      <c r="W262" s="39"/>
      <c r="X262" s="39"/>
      <c r="Y262" s="12"/>
      <c r="Z262" s="453"/>
      <c r="AA262" s="453"/>
      <c r="AB262" s="67"/>
      <c r="AC262" s="995"/>
      <c r="AD262" s="1429"/>
      <c r="AE262" s="22" t="str">
        <f t="shared" si="132"/>
        <v>gezondheid overig</v>
      </c>
      <c r="AF262" s="22"/>
      <c r="AG262" s="1445" t="str">
        <f t="shared" si="122"/>
        <v/>
      </c>
      <c r="AH262" s="1449" t="str">
        <f t="shared" si="123"/>
        <v/>
      </c>
      <c r="AI262" s="1415"/>
      <c r="AJ262" s="1445" t="str">
        <f t="shared" si="124"/>
        <v/>
      </c>
      <c r="AK262" s="1442" t="str">
        <f t="shared" si="125"/>
        <v/>
      </c>
      <c r="AL262" s="1449" t="str">
        <f t="shared" si="126"/>
        <v/>
      </c>
      <c r="AM262" s="1420"/>
      <c r="AN262" s="1445" t="str">
        <f t="shared" si="127"/>
        <v/>
      </c>
      <c r="AO262" s="1442" t="str">
        <f t="shared" si="128"/>
        <v/>
      </c>
      <c r="AP262" s="1442" t="str">
        <f t="shared" si="129"/>
        <v/>
      </c>
      <c r="AQ262" s="1420"/>
      <c r="AR262" s="1450" t="str">
        <f t="shared" si="130"/>
        <v/>
      </c>
      <c r="AS262" s="67"/>
      <c r="AT262" s="995"/>
      <c r="AU262" s="12"/>
      <c r="AV262" s="12"/>
      <c r="AW262" s="12"/>
      <c r="AX262" s="12"/>
      <c r="AY262" s="12"/>
      <c r="AZ262" s="12"/>
      <c r="BA262" s="12"/>
      <c r="BB262" s="12"/>
      <c r="BC262" s="12"/>
      <c r="BD262" s="12"/>
      <c r="BE262" s="12"/>
      <c r="BF262" s="12"/>
      <c r="BG262" s="12"/>
      <c r="BH262" s="12"/>
      <c r="BI262" s="13"/>
    </row>
    <row r="263" spans="1:61">
      <c r="A263" s="86"/>
      <c r="B263" s="943"/>
      <c r="C263" s="943"/>
      <c r="D263" s="943"/>
      <c r="E263" s="14"/>
      <c r="F263" s="22" t="s">
        <v>423</v>
      </c>
      <c r="G263" s="214" t="str">
        <f t="shared" ref="G263:M263" si="138">IFERROR(FIXED(ROUND(G243/G$231,G$232),G$232),"")</f>
        <v/>
      </c>
      <c r="H263" s="214" t="str">
        <f t="shared" si="138"/>
        <v/>
      </c>
      <c r="I263" s="214" t="str">
        <f t="shared" si="138"/>
        <v/>
      </c>
      <c r="J263" s="214" t="str">
        <f t="shared" si="138"/>
        <v/>
      </c>
      <c r="K263" s="214" t="str">
        <f t="shared" si="138"/>
        <v/>
      </c>
      <c r="L263" s="214" t="str">
        <f t="shared" si="138"/>
        <v/>
      </c>
      <c r="M263" s="214" t="str">
        <f t="shared" si="138"/>
        <v/>
      </c>
      <c r="N263" s="142" t="str">
        <f t="shared" si="121"/>
        <v/>
      </c>
      <c r="O263" s="44"/>
      <c r="P263" s="899"/>
      <c r="Q263" s="899"/>
      <c r="R263" s="899"/>
      <c r="S263" s="899"/>
      <c r="T263" s="899"/>
      <c r="U263" s="899"/>
      <c r="V263" s="39"/>
      <c r="W263" s="39"/>
      <c r="X263" s="39"/>
      <c r="Y263" s="12"/>
      <c r="Z263" s="453"/>
      <c r="AA263" s="453"/>
      <c r="AB263" s="67"/>
      <c r="AC263" s="995"/>
      <c r="AD263" s="891"/>
      <c r="AE263" s="22" t="str">
        <f t="shared" si="132"/>
        <v>gezondheid bedgebied</v>
      </c>
      <c r="AF263" s="22"/>
      <c r="AG263" s="1445" t="str">
        <f t="shared" si="122"/>
        <v/>
      </c>
      <c r="AH263" s="1449" t="str">
        <f t="shared" si="123"/>
        <v/>
      </c>
      <c r="AI263" s="1415"/>
      <c r="AJ263" s="1445" t="str">
        <f t="shared" si="124"/>
        <v/>
      </c>
      <c r="AK263" s="1442" t="str">
        <f t="shared" si="125"/>
        <v/>
      </c>
      <c r="AL263" s="1449" t="str">
        <f t="shared" si="126"/>
        <v/>
      </c>
      <c r="AM263" s="1420"/>
      <c r="AN263" s="1445" t="str">
        <f t="shared" si="127"/>
        <v/>
      </c>
      <c r="AO263" s="1442" t="str">
        <f t="shared" si="128"/>
        <v/>
      </c>
      <c r="AP263" s="1442" t="str">
        <f t="shared" si="129"/>
        <v/>
      </c>
      <c r="AQ263" s="1420"/>
      <c r="AR263" s="1450" t="str">
        <f t="shared" si="130"/>
        <v/>
      </c>
      <c r="AS263" s="67"/>
      <c r="AT263" s="995"/>
      <c r="AU263" s="12"/>
      <c r="AV263" s="12"/>
      <c r="AW263" s="12"/>
      <c r="AX263" s="12"/>
      <c r="AY263" s="12"/>
      <c r="AZ263" s="12"/>
      <c r="BA263" s="12"/>
      <c r="BB263" s="12"/>
      <c r="BC263" s="12"/>
      <c r="BD263" s="12"/>
      <c r="BE263" s="12"/>
      <c r="BF263" s="12"/>
      <c r="BG263" s="12"/>
      <c r="BH263" s="12"/>
      <c r="BI263" s="13"/>
    </row>
    <row r="264" spans="1:61">
      <c r="A264" s="86"/>
      <c r="B264" s="943"/>
      <c r="C264" s="943"/>
      <c r="D264" s="943"/>
      <c r="E264" s="14"/>
      <c r="F264" s="22" t="s">
        <v>307</v>
      </c>
      <c r="G264" s="214" t="str">
        <f t="shared" ref="G264:M264" si="139">IFERROR(FIXED(ROUND(G244/G$231,G$232),G$232),"")</f>
        <v/>
      </c>
      <c r="H264" s="214" t="str">
        <f t="shared" si="139"/>
        <v/>
      </c>
      <c r="I264" s="214" t="str">
        <f t="shared" si="139"/>
        <v/>
      </c>
      <c r="J264" s="214" t="str">
        <f t="shared" si="139"/>
        <v/>
      </c>
      <c r="K264" s="214" t="str">
        <f t="shared" si="139"/>
        <v/>
      </c>
      <c r="L264" s="214" t="str">
        <f t="shared" si="139"/>
        <v/>
      </c>
      <c r="M264" s="214" t="str">
        <f t="shared" si="139"/>
        <v/>
      </c>
      <c r="N264" s="142" t="str">
        <f t="shared" si="121"/>
        <v/>
      </c>
      <c r="O264" s="44"/>
      <c r="P264" s="899"/>
      <c r="Q264" s="899"/>
      <c r="R264" s="899"/>
      <c r="S264" s="899"/>
      <c r="T264" s="899"/>
      <c r="U264" s="899"/>
      <c r="V264" s="39"/>
      <c r="W264" s="39"/>
      <c r="X264" s="39"/>
      <c r="Y264" s="12"/>
      <c r="Z264" s="453"/>
      <c r="AA264" s="453"/>
      <c r="AB264" s="67"/>
      <c r="AC264" s="995"/>
      <c r="AD264" s="891"/>
      <c r="AE264" s="22" t="str">
        <f t="shared" si="132"/>
        <v>winkel</v>
      </c>
      <c r="AF264" s="22"/>
      <c r="AG264" s="1445" t="str">
        <f t="shared" si="122"/>
        <v/>
      </c>
      <c r="AH264" s="1449" t="str">
        <f t="shared" si="123"/>
        <v/>
      </c>
      <c r="AI264" s="1415"/>
      <c r="AJ264" s="1445" t="str">
        <f t="shared" si="124"/>
        <v/>
      </c>
      <c r="AK264" s="1442" t="str">
        <f t="shared" si="125"/>
        <v/>
      </c>
      <c r="AL264" s="1449" t="str">
        <f t="shared" si="126"/>
        <v/>
      </c>
      <c r="AM264" s="1420"/>
      <c r="AN264" s="1445" t="str">
        <f t="shared" si="127"/>
        <v/>
      </c>
      <c r="AO264" s="1442" t="str">
        <f t="shared" si="128"/>
        <v/>
      </c>
      <c r="AP264" s="1442" t="str">
        <f t="shared" si="129"/>
        <v/>
      </c>
      <c r="AQ264" s="1420"/>
      <c r="AR264" s="1450" t="str">
        <f t="shared" si="130"/>
        <v/>
      </c>
      <c r="AS264" s="67"/>
      <c r="AT264" s="995"/>
      <c r="AU264" s="12"/>
      <c r="AV264" s="12"/>
      <c r="AW264" s="12"/>
      <c r="AX264" s="12"/>
      <c r="AY264" s="12"/>
      <c r="AZ264" s="12"/>
      <c r="BA264" s="12"/>
      <c r="BB264" s="12"/>
      <c r="BC264" s="12"/>
      <c r="BD264" s="12"/>
      <c r="BE264" s="12"/>
      <c r="BF264" s="12"/>
      <c r="BG264" s="12"/>
      <c r="BH264" s="12"/>
      <c r="BI264" s="13"/>
    </row>
    <row r="265" spans="1:61">
      <c r="A265" s="86"/>
      <c r="B265" s="943"/>
      <c r="C265" s="943"/>
      <c r="D265" s="943"/>
      <c r="E265" s="14"/>
      <c r="F265" s="22" t="s">
        <v>306</v>
      </c>
      <c r="G265" s="214" t="str">
        <f t="shared" ref="G265:M265" si="140">IFERROR(FIXED(ROUND(G245/G$231,G$232),G$232),"")</f>
        <v/>
      </c>
      <c r="H265" s="214" t="str">
        <f t="shared" si="140"/>
        <v/>
      </c>
      <c r="I265" s="214" t="str">
        <f t="shared" si="140"/>
        <v/>
      </c>
      <c r="J265" s="214" t="str">
        <f t="shared" si="140"/>
        <v/>
      </c>
      <c r="K265" s="214" t="str">
        <f t="shared" si="140"/>
        <v/>
      </c>
      <c r="L265" s="214" t="str">
        <f t="shared" si="140"/>
        <v/>
      </c>
      <c r="M265" s="214" t="str">
        <f t="shared" si="140"/>
        <v/>
      </c>
      <c r="N265" s="142" t="str">
        <f t="shared" si="121"/>
        <v/>
      </c>
      <c r="O265" s="44"/>
      <c r="P265" s="899"/>
      <c r="Q265" s="899"/>
      <c r="R265" s="899"/>
      <c r="S265" s="899"/>
      <c r="T265" s="899"/>
      <c r="U265" s="899"/>
      <c r="V265" s="39"/>
      <c r="W265" s="39"/>
      <c r="X265" s="39"/>
      <c r="Y265" s="12"/>
      <c r="Z265" s="453"/>
      <c r="AA265" s="453"/>
      <c r="AB265" s="67"/>
      <c r="AC265" s="995"/>
      <c r="AD265" s="891"/>
      <c r="AE265" s="22" t="str">
        <f t="shared" si="132"/>
        <v>sport</v>
      </c>
      <c r="AF265" s="22"/>
      <c r="AG265" s="1445" t="str">
        <f t="shared" si="122"/>
        <v/>
      </c>
      <c r="AH265" s="1449" t="str">
        <f t="shared" si="123"/>
        <v/>
      </c>
      <c r="AI265" s="1415"/>
      <c r="AJ265" s="1445" t="str">
        <f t="shared" si="124"/>
        <v/>
      </c>
      <c r="AK265" s="1442" t="str">
        <f t="shared" si="125"/>
        <v/>
      </c>
      <c r="AL265" s="1449" t="str">
        <f t="shared" si="126"/>
        <v/>
      </c>
      <c r="AM265" s="1420"/>
      <c r="AN265" s="1445" t="str">
        <f t="shared" si="127"/>
        <v/>
      </c>
      <c r="AO265" s="1442" t="str">
        <f t="shared" si="128"/>
        <v/>
      </c>
      <c r="AP265" s="1442" t="str">
        <f t="shared" si="129"/>
        <v/>
      </c>
      <c r="AQ265" s="1420"/>
      <c r="AR265" s="1450" t="str">
        <f t="shared" si="130"/>
        <v/>
      </c>
      <c r="AS265" s="67"/>
      <c r="AT265" s="995"/>
      <c r="AU265" s="12"/>
      <c r="AV265" s="12"/>
      <c r="AW265" s="12"/>
      <c r="AX265" s="12"/>
      <c r="AY265" s="12"/>
      <c r="AZ265" s="12"/>
      <c r="BA265" s="12"/>
      <c r="BB265" s="12"/>
      <c r="BC265" s="12"/>
      <c r="BD265" s="12"/>
      <c r="BE265" s="12"/>
      <c r="BF265" s="12"/>
      <c r="BG265" s="12"/>
      <c r="BH265" s="12"/>
      <c r="BI265" s="13"/>
    </row>
    <row r="266" spans="1:61">
      <c r="A266" s="86"/>
      <c r="B266" s="943"/>
      <c r="C266" s="943"/>
      <c r="D266" s="943"/>
      <c r="E266" s="14"/>
      <c r="F266" s="22" t="s">
        <v>424</v>
      </c>
      <c r="G266" s="214" t="str">
        <f t="shared" ref="G266:M266" si="141">IFERROR(FIXED(ROUND(G246/G$231,G$232),G$232),"")</f>
        <v/>
      </c>
      <c r="H266" s="214" t="str">
        <f t="shared" si="141"/>
        <v/>
      </c>
      <c r="I266" s="214" t="str">
        <f t="shared" si="141"/>
        <v/>
      </c>
      <c r="J266" s="214" t="str">
        <f t="shared" si="141"/>
        <v/>
      </c>
      <c r="K266" s="214" t="str">
        <f t="shared" si="141"/>
        <v/>
      </c>
      <c r="L266" s="214" t="str">
        <f t="shared" si="141"/>
        <v/>
      </c>
      <c r="M266" s="214" t="str">
        <f t="shared" si="141"/>
        <v/>
      </c>
      <c r="N266" s="142" t="str">
        <f t="shared" si="121"/>
        <v/>
      </c>
      <c r="O266" s="44"/>
      <c r="P266" s="899"/>
      <c r="Q266" s="899"/>
      <c r="R266" s="899"/>
      <c r="S266" s="899"/>
      <c r="T266" s="899"/>
      <c r="U266" s="899"/>
      <c r="V266" s="39"/>
      <c r="W266" s="39"/>
      <c r="X266" s="39"/>
      <c r="Y266" s="12"/>
      <c r="Z266" s="453"/>
      <c r="AA266" s="453"/>
      <c r="AB266" s="67"/>
      <c r="AC266" s="995"/>
      <c r="AD266" s="1429"/>
      <c r="AE266" s="22" t="str">
        <f t="shared" si="132"/>
        <v>logies in logiesgebouw</v>
      </c>
      <c r="AF266" s="22"/>
      <c r="AG266" s="1445" t="str">
        <f t="shared" si="122"/>
        <v/>
      </c>
      <c r="AH266" s="1449" t="str">
        <f t="shared" si="123"/>
        <v/>
      </c>
      <c r="AI266" s="1415"/>
      <c r="AJ266" s="1445" t="str">
        <f t="shared" si="124"/>
        <v/>
      </c>
      <c r="AK266" s="1442" t="str">
        <f t="shared" si="125"/>
        <v/>
      </c>
      <c r="AL266" s="1449" t="str">
        <f t="shared" si="126"/>
        <v/>
      </c>
      <c r="AM266" s="1420"/>
      <c r="AN266" s="1445" t="str">
        <f t="shared" si="127"/>
        <v/>
      </c>
      <c r="AO266" s="1442" t="str">
        <f t="shared" si="128"/>
        <v/>
      </c>
      <c r="AP266" s="1442" t="str">
        <f t="shared" si="129"/>
        <v/>
      </c>
      <c r="AQ266" s="1420"/>
      <c r="AR266" s="1450" t="str">
        <f t="shared" si="130"/>
        <v/>
      </c>
      <c r="AS266" s="67"/>
      <c r="AT266" s="995"/>
      <c r="AU266" s="12"/>
      <c r="AV266" s="12"/>
      <c r="AW266" s="12"/>
      <c r="AX266" s="12"/>
      <c r="AY266" s="12"/>
      <c r="AZ266" s="12"/>
      <c r="BA266" s="12"/>
      <c r="BB266" s="12"/>
      <c r="BC266" s="12"/>
      <c r="BD266" s="12"/>
      <c r="BE266" s="12"/>
      <c r="BF266" s="12"/>
      <c r="BG266" s="12"/>
      <c r="BH266" s="12"/>
      <c r="BI266" s="13"/>
    </row>
    <row r="267" spans="1:61">
      <c r="A267" s="86"/>
      <c r="B267" s="943"/>
      <c r="C267" s="943"/>
      <c r="D267" s="943"/>
      <c r="E267" s="14"/>
      <c r="F267" s="22" t="s">
        <v>425</v>
      </c>
      <c r="G267" s="214" t="str">
        <f t="shared" ref="G267:M267" si="142">IFERROR(FIXED(ROUND(G247/G$231,G$232),G$232),"")</f>
        <v/>
      </c>
      <c r="H267" s="214" t="str">
        <f t="shared" si="142"/>
        <v/>
      </c>
      <c r="I267" s="214" t="str">
        <f t="shared" si="142"/>
        <v/>
      </c>
      <c r="J267" s="214" t="str">
        <f t="shared" si="142"/>
        <v/>
      </c>
      <c r="K267" s="214" t="str">
        <f t="shared" si="142"/>
        <v/>
      </c>
      <c r="L267" s="214" t="str">
        <f t="shared" si="142"/>
        <v/>
      </c>
      <c r="M267" s="214" t="str">
        <f t="shared" si="142"/>
        <v/>
      </c>
      <c r="N267" s="142" t="str">
        <f t="shared" si="121"/>
        <v/>
      </c>
      <c r="O267" s="44"/>
      <c r="P267" s="899"/>
      <c r="Q267" s="899"/>
      <c r="R267" s="899"/>
      <c r="S267" s="899"/>
      <c r="T267" s="899"/>
      <c r="U267" s="899"/>
      <c r="V267" s="39"/>
      <c r="W267" s="39"/>
      <c r="X267" s="39"/>
      <c r="Y267" s="12"/>
      <c r="Z267" s="453"/>
      <c r="AA267" s="453"/>
      <c r="AB267" s="67"/>
      <c r="AC267" s="995"/>
      <c r="AD267" s="891" t="s">
        <v>396</v>
      </c>
      <c r="AE267" s="22" t="str">
        <f t="shared" si="132"/>
        <v>cel</v>
      </c>
      <c r="AF267" s="22"/>
      <c r="AG267" s="1445" t="str">
        <f t="shared" si="122"/>
        <v/>
      </c>
      <c r="AH267" s="1449" t="str">
        <f t="shared" si="123"/>
        <v/>
      </c>
      <c r="AI267" s="1415"/>
      <c r="AJ267" s="1445" t="str">
        <f t="shared" si="124"/>
        <v/>
      </c>
      <c r="AK267" s="1442" t="str">
        <f t="shared" si="125"/>
        <v/>
      </c>
      <c r="AL267" s="1449" t="str">
        <f t="shared" si="126"/>
        <v/>
      </c>
      <c r="AM267" s="1420"/>
      <c r="AN267" s="1445" t="str">
        <f t="shared" si="127"/>
        <v/>
      </c>
      <c r="AO267" s="1442" t="str">
        <f t="shared" si="128"/>
        <v/>
      </c>
      <c r="AP267" s="1442" t="str">
        <f t="shared" si="129"/>
        <v/>
      </c>
      <c r="AQ267" s="1420"/>
      <c r="AR267" s="1450" t="str">
        <f t="shared" si="130"/>
        <v/>
      </c>
      <c r="AS267" s="67"/>
      <c r="AT267" s="995"/>
      <c r="AU267" s="12"/>
      <c r="AV267" s="12"/>
      <c r="AW267" s="12"/>
      <c r="AX267" s="12"/>
      <c r="AY267" s="12"/>
      <c r="AZ267" s="12"/>
      <c r="BA267" s="12"/>
      <c r="BB267" s="12"/>
      <c r="BC267" s="12"/>
      <c r="BD267" s="12"/>
      <c r="BE267" s="12"/>
      <c r="BF267" s="12"/>
      <c r="BG267" s="12"/>
      <c r="BH267" s="12"/>
      <c r="BI267" s="13"/>
    </row>
    <row r="268" spans="1:61" ht="6.75" customHeight="1">
      <c r="A268" s="86"/>
      <c r="B268" s="943"/>
      <c r="C268" s="943"/>
      <c r="D268" s="943"/>
      <c r="E268" s="14"/>
      <c r="F268" s="43"/>
      <c r="G268" s="55"/>
      <c r="H268" s="55"/>
      <c r="I268" s="53"/>
      <c r="J268" s="55"/>
      <c r="K268" s="56"/>
      <c r="L268" s="148"/>
      <c r="M268" s="54"/>
      <c r="N268" s="16"/>
      <c r="O268" s="44"/>
      <c r="P268" s="899"/>
      <c r="Q268" s="899"/>
      <c r="R268" s="899"/>
      <c r="S268" s="899"/>
      <c r="T268" s="899"/>
      <c r="U268" s="899"/>
      <c r="V268" s="39"/>
      <c r="W268" s="39"/>
      <c r="X268" s="39"/>
      <c r="Y268" s="12"/>
      <c r="Z268" s="453"/>
      <c r="AA268" s="453"/>
      <c r="AB268" s="67"/>
      <c r="AC268" s="995"/>
      <c r="AD268" s="1435"/>
      <c r="AE268" s="43"/>
      <c r="AF268" s="43"/>
      <c r="AG268" s="1418"/>
      <c r="AH268" s="1418"/>
      <c r="AI268" s="1415"/>
      <c r="AJ268" s="1416"/>
      <c r="AK268" s="1419"/>
      <c r="AL268" s="1419"/>
      <c r="AM268" s="1420"/>
      <c r="AN268" s="1416"/>
      <c r="AO268" s="1416"/>
      <c r="AP268" s="1416"/>
      <c r="AQ268" s="1420"/>
      <c r="AR268" s="1416"/>
      <c r="AS268" s="67"/>
      <c r="AT268" s="995"/>
      <c r="AU268" s="12"/>
      <c r="AV268" s="12"/>
      <c r="AW268" s="12"/>
      <c r="AX268" s="12"/>
      <c r="AY268" s="12"/>
      <c r="AZ268" s="12"/>
      <c r="BA268" s="12"/>
      <c r="BB268" s="12"/>
      <c r="BC268" s="12"/>
      <c r="BD268" s="12"/>
      <c r="BE268" s="12"/>
      <c r="BF268" s="12"/>
      <c r="BG268" s="12"/>
      <c r="BH268" s="12"/>
      <c r="BI268" s="13"/>
    </row>
    <row r="269" spans="1:61">
      <c r="A269" s="86"/>
      <c r="B269" s="943" t="s">
        <v>1596</v>
      </c>
      <c r="C269" s="943"/>
      <c r="D269" s="943"/>
      <c r="E269" s="14"/>
      <c r="F269" s="22" t="s">
        <v>1597</v>
      </c>
      <c r="G269" s="214" t="str">
        <f>IFERROR(FIXED(ROUND($Q404*G$233/G$231,G$232),G$232),"")</f>
        <v>0</v>
      </c>
      <c r="H269" s="214" t="str">
        <f>IFERROR(FIXED(ROUND($Q404*H$233/H$231,H$232),H$232),"")</f>
        <v>0</v>
      </c>
      <c r="I269" s="214"/>
      <c r="J269" s="214" t="str">
        <f>IFERROR(FIXED(ROUND($Q404*J$233/J$231,J$232),J$232),"")</f>
        <v>0</v>
      </c>
      <c r="K269" s="214" t="str">
        <f>IFERROR(FIXED(ROUND($Q404*K$233/K$231,K$232),K$232),"")</f>
        <v>0.0</v>
      </c>
      <c r="L269" s="214"/>
      <c r="M269" s="214" t="str">
        <f>IFERROR(FIXED(ROUND($Q404*M$233/M$231,M$232),M$232),"")</f>
        <v>0</v>
      </c>
      <c r="N269" s="142">
        <f>IF($M$58&gt;0,$M$58/$M$58*$J$275,"")</f>
        <v>1</v>
      </c>
      <c r="O269" s="44"/>
      <c r="P269" s="899"/>
      <c r="Q269" s="899"/>
      <c r="R269" s="899"/>
      <c r="S269" s="899"/>
      <c r="T269" s="899"/>
      <c r="U269" s="899"/>
      <c r="V269" s="39"/>
      <c r="W269" s="39"/>
      <c r="X269" s="39"/>
      <c r="Y269" s="12"/>
      <c r="Z269" s="453"/>
      <c r="AA269" s="453"/>
      <c r="AB269" s="67"/>
      <c r="AC269" s="995"/>
      <c r="AD269" s="891" t="s">
        <v>396</v>
      </c>
      <c r="AE269" s="22" t="str">
        <f>F269</f>
        <v>combinatiegebouw</v>
      </c>
      <c r="AF269" s="22"/>
      <c r="AG269" s="1445">
        <f>IF($N269&lt;&gt;"",F385,"")</f>
        <v>4.2922165274118269</v>
      </c>
      <c r="AH269" s="1449">
        <f>IF($N269&lt;&gt;"",G385,"")</f>
        <v>-3.9773319655195288E-2</v>
      </c>
      <c r="AI269" s="1415"/>
      <c r="AJ269" s="1445">
        <f>IFERROR(SUMPRODUCT($G$229:$M$229,$G249:$M249)/N269,"")</f>
        <v>0</v>
      </c>
      <c r="AK269" s="1442">
        <f>IFERROR(IF(N269&lt;&gt;"",$M$273,""),"")</f>
        <v>0</v>
      </c>
      <c r="AL269" s="1449">
        <f>IF(N269&lt;&gt;"",SUM(AJ269,AK269),"")</f>
        <v>0</v>
      </c>
      <c r="AM269" s="1420"/>
      <c r="AN269" s="1445">
        <f>IF($N269&lt;&gt;"",N404,"")</f>
        <v>3.3306690738754696E-16</v>
      </c>
      <c r="AO269" s="1442">
        <f>IF(N269&lt;&gt;"",$J$272,"")</f>
        <v>0</v>
      </c>
      <c r="AP269" s="1449">
        <f>IF($N269&lt;&gt;"",SUM(AN269,AO269),"")</f>
        <v>3.3306690738754696E-16</v>
      </c>
      <c r="AQ269" s="1420"/>
      <c r="AR269" s="1451">
        <f>IF($N269&lt;&gt;"",W404,"")</f>
        <v>9.9532093528295782</v>
      </c>
      <c r="AS269" s="67"/>
      <c r="AT269" s="995"/>
      <c r="AU269" s="12"/>
      <c r="AV269" s="12"/>
      <c r="AW269" s="12"/>
      <c r="AX269" s="12"/>
      <c r="AY269" s="12"/>
      <c r="AZ269" s="12"/>
      <c r="BA269" s="12"/>
      <c r="BB269" s="12"/>
      <c r="BC269" s="12"/>
      <c r="BD269" s="12"/>
      <c r="BE269" s="12"/>
      <c r="BF269" s="12"/>
      <c r="BG269" s="12"/>
      <c r="BH269" s="12"/>
      <c r="BI269" s="13"/>
    </row>
    <row r="270" spans="1:61">
      <c r="A270" s="86"/>
      <c r="B270" s="943"/>
      <c r="C270" s="943"/>
      <c r="D270" s="943"/>
      <c r="E270" s="14"/>
      <c r="F270" s="43"/>
      <c r="G270" s="55"/>
      <c r="H270" s="55"/>
      <c r="I270" s="53"/>
      <c r="J270" s="55"/>
      <c r="K270" s="56"/>
      <c r="L270" s="148"/>
      <c r="M270" s="54"/>
      <c r="N270" s="16"/>
      <c r="O270" s="44"/>
      <c r="P270" s="899"/>
      <c r="Q270" s="899"/>
      <c r="R270" s="899"/>
      <c r="S270" s="899"/>
      <c r="T270" s="899"/>
      <c r="U270" s="899"/>
      <c r="V270" s="39"/>
      <c r="W270" s="39"/>
      <c r="X270" s="39"/>
      <c r="Y270" s="12"/>
      <c r="Z270" s="453"/>
      <c r="AA270" s="453"/>
      <c r="AB270" s="67"/>
      <c r="AC270" s="995"/>
      <c r="AD270" s="1405"/>
      <c r="AE270" s="1405"/>
      <c r="AF270" s="1405"/>
      <c r="AG270" s="1405"/>
      <c r="AH270" s="1405"/>
      <c r="AI270" s="1405"/>
      <c r="AJ270" s="1405"/>
      <c r="AK270" s="1405"/>
      <c r="AL270" s="1405"/>
      <c r="AM270" s="1405"/>
      <c r="AN270" s="1405"/>
      <c r="AO270" s="1405"/>
      <c r="AP270" s="1405"/>
      <c r="AQ270" s="1405"/>
      <c r="AR270" s="1405"/>
      <c r="AS270" s="67"/>
      <c r="AT270" s="995"/>
      <c r="AU270" s="12"/>
      <c r="AV270" s="12"/>
      <c r="AW270" s="12"/>
      <c r="AX270" s="12"/>
      <c r="AY270" s="12"/>
      <c r="AZ270" s="12"/>
      <c r="BA270" s="12"/>
      <c r="BB270" s="12"/>
      <c r="BC270" s="12"/>
      <c r="BD270" s="12"/>
      <c r="BE270" s="12"/>
      <c r="BF270" s="12"/>
      <c r="BG270" s="12"/>
      <c r="BH270" s="12"/>
      <c r="BI270" s="13"/>
    </row>
    <row r="271" spans="1:61">
      <c r="A271" s="139" t="s">
        <v>396</v>
      </c>
      <c r="B271" s="944"/>
      <c r="C271" s="944"/>
      <c r="D271" s="944"/>
      <c r="E271" s="14"/>
      <c r="F271" s="15" t="s">
        <v>1712</v>
      </c>
      <c r="G271" s="44"/>
      <c r="H271" s="44"/>
      <c r="I271" s="44"/>
      <c r="J271" s="44"/>
      <c r="K271" s="44"/>
      <c r="L271" s="44"/>
      <c r="M271" s="39"/>
      <c r="N271" s="39"/>
      <c r="O271" s="901"/>
      <c r="P271" s="901"/>
      <c r="Q271" s="901"/>
      <c r="R271" s="901"/>
      <c r="S271" s="901"/>
      <c r="T271" s="901"/>
      <c r="U271" s="901"/>
      <c r="V271" s="901"/>
      <c r="W271" s="39"/>
      <c r="X271" s="39"/>
      <c r="Y271" s="39"/>
      <c r="Z271" s="39"/>
      <c r="AA271" s="39"/>
      <c r="AB271" s="67"/>
      <c r="AC271" s="995"/>
      <c r="AD271" s="1405"/>
      <c r="AE271" s="1405"/>
      <c r="AF271" s="1405"/>
      <c r="AG271" s="1405"/>
      <c r="AH271" s="1405"/>
      <c r="AI271" s="1405"/>
      <c r="AJ271" s="1405"/>
      <c r="AK271" s="1405"/>
      <c r="AL271" s="1405"/>
      <c r="AM271" s="1405"/>
      <c r="AN271" s="1405"/>
      <c r="AO271" s="1405"/>
      <c r="AP271" s="1405"/>
      <c r="AQ271" s="1405"/>
      <c r="AR271" s="1405"/>
      <c r="AS271" s="67"/>
      <c r="AT271" s="995"/>
      <c r="AU271" s="12"/>
      <c r="AV271" s="12" t="s">
        <v>1662</v>
      </c>
      <c r="AW271" s="12"/>
      <c r="AX271" s="12"/>
      <c r="AY271" s="12"/>
      <c r="AZ271" s="928" t="s">
        <v>513</v>
      </c>
      <c r="BA271" s="929"/>
      <c r="BB271" s="929"/>
      <c r="BC271" s="930"/>
      <c r="BD271" s="1"/>
      <c r="BE271" s="40"/>
      <c r="BF271" s="13"/>
      <c r="BG271" s="13"/>
      <c r="BH271" s="13"/>
      <c r="BI271" s="14"/>
    </row>
    <row r="272" spans="1:61">
      <c r="A272" s="139"/>
      <c r="B272" s="944"/>
      <c r="C272" s="944"/>
      <c r="D272" s="944"/>
      <c r="E272" s="14"/>
      <c r="F272" s="22" t="s">
        <v>1482</v>
      </c>
      <c r="G272" s="22"/>
      <c r="H272" s="22"/>
      <c r="I272" s="44"/>
      <c r="J272" s="420"/>
      <c r="K272" s="47" t="s">
        <v>440</v>
      </c>
      <c r="L272" s="47"/>
      <c r="M272" s="47"/>
      <c r="N272" s="47"/>
      <c r="O272" s="901"/>
      <c r="P272" s="901"/>
      <c r="Q272" s="901"/>
      <c r="R272" s="901"/>
      <c r="S272" s="901"/>
      <c r="T272" s="901"/>
      <c r="U272" s="901"/>
      <c r="V272" s="901"/>
      <c r="W272" s="39"/>
      <c r="X272" s="39"/>
      <c r="Y272" s="39"/>
      <c r="Z272" s="39"/>
      <c r="AA272" s="39"/>
      <c r="AB272" s="67"/>
      <c r="AC272" s="995"/>
      <c r="AD272" s="891" t="s">
        <v>396</v>
      </c>
      <c r="AE272" s="1383" t="str">
        <f>IF(P24=GPR4.3,"score op subthema 'Materiaalprestatie'","score op maatregelgroep 'Milieuprestatie Gebouw (MPG)'")</f>
        <v>score op maatregelgroep 'Milieuprestatie Gebouw (MPG)'</v>
      </c>
      <c r="AF272" s="1383"/>
      <c r="AG272" s="1383"/>
      <c r="AH272" s="1384">
        <f>IFERROR($N$363,"")</f>
        <v>0</v>
      </c>
      <c r="AI272" s="1388"/>
      <c r="AJ272" s="1405"/>
      <c r="AK272" s="1405"/>
      <c r="AL272" s="1405"/>
      <c r="AM272" s="1405"/>
      <c r="AN272" s="1405"/>
      <c r="AO272" s="1405"/>
      <c r="AP272" s="1405"/>
      <c r="AQ272" s="1405"/>
      <c r="AR272" s="1405"/>
      <c r="AS272" s="67"/>
      <c r="AT272" s="995"/>
      <c r="AU272" s="12"/>
      <c r="AV272" s="1060">
        <v>6</v>
      </c>
      <c r="AW272" s="1060">
        <v>10</v>
      </c>
      <c r="AX272" s="12"/>
      <c r="AY272" s="12"/>
      <c r="AZ272" s="935" t="s">
        <v>515</v>
      </c>
      <c r="BA272" s="936">
        <f>1-BA273</f>
        <v>1</v>
      </c>
      <c r="BB272" s="937"/>
      <c r="BC272" s="938"/>
      <c r="BD272" s="1"/>
      <c r="BE272" s="40"/>
      <c r="BF272" s="13"/>
      <c r="BG272" s="13"/>
      <c r="BH272" s="13"/>
      <c r="BI272" s="14"/>
    </row>
    <row r="273" spans="1:61">
      <c r="A273" s="212"/>
      <c r="B273" s="898"/>
      <c r="C273" s="898"/>
      <c r="D273" s="898"/>
      <c r="E273" s="14"/>
      <c r="F273" s="22" t="s">
        <v>1483</v>
      </c>
      <c r="G273" s="22"/>
      <c r="H273" s="22"/>
      <c r="I273" s="44"/>
      <c r="J273" s="25"/>
      <c r="K273" s="47" t="str">
        <f>IF(P24=GPR4.3,"kg CO2 eq/jaar.m2 BVO","kg CO2eq/jaar")</f>
        <v>kg CO2eq/jaar</v>
      </c>
      <c r="L273" s="47"/>
      <c r="M273" s="115">
        <f>IFERROR(IF(P24=GPR4.3,J273,J273/J275),0)</f>
        <v>0</v>
      </c>
      <c r="N273" s="47" t="s">
        <v>1407</v>
      </c>
      <c r="O273" s="901"/>
      <c r="P273" s="901"/>
      <c r="Q273" s="901"/>
      <c r="R273" s="901"/>
      <c r="S273" s="901"/>
      <c r="T273" s="901"/>
      <c r="U273" s="901"/>
      <c r="V273" s="901"/>
      <c r="W273" s="39"/>
      <c r="X273" s="39"/>
      <c r="Y273" s="39"/>
      <c r="Z273" s="39"/>
      <c r="AA273" s="39"/>
      <c r="AB273" s="67"/>
      <c r="AC273" s="995"/>
      <c r="AD273" s="891"/>
      <c r="AE273" s="1389" t="s">
        <v>1710</v>
      </c>
      <c r="AF273" s="1389"/>
      <c r="AG273" s="1696" t="s">
        <v>297</v>
      </c>
      <c r="AH273" s="1697"/>
      <c r="AI273" s="1388"/>
      <c r="AJ273" s="1405"/>
      <c r="AK273" s="1405"/>
      <c r="AL273" s="1405"/>
      <c r="AM273" s="1405"/>
      <c r="AN273" s="1405"/>
      <c r="AO273" s="1405"/>
      <c r="AP273" s="1405"/>
      <c r="AQ273" s="1405"/>
      <c r="AR273" s="1405"/>
      <c r="AS273" s="67"/>
      <c r="AT273" s="995"/>
      <c r="AU273" s="12"/>
      <c r="AV273" s="1060">
        <f>INDEX(MPG_punten_6,MATCH($AG$273,MPG_punten_lijst,0),MATCH($P$24&amp;" | "&amp;$P$25,MPG_punten_6_titels,0))</f>
        <v>0</v>
      </c>
      <c r="AW273" s="1060">
        <f>INDEX(MPG_punten_10,MATCH($AG$273,MPG_punten_lijst,0),MATCH($P$24&amp;" | "&amp;$P$25,MPG_punten_10_titels,0))</f>
        <v>140</v>
      </c>
      <c r="AX273" s="13"/>
      <c r="AY273" s="13"/>
      <c r="AZ273" s="931" t="s">
        <v>514</v>
      </c>
      <c r="BA273" s="932">
        <v>0</v>
      </c>
      <c r="BB273" s="933"/>
      <c r="BC273" s="934"/>
      <c r="BD273" s="13"/>
      <c r="BE273" s="40"/>
      <c r="BF273" s="13"/>
      <c r="BG273" s="13"/>
      <c r="BH273" s="13"/>
      <c r="BI273" s="14"/>
    </row>
    <row r="274" spans="1:61">
      <c r="A274" s="139" t="s">
        <v>396</v>
      </c>
      <c r="B274" s="944"/>
      <c r="C274" s="944"/>
      <c r="D274" s="944"/>
      <c r="E274" s="14"/>
      <c r="F274" s="920" t="s">
        <v>1515</v>
      </c>
      <c r="G274" s="905"/>
      <c r="H274" s="905"/>
      <c r="I274" s="905"/>
      <c r="J274" s="905"/>
      <c r="K274" s="905"/>
      <c r="L274" s="905"/>
      <c r="M274" s="39"/>
      <c r="N274" s="39"/>
      <c r="O274" s="39"/>
      <c r="P274" s="39"/>
      <c r="Q274" s="39"/>
      <c r="R274" s="39"/>
      <c r="S274" s="39"/>
      <c r="T274" s="39"/>
      <c r="U274" s="39"/>
      <c r="V274" s="39"/>
      <c r="W274" s="39"/>
      <c r="X274" s="39"/>
      <c r="Y274" s="39"/>
      <c r="Z274" s="39"/>
      <c r="AA274" s="39"/>
      <c r="AB274" s="67"/>
      <c r="AC274" s="995"/>
      <c r="AD274" s="891" t="s">
        <v>396</v>
      </c>
      <c r="AE274" s="1389" t="s">
        <v>1588</v>
      </c>
      <c r="AF274" s="1389"/>
      <c r="AG274" s="1411"/>
      <c r="AH274" s="1385">
        <f>_xlfn.FORECAST.LINEAR(MIN(10,AH272),AV273:AW273,AV272:AW272)</f>
        <v>-210</v>
      </c>
      <c r="AI274" s="1388"/>
      <c r="AJ274" s="1405"/>
      <c r="AK274" s="1405"/>
      <c r="AL274" s="1405"/>
      <c r="AM274" s="1405"/>
      <c r="AN274" s="1405"/>
      <c r="AO274" s="1405"/>
      <c r="AP274" s="1405"/>
      <c r="AQ274" s="1405"/>
      <c r="AR274" s="1405"/>
      <c r="AS274" s="67"/>
      <c r="AT274" s="995"/>
      <c r="AU274" s="12"/>
      <c r="AV274" s="12"/>
      <c r="AW274" s="12"/>
      <c r="AX274" s="13"/>
      <c r="AY274" s="13"/>
      <c r="AZ274" s="13"/>
      <c r="BA274" s="13"/>
      <c r="BB274" s="12"/>
      <c r="BC274" s="12"/>
      <c r="BD274" s="12"/>
      <c r="BE274" s="40"/>
      <c r="BF274" s="13"/>
      <c r="BG274" s="13"/>
      <c r="BH274" s="13"/>
      <c r="BI274" s="14"/>
    </row>
    <row r="275" spans="1:61">
      <c r="A275" s="139"/>
      <c r="B275" s="944"/>
      <c r="C275" s="944"/>
      <c r="D275" s="944"/>
      <c r="E275" s="14"/>
      <c r="F275" s="22" t="s">
        <v>1481</v>
      </c>
      <c r="G275" s="22"/>
      <c r="H275" s="22"/>
      <c r="I275" s="44"/>
      <c r="J275" s="25">
        <v>1</v>
      </c>
      <c r="K275" s="47" t="s">
        <v>512</v>
      </c>
      <c r="L275" s="47"/>
      <c r="M275" s="47"/>
      <c r="N275" s="47"/>
      <c r="O275" s="39"/>
      <c r="P275" s="39"/>
      <c r="Q275" s="39"/>
      <c r="R275" s="39"/>
      <c r="S275" s="39"/>
      <c r="T275" s="39"/>
      <c r="U275" s="39"/>
      <c r="V275" s="39"/>
      <c r="W275" s="39"/>
      <c r="X275" s="39"/>
      <c r="Y275" s="39"/>
      <c r="Z275" s="39"/>
      <c r="AA275" s="39"/>
      <c r="AB275" s="67"/>
      <c r="AC275" s="995"/>
      <c r="AD275" s="1405"/>
      <c r="AE275" s="1405"/>
      <c r="AF275" s="1405"/>
      <c r="AG275" s="1405"/>
      <c r="AH275" s="1405"/>
      <c r="AI275" s="1405"/>
      <c r="AJ275" s="1405"/>
      <c r="AK275" s="1405"/>
      <c r="AL275" s="1405"/>
      <c r="AM275" s="1405"/>
      <c r="AN275" s="1405"/>
      <c r="AO275" s="1405"/>
      <c r="AP275" s="1405"/>
      <c r="AQ275" s="1405"/>
      <c r="AR275" s="1405"/>
      <c r="AS275" s="67"/>
      <c r="AT275" s="995"/>
      <c r="AU275" s="12"/>
      <c r="AV275" s="12"/>
      <c r="AW275" s="12"/>
      <c r="AX275" s="12"/>
      <c r="AY275" s="12"/>
      <c r="AZ275" s="12"/>
      <c r="BA275" s="13"/>
      <c r="BB275" s="13"/>
      <c r="BC275" s="13"/>
      <c r="BD275" s="13"/>
      <c r="BE275" s="12"/>
      <c r="BF275" s="12"/>
      <c r="BG275" s="12"/>
      <c r="BH275" s="40"/>
      <c r="BI275" s="13"/>
    </row>
    <row r="276" spans="1:61">
      <c r="A276" s="139"/>
      <c r="B276" s="944"/>
      <c r="C276" s="944"/>
      <c r="D276" s="945"/>
      <c r="E276" s="920"/>
      <c r="F276" s="905"/>
      <c r="G276" s="905"/>
      <c r="H276" s="905"/>
      <c r="I276" s="905"/>
      <c r="J276" s="981"/>
      <c r="K276" s="905"/>
      <c r="L276" s="905"/>
      <c r="M276" s="39"/>
      <c r="N276" s="39"/>
      <c r="O276" s="39"/>
      <c r="P276" s="39"/>
      <c r="Q276" s="39"/>
      <c r="R276" s="39"/>
      <c r="S276" s="39"/>
      <c r="T276" s="39"/>
      <c r="U276" s="39"/>
      <c r="V276" s="39"/>
      <c r="W276" s="39"/>
      <c r="X276" s="39"/>
      <c r="Y276" s="12"/>
      <c r="Z276" s="12"/>
      <c r="AA276" s="12"/>
      <c r="AB276" s="920"/>
      <c r="AC276" s="999"/>
      <c r="AD276" s="1405"/>
      <c r="AE276" s="1405"/>
      <c r="AF276" s="1405"/>
      <c r="AG276" s="1405"/>
      <c r="AH276" s="1405"/>
      <c r="AI276" s="1405"/>
      <c r="AJ276" s="1405"/>
      <c r="AK276" s="1405"/>
      <c r="AL276" s="1405"/>
      <c r="AM276" s="1405"/>
      <c r="AN276" s="1405"/>
      <c r="AO276" s="1405"/>
      <c r="AP276" s="1405"/>
      <c r="AQ276" s="1405"/>
      <c r="AR276" s="1405"/>
      <c r="AS276" s="920"/>
      <c r="AT276" s="999"/>
      <c r="AU276" s="12"/>
      <c r="AV276" s="12"/>
      <c r="AW276" s="12"/>
      <c r="AX276" s="12"/>
      <c r="AY276" s="12"/>
      <c r="AZ276" s="12"/>
      <c r="BA276" s="12"/>
      <c r="BB276" s="12"/>
      <c r="BC276" s="12"/>
      <c r="BD276" s="12"/>
      <c r="BE276" s="12"/>
      <c r="BF276" s="12"/>
      <c r="BG276" s="12"/>
      <c r="BH276" s="12"/>
      <c r="BI276" s="12"/>
    </row>
    <row r="277" spans="1:61">
      <c r="E277" s="141" t="str">
        <f>"© W/E adviseurs, Utrecht/Eindhoven, versie rekenhulpmiddelen "&amp;TEXT(Wijzigingsblad!$B$3,"d mmmm jjjj")</f>
        <v>© W/E adviseurs, Utrecht/Eindhoven, versie rekenhulpmiddelen 17 april 2024</v>
      </c>
      <c r="K277" s="30"/>
      <c r="AB277" s="1395"/>
      <c r="AS277" s="1395"/>
    </row>
    <row r="301" spans="1:61" s="1299" customFormat="1" ht="25.5" customHeight="1">
      <c r="A301" s="1289" t="s">
        <v>493</v>
      </c>
      <c r="B301" s="1290"/>
      <c r="C301" s="1290"/>
      <c r="D301" s="1290"/>
      <c r="E301" s="1291"/>
      <c r="F301" s="1292" t="s">
        <v>1640</v>
      </c>
      <c r="G301" s="1293"/>
      <c r="H301" s="1294"/>
      <c r="I301" s="1295"/>
      <c r="J301" s="1293"/>
      <c r="K301" s="1296"/>
      <c r="L301" s="1297"/>
      <c r="M301" s="1291"/>
      <c r="N301" s="1291"/>
      <c r="O301" s="1297"/>
      <c r="P301" s="1297"/>
      <c r="Q301" s="1291"/>
      <c r="R301" s="1291"/>
      <c r="S301" s="1291"/>
      <c r="T301" s="1291"/>
      <c r="U301" s="1291"/>
      <c r="V301" s="1291"/>
      <c r="W301" s="1291"/>
      <c r="X301" s="1291"/>
      <c r="Y301" s="1291"/>
      <c r="Z301" s="1291"/>
      <c r="AA301" s="1291"/>
      <c r="AB301" s="1298"/>
      <c r="AC301" s="1298"/>
      <c r="AD301" s="1437"/>
      <c r="AE301" s="1298"/>
      <c r="AF301" s="1298"/>
      <c r="AG301" s="1298"/>
      <c r="AH301" s="1298"/>
      <c r="AI301" s="1298"/>
      <c r="AJ301" s="1298"/>
      <c r="AK301" s="1298"/>
      <c r="AL301" s="1298"/>
      <c r="AM301" s="1298"/>
      <c r="AN301" s="1298"/>
      <c r="AO301" s="1298"/>
      <c r="AP301" s="1298"/>
      <c r="AQ301" s="1298"/>
      <c r="AR301" s="1298"/>
      <c r="AS301" s="1298"/>
      <c r="AT301" s="1298"/>
      <c r="AU301" s="1298"/>
      <c r="AV301" s="1298"/>
      <c r="AW301" s="1298"/>
      <c r="AX301" s="1298"/>
      <c r="AY301" s="1298"/>
      <c r="AZ301" s="1298"/>
      <c r="BA301" s="1298"/>
      <c r="BB301" s="1298"/>
      <c r="BC301" s="1298"/>
      <c r="BD301" s="1298"/>
      <c r="BE301" s="1298"/>
      <c r="BF301" s="1298"/>
      <c r="BG301" s="1298"/>
      <c r="BH301" s="1298"/>
      <c r="BI301" s="1298"/>
    </row>
    <row r="302" spans="1:61">
      <c r="A302" s="212" t="s">
        <v>493</v>
      </c>
      <c r="B302" s="943"/>
      <c r="C302" s="943"/>
      <c r="D302" s="943"/>
      <c r="E302" s="1244"/>
      <c r="F302" s="1245"/>
      <c r="G302" s="1244"/>
      <c r="H302" s="1244"/>
      <c r="I302" s="1244"/>
      <c r="J302" s="1244"/>
      <c r="K302" s="1244"/>
      <c r="L302" s="1244"/>
      <c r="M302" s="1244"/>
      <c r="N302" s="1244"/>
      <c r="O302" s="1244"/>
      <c r="P302" s="1244"/>
      <c r="Q302" s="1244"/>
      <c r="R302" s="1244"/>
      <c r="S302" s="1244"/>
      <c r="T302" s="1244"/>
      <c r="U302" s="1244"/>
      <c r="V302" s="1244"/>
      <c r="W302" s="1244"/>
      <c r="X302" s="1244"/>
      <c r="Y302" s="1244"/>
      <c r="Z302" s="1244"/>
      <c r="AA302" s="1244"/>
      <c r="AB302" s="16"/>
      <c r="AC302" s="995"/>
      <c r="AD302" s="1428"/>
      <c r="AE302" s="1406"/>
      <c r="AF302" s="1406"/>
      <c r="AG302" s="1406"/>
      <c r="AH302" s="1406"/>
      <c r="AI302" s="1406"/>
      <c r="AJ302" s="1406"/>
      <c r="AK302" s="1406"/>
      <c r="AL302" s="1407"/>
      <c r="AM302" s="1407"/>
      <c r="AN302" s="995"/>
      <c r="AO302" s="995"/>
      <c r="AP302" s="995"/>
      <c r="AQ302" s="995"/>
      <c r="AR302" s="995"/>
      <c r="AS302" s="16"/>
      <c r="AT302" s="995"/>
      <c r="AU302" s="995"/>
      <c r="AV302" s="995"/>
      <c r="AW302" s="995"/>
      <c r="AX302" s="995"/>
      <c r="AY302" s="995"/>
      <c r="AZ302" s="995"/>
      <c r="BA302" s="995"/>
      <c r="BB302" s="995"/>
      <c r="BC302" s="995"/>
      <c r="BD302" s="995"/>
      <c r="BE302" s="995"/>
      <c r="BF302" s="995"/>
      <c r="BG302" s="995"/>
      <c r="BH302" s="995"/>
      <c r="BI302" s="995"/>
    </row>
    <row r="303" spans="1:61" ht="21">
      <c r="A303" s="212" t="s">
        <v>493</v>
      </c>
      <c r="C303" s="1163"/>
      <c r="E303" s="1246" t="s">
        <v>396</v>
      </c>
      <c r="F303" s="1171" t="str">
        <f>"Primaire energie bij bronmethode "&amp;EP_bronmethode</f>
        <v>Primaire energie bij bronmethode GPR 4.4 | NTA 8800</v>
      </c>
      <c r="G303" s="906"/>
      <c r="H303" s="1247"/>
      <c r="I303" s="1247"/>
      <c r="J303" s="1247"/>
      <c r="K303" s="1248"/>
      <c r="L303" s="1248"/>
      <c r="M303" s="1248"/>
      <c r="N303" s="1248"/>
      <c r="O303" s="1247"/>
      <c r="P303" s="1247"/>
      <c r="Q303" s="1247"/>
      <c r="R303" s="1247"/>
      <c r="S303" s="1171" t="str">
        <f>"Primaire energie bij doelmethode "&amp;EP_doelmethode</f>
        <v>Primaire energie bij doelmethode GPR 4.4 | NTA 8800</v>
      </c>
      <c r="T303" s="1247"/>
      <c r="U303" s="1247"/>
      <c r="V303" s="1248"/>
      <c r="W303" s="1248"/>
      <c r="X303" s="1248"/>
      <c r="Y303" s="1248"/>
      <c r="Z303" s="1175"/>
      <c r="AA303" s="1175"/>
      <c r="AB303" s="1396"/>
      <c r="AS303" s="1396"/>
    </row>
    <row r="304" spans="1:61" s="211" customFormat="1" ht="64">
      <c r="A304" s="212" t="s">
        <v>493</v>
      </c>
      <c r="B304" s="1163"/>
      <c r="C304" s="1164" t="s">
        <v>1638</v>
      </c>
      <c r="D304" s="1163"/>
      <c r="E304" s="1249"/>
      <c r="F304" s="1250" t="s">
        <v>523</v>
      </c>
      <c r="G304" s="1250" t="s">
        <v>524</v>
      </c>
      <c r="H304" s="1250" t="s">
        <v>525</v>
      </c>
      <c r="I304" s="1250"/>
      <c r="J304" s="1250" t="s">
        <v>526</v>
      </c>
      <c r="K304" s="1250" t="s">
        <v>527</v>
      </c>
      <c r="L304" s="1250"/>
      <c r="M304" s="1250" t="s">
        <v>528</v>
      </c>
      <c r="N304" s="1250" t="s">
        <v>529</v>
      </c>
      <c r="O304" s="1250"/>
      <c r="P304" s="1250" t="s">
        <v>530</v>
      </c>
      <c r="Q304" s="1249"/>
      <c r="R304" s="1249"/>
      <c r="S304" s="1250" t="s">
        <v>526</v>
      </c>
      <c r="T304" s="1250" t="s">
        <v>523</v>
      </c>
      <c r="U304" s="1250"/>
      <c r="V304" s="1250" t="s">
        <v>524</v>
      </c>
      <c r="W304" s="1250" t="s">
        <v>525</v>
      </c>
      <c r="X304" s="1250" t="s">
        <v>527</v>
      </c>
      <c r="Y304" s="1250"/>
      <c r="Z304" s="1250" t="s">
        <v>528</v>
      </c>
      <c r="AA304" s="1250" t="s">
        <v>530</v>
      </c>
      <c r="AB304" s="1397"/>
      <c r="AD304" s="1438"/>
      <c r="AE304" s="1423"/>
      <c r="AF304" s="1423"/>
      <c r="AG304" s="1423"/>
      <c r="AH304" s="1423"/>
      <c r="AI304" s="1423"/>
      <c r="AJ304" s="1423"/>
      <c r="AK304" s="1423"/>
      <c r="AL304" s="1424"/>
      <c r="AM304" s="1424"/>
      <c r="AS304" s="1397"/>
    </row>
    <row r="305" spans="1:45">
      <c r="A305" s="212" t="s">
        <v>493</v>
      </c>
      <c r="C305" s="1164" t="s">
        <v>204</v>
      </c>
      <c r="E305" s="1247"/>
      <c r="F305" s="1328" t="str">
        <f>INDEX(EP_Methode_BRON_per_GPR_Versie_Eenheid,MATCH(EP_bronmethode,GPR_Versie_En_EP_Methode,0))&amp;"/m2 Ag"</f>
        <v>kWh/m2 Ag</v>
      </c>
      <c r="G305" s="1328" t="str">
        <f>INDEX(EP_Methode_BRON_per_GPR_Versie_Eenheid,MATCH(EP_bronmethode,GPR_Versie_En_EP_Methode,0))&amp;"/m2 Ag"</f>
        <v>kWh/m2 Ag</v>
      </c>
      <c r="H305" s="1328" t="s">
        <v>132</v>
      </c>
      <c r="I305" s="1328"/>
      <c r="J305" s="1328" t="s">
        <v>132</v>
      </c>
      <c r="K305" s="1328" t="str">
        <f>INDEX(EP_Methode_BRON_per_GPR_Versie_Eenheid,MATCH(EP_bronmethode,GPR_Versie_En_EP_Methode,0))&amp;"/m2 Ag"</f>
        <v>kWh/m2 Ag</v>
      </c>
      <c r="L305" s="1328"/>
      <c r="M305" s="1328" t="str">
        <f>INDEX(EP_Methode_BRON_per_GPR_Versie_Eenheid,MATCH(EP_bronmethode,GPR_Versie_En_EP_Methode,0))</f>
        <v>kWh</v>
      </c>
      <c r="N305" s="1329" t="s">
        <v>132</v>
      </c>
      <c r="O305" s="1329"/>
      <c r="P305" s="1328" t="s">
        <v>132</v>
      </c>
      <c r="Q305" s="1330"/>
      <c r="R305" s="1330"/>
      <c r="S305" s="1328" t="s">
        <v>132</v>
      </c>
      <c r="T305" s="1328" t="str">
        <f>INDEX(EP_Methode_BRON_per_GPR_Versie_Eenheid,MATCH(EP_doelmethode,GPR_Versie_En_EP_Methode,0))&amp;"/m2 Ag"</f>
        <v>kWh/m2 Ag</v>
      </c>
      <c r="U305" s="1328"/>
      <c r="V305" s="1328" t="str">
        <f>INDEX(EP_Methode_BRON_per_GPR_Versie_Eenheid,MATCH(EP_doelmethode,GPR_Versie_En_EP_Methode,0))&amp;"/m2 Ag"</f>
        <v>kWh/m2 Ag</v>
      </c>
      <c r="W305" s="1328" t="s">
        <v>132</v>
      </c>
      <c r="X305" s="1328" t="str">
        <f>INDEX(EP_Methode_BRON_per_GPR_Versie_Eenheid,MATCH(EP_doelmethode,GPR_Versie_En_EP_Methode,0))&amp;"/m2 Ag"</f>
        <v>kWh/m2 Ag</v>
      </c>
      <c r="Y305" s="1328"/>
      <c r="Z305" s="1328" t="str">
        <f>INDEX(EP_Methode_BRON_per_GPR_Versie_Eenheid,MATCH(EP_doelmethode,GPR_Versie_En_EP_Methode,0))</f>
        <v>kWh</v>
      </c>
      <c r="AA305" s="1328" t="s">
        <v>132</v>
      </c>
      <c r="AB305" s="148"/>
      <c r="AS305" s="148"/>
    </row>
    <row r="306" spans="1:45" s="211" customFormat="1">
      <c r="A306" s="212" t="s">
        <v>493</v>
      </c>
      <c r="B306" s="1163"/>
      <c r="C306" s="1164" t="s">
        <v>1639</v>
      </c>
      <c r="D306" s="1163"/>
      <c r="E306" s="1252"/>
      <c r="F306" s="1165" t="s">
        <v>1410</v>
      </c>
      <c r="G306" s="1253"/>
      <c r="H306" s="1252"/>
      <c r="I306" s="1252"/>
      <c r="J306" s="1252"/>
      <c r="K306" s="1166" t="s">
        <v>1415</v>
      </c>
      <c r="L306" s="1689" t="s">
        <v>1413</v>
      </c>
      <c r="M306" s="1690"/>
      <c r="N306" s="1252"/>
      <c r="O306" s="1252"/>
      <c r="P306" s="1254" t="s">
        <v>1412</v>
      </c>
      <c r="Q306" s="1252"/>
      <c r="R306" s="1252"/>
      <c r="S306" s="1165" t="s">
        <v>1414</v>
      </c>
      <c r="T306" s="1252"/>
      <c r="U306" s="1252"/>
      <c r="V306" s="1252"/>
      <c r="W306" s="1252"/>
      <c r="X306" s="1166" t="s">
        <v>1416</v>
      </c>
      <c r="Y306" s="1689" t="s">
        <v>1417</v>
      </c>
      <c r="Z306" s="1690"/>
      <c r="AA306" s="1254" t="s">
        <v>1412</v>
      </c>
      <c r="AB306" s="1398"/>
      <c r="AD306" s="1438"/>
      <c r="AE306" s="1423"/>
      <c r="AF306" s="1423"/>
      <c r="AG306" s="1423"/>
      <c r="AH306" s="1423"/>
      <c r="AI306" s="1423"/>
      <c r="AJ306" s="1423"/>
      <c r="AK306" s="1423"/>
      <c r="AL306" s="1424"/>
      <c r="AM306" s="1424"/>
      <c r="AS306" s="1398"/>
    </row>
    <row r="307" spans="1:45">
      <c r="A307" s="212" t="s">
        <v>493</v>
      </c>
      <c r="C307" s="1164" t="str">
        <f t="shared" ref="C307:C318" si="143">F44</f>
        <v>woning</v>
      </c>
      <c r="E307" s="1248"/>
      <c r="F307" s="1255">
        <f t="shared" ref="F307:F318" si="144">INDEX(Prim_Energie_GPR_Score_6,MATCH($F44,Gebruiksfuncties,0),MATCH(EP_bronmethode,GPR_Versie_En_EP_Methode,0))</f>
        <v>117</v>
      </c>
      <c r="G307" s="1256">
        <f t="shared" ref="G307:G318" si="145">INDEX(Prim_Energie_GPR_Score_10,MATCH($F44,Gebruiksfuncties,0),MATCH(EP_bronmethode,GPR_Versie_En_EP_Methode,0))</f>
        <v>-33.35</v>
      </c>
      <c r="H307" s="1257">
        <f>(LN(6/10)/(F307-G307))</f>
        <v>-3.3975764799866362E-3</v>
      </c>
      <c r="I307" s="1257"/>
      <c r="J307" s="1258">
        <f t="shared" ref="J307:J318" si="146">J$320</f>
        <v>8.5588799964651958</v>
      </c>
      <c r="K307" s="1255">
        <f t="shared" ref="K307:K318" si="147">IFERROR(LN(J307/10)/H307+G307,"")</f>
        <v>12.451986754966882</v>
      </c>
      <c r="L307" s="1255"/>
      <c r="M307" s="1259">
        <f t="shared" ref="M307:M318" si="148">K307*$M44</f>
        <v>0</v>
      </c>
      <c r="N307" s="1260">
        <f t="shared" ref="N307:N318" si="149">IF(M$320=0,0,M307/M$320)</f>
        <v>0</v>
      </c>
      <c r="O307" s="1260"/>
      <c r="P307" s="1261">
        <f t="shared" ref="P307:P318" si="150">10*EXP(H307*(K307-G307))</f>
        <v>8.5588799964651958</v>
      </c>
      <c r="Q307" s="1248"/>
      <c r="R307" s="1248"/>
      <c r="S307" s="1262">
        <f t="shared" ref="S307:S318" si="151">J$320</f>
        <v>8.5588799964651958</v>
      </c>
      <c r="T307" s="1251">
        <f t="shared" ref="T307:T318" si="152">INDEX(Prim_Energie_GPR_Score_6,MATCH($F44,Gebruiksfuncties,0),MATCH(EP_doelmethode,GPR_Versie_En_EP_Methode,0))</f>
        <v>117</v>
      </c>
      <c r="U307" s="1251"/>
      <c r="V307" s="1263">
        <f t="shared" ref="V307:V318" si="153">INDEX(Prim_Energie_GPR_Score_10,MATCH($F44,Gebruiksfuncties,0),MATCH(EP_doelmethode,GPR_Versie_En_EP_Methode,0))</f>
        <v>-33.35</v>
      </c>
      <c r="W307" s="1257">
        <f t="shared" ref="W307:W318" si="154">(LN(6/10)/(T307-V307))</f>
        <v>-3.3975764799866362E-3</v>
      </c>
      <c r="X307" s="1264">
        <f t="shared" ref="X307:X318" si="155">IFERROR(LN(S307/10)/W307+V307,"")</f>
        <v>12.451986754966882</v>
      </c>
      <c r="Y307" s="1265"/>
      <c r="Z307" s="1266">
        <f t="shared" ref="Z307:Z318" si="156">X307*$M44</f>
        <v>0</v>
      </c>
      <c r="AA307" s="1258">
        <f t="shared" ref="AA307:AA318" si="157">10*EXP(W307*(X307-V307))</f>
        <v>8.5588799964651958</v>
      </c>
      <c r="AB307" s="1399"/>
      <c r="AS307" s="1399"/>
    </row>
    <row r="308" spans="1:45">
      <c r="A308" s="212" t="s">
        <v>493</v>
      </c>
      <c r="C308" s="1164" t="str">
        <f t="shared" si="143"/>
        <v>woongebouw</v>
      </c>
      <c r="E308" s="1248"/>
      <c r="F308" s="1267">
        <f t="shared" si="144"/>
        <v>117</v>
      </c>
      <c r="G308" s="1268">
        <f t="shared" si="145"/>
        <v>-33.35</v>
      </c>
      <c r="H308" s="1257">
        <f t="shared" ref="H308:H318" si="158">(LN(6/10)/(F308-G308))</f>
        <v>-3.3975764799866362E-3</v>
      </c>
      <c r="I308" s="1257"/>
      <c r="J308" s="1258">
        <f t="shared" si="146"/>
        <v>8.5588799964651958</v>
      </c>
      <c r="K308" s="1267">
        <f t="shared" si="147"/>
        <v>12.451986754966882</v>
      </c>
      <c r="L308" s="1267"/>
      <c r="M308" s="1269">
        <f t="shared" si="148"/>
        <v>0</v>
      </c>
      <c r="N308" s="1260">
        <f t="shared" si="149"/>
        <v>0</v>
      </c>
      <c r="O308" s="1260"/>
      <c r="P308" s="1261">
        <f t="shared" si="150"/>
        <v>8.5588799964651958</v>
      </c>
      <c r="Q308" s="1248"/>
      <c r="R308" s="1248"/>
      <c r="S308" s="1270">
        <f t="shared" si="151"/>
        <v>8.5588799964651958</v>
      </c>
      <c r="T308" s="1251">
        <f t="shared" si="152"/>
        <v>117</v>
      </c>
      <c r="U308" s="1251"/>
      <c r="V308" s="1263">
        <f t="shared" si="153"/>
        <v>-33.35</v>
      </c>
      <c r="W308" s="1257">
        <f t="shared" si="154"/>
        <v>-3.3975764799866362E-3</v>
      </c>
      <c r="X308" s="1271">
        <f t="shared" si="155"/>
        <v>12.451986754966882</v>
      </c>
      <c r="Y308" s="1272"/>
      <c r="Z308" s="1273">
        <f t="shared" si="156"/>
        <v>0</v>
      </c>
      <c r="AA308" s="1258">
        <f t="shared" si="157"/>
        <v>8.5588799964651958</v>
      </c>
      <c r="AB308" s="1399"/>
      <c r="AS308" s="1399"/>
    </row>
    <row r="309" spans="1:45">
      <c r="A309" s="212" t="s">
        <v>493</v>
      </c>
      <c r="C309" s="1164" t="str">
        <f t="shared" si="143"/>
        <v>kantoor</v>
      </c>
      <c r="E309" s="1248"/>
      <c r="F309" s="1267">
        <f t="shared" si="144"/>
        <v>180</v>
      </c>
      <c r="G309" s="1268">
        <f t="shared" si="145"/>
        <v>-50</v>
      </c>
      <c r="H309" s="1257">
        <f t="shared" si="158"/>
        <v>-2.2209809728956117E-3</v>
      </c>
      <c r="I309" s="1257"/>
      <c r="J309" s="1258">
        <f t="shared" si="146"/>
        <v>8.5588799964651958</v>
      </c>
      <c r="K309" s="1267">
        <f t="shared" si="147"/>
        <v>20.066225165562912</v>
      </c>
      <c r="L309" s="1267"/>
      <c r="M309" s="1269">
        <f t="shared" si="148"/>
        <v>2006.6225165562912</v>
      </c>
      <c r="N309" s="1260">
        <f t="shared" si="149"/>
        <v>0.13377483443708607</v>
      </c>
      <c r="O309" s="1260"/>
      <c r="P309" s="1261">
        <f t="shared" si="150"/>
        <v>8.5588799964651958</v>
      </c>
      <c r="Q309" s="1248"/>
      <c r="R309" s="1248"/>
      <c r="S309" s="1270">
        <f t="shared" si="151"/>
        <v>8.5588799964651958</v>
      </c>
      <c r="T309" s="1251">
        <f t="shared" si="152"/>
        <v>180</v>
      </c>
      <c r="U309" s="1251"/>
      <c r="V309" s="1263">
        <f t="shared" si="153"/>
        <v>-50</v>
      </c>
      <c r="W309" s="1257">
        <f t="shared" si="154"/>
        <v>-2.2209809728956117E-3</v>
      </c>
      <c r="X309" s="1271">
        <f t="shared" si="155"/>
        <v>20.066225165562912</v>
      </c>
      <c r="Y309" s="1272"/>
      <c r="Z309" s="1273">
        <f t="shared" si="156"/>
        <v>2006.6225165562912</v>
      </c>
      <c r="AA309" s="1258">
        <f t="shared" si="157"/>
        <v>8.5588799964651958</v>
      </c>
      <c r="AB309" s="1399"/>
      <c r="AS309" s="1399"/>
    </row>
    <row r="310" spans="1:45">
      <c r="A310" s="212" t="s">
        <v>493</v>
      </c>
      <c r="C310" s="1164" t="str">
        <f t="shared" si="143"/>
        <v>bijeenkomst overig</v>
      </c>
      <c r="E310" s="1248"/>
      <c r="F310" s="1267">
        <f t="shared" si="144"/>
        <v>229.99999999999997</v>
      </c>
      <c r="G310" s="1268">
        <f t="shared" si="145"/>
        <v>-15</v>
      </c>
      <c r="H310" s="1257">
        <f t="shared" si="158"/>
        <v>-2.0850025459836358E-3</v>
      </c>
      <c r="I310" s="1257"/>
      <c r="J310" s="1258">
        <f t="shared" si="146"/>
        <v>8.5588799964651958</v>
      </c>
      <c r="K310" s="1267">
        <f t="shared" si="147"/>
        <v>59.63576158940397</v>
      </c>
      <c r="L310" s="1267"/>
      <c r="M310" s="1269">
        <f t="shared" si="148"/>
        <v>5963.5761589403974</v>
      </c>
      <c r="N310" s="1260">
        <f t="shared" si="149"/>
        <v>0.39757174392935984</v>
      </c>
      <c r="O310" s="1260"/>
      <c r="P310" s="1261">
        <f t="shared" si="150"/>
        <v>8.5588799964651958</v>
      </c>
      <c r="Q310" s="1248"/>
      <c r="R310" s="1248"/>
      <c r="S310" s="1270">
        <f t="shared" si="151"/>
        <v>8.5588799964651958</v>
      </c>
      <c r="T310" s="1251">
        <f t="shared" si="152"/>
        <v>229.99999999999997</v>
      </c>
      <c r="U310" s="1251"/>
      <c r="V310" s="1263">
        <f t="shared" si="153"/>
        <v>-15</v>
      </c>
      <c r="W310" s="1257">
        <f t="shared" si="154"/>
        <v>-2.0850025459836358E-3</v>
      </c>
      <c r="X310" s="1271">
        <f t="shared" si="155"/>
        <v>59.63576158940397</v>
      </c>
      <c r="Y310" s="1272"/>
      <c r="Z310" s="1273">
        <f t="shared" si="156"/>
        <v>5963.5761589403974</v>
      </c>
      <c r="AA310" s="1258">
        <f t="shared" si="157"/>
        <v>8.5588799964651958</v>
      </c>
      <c r="AB310" s="1399"/>
      <c r="AS310" s="1399"/>
    </row>
    <row r="311" spans="1:45">
      <c r="A311" s="212" t="s">
        <v>493</v>
      </c>
      <c r="C311" s="1164" t="str">
        <f t="shared" si="143"/>
        <v>bijeenkomst kinderdagverblijf</v>
      </c>
      <c r="E311" s="1248"/>
      <c r="F311" s="1267">
        <f t="shared" si="144"/>
        <v>265</v>
      </c>
      <c r="G311" s="1268">
        <f t="shared" si="145"/>
        <v>-15</v>
      </c>
      <c r="H311" s="1257">
        <f t="shared" si="158"/>
        <v>-1.8243772277356811E-3</v>
      </c>
      <c r="I311" s="1257"/>
      <c r="J311" s="1258">
        <f t="shared" si="146"/>
        <v>8.5588799964651958</v>
      </c>
      <c r="K311" s="1267">
        <f t="shared" si="147"/>
        <v>70.298013245033118</v>
      </c>
      <c r="L311" s="1267"/>
      <c r="M311" s="1269">
        <f t="shared" si="148"/>
        <v>7029.8013245033117</v>
      </c>
      <c r="N311" s="1260">
        <f t="shared" si="149"/>
        <v>0.46865342163355411</v>
      </c>
      <c r="O311" s="1260"/>
      <c r="P311" s="1261">
        <f t="shared" si="150"/>
        <v>8.5588799964651958</v>
      </c>
      <c r="Q311" s="1248"/>
      <c r="R311" s="1248"/>
      <c r="S311" s="1270">
        <f t="shared" si="151"/>
        <v>8.5588799964651958</v>
      </c>
      <c r="T311" s="1251">
        <f t="shared" si="152"/>
        <v>265</v>
      </c>
      <c r="U311" s="1251"/>
      <c r="V311" s="1263">
        <f t="shared" si="153"/>
        <v>-15</v>
      </c>
      <c r="W311" s="1257">
        <f t="shared" si="154"/>
        <v>-1.8243772277356811E-3</v>
      </c>
      <c r="X311" s="1271">
        <f t="shared" si="155"/>
        <v>70.298013245033118</v>
      </c>
      <c r="Y311" s="1272"/>
      <c r="Z311" s="1273">
        <f t="shared" si="156"/>
        <v>7029.8013245033117</v>
      </c>
      <c r="AA311" s="1258">
        <f t="shared" si="157"/>
        <v>8.5588799964651958</v>
      </c>
      <c r="AB311" s="1399"/>
      <c r="AS311" s="1399"/>
    </row>
    <row r="312" spans="1:45">
      <c r="A312" s="212" t="s">
        <v>493</v>
      </c>
      <c r="C312" s="1164" t="str">
        <f t="shared" si="143"/>
        <v>onderwijs</v>
      </c>
      <c r="E312" s="1248"/>
      <c r="F312" s="1267">
        <f t="shared" si="144"/>
        <v>235</v>
      </c>
      <c r="G312" s="1268">
        <f t="shared" si="145"/>
        <v>-25</v>
      </c>
      <c r="H312" s="1257">
        <f t="shared" si="158"/>
        <v>-1.9647139375615027E-3</v>
      </c>
      <c r="I312" s="1257"/>
      <c r="J312" s="1258">
        <f t="shared" si="146"/>
        <v>8.5588799964651958</v>
      </c>
      <c r="K312" s="1267">
        <f t="shared" si="147"/>
        <v>54.205298013245027</v>
      </c>
      <c r="L312" s="1267"/>
      <c r="M312" s="1269">
        <f t="shared" si="148"/>
        <v>0</v>
      </c>
      <c r="N312" s="1260">
        <f t="shared" si="149"/>
        <v>0</v>
      </c>
      <c r="O312" s="1260"/>
      <c r="P312" s="1261">
        <f t="shared" si="150"/>
        <v>8.5588799964651958</v>
      </c>
      <c r="Q312" s="1248"/>
      <c r="R312" s="1248"/>
      <c r="S312" s="1270">
        <f t="shared" si="151"/>
        <v>8.5588799964651958</v>
      </c>
      <c r="T312" s="1251">
        <f t="shared" si="152"/>
        <v>235</v>
      </c>
      <c r="U312" s="1251"/>
      <c r="V312" s="1263">
        <f t="shared" si="153"/>
        <v>-25</v>
      </c>
      <c r="W312" s="1257">
        <f t="shared" si="154"/>
        <v>-1.9647139375615027E-3</v>
      </c>
      <c r="X312" s="1271">
        <f t="shared" si="155"/>
        <v>54.205298013245027</v>
      </c>
      <c r="Y312" s="1272"/>
      <c r="Z312" s="1273">
        <f t="shared" si="156"/>
        <v>0</v>
      </c>
      <c r="AA312" s="1258">
        <f t="shared" si="157"/>
        <v>8.5588799964651958</v>
      </c>
      <c r="AB312" s="1399"/>
      <c r="AS312" s="1399"/>
    </row>
    <row r="313" spans="1:45">
      <c r="A313" s="212" t="s">
        <v>493</v>
      </c>
      <c r="C313" s="1164" t="str">
        <f t="shared" si="143"/>
        <v>gezondheid overig</v>
      </c>
      <c r="E313" s="1248"/>
      <c r="F313" s="1267">
        <f t="shared" si="144"/>
        <v>210</v>
      </c>
      <c r="G313" s="1268">
        <f t="shared" si="145"/>
        <v>-40</v>
      </c>
      <c r="H313" s="1257">
        <f t="shared" si="158"/>
        <v>-2.0433024950639628E-3</v>
      </c>
      <c r="I313" s="1257"/>
      <c r="J313" s="1258">
        <f t="shared" si="146"/>
        <v>8.5588799964651958</v>
      </c>
      <c r="K313" s="1267">
        <f t="shared" si="147"/>
        <v>36.158940397350989</v>
      </c>
      <c r="L313" s="1267"/>
      <c r="M313" s="1269">
        <f t="shared" si="148"/>
        <v>0</v>
      </c>
      <c r="N313" s="1260">
        <f t="shared" si="149"/>
        <v>0</v>
      </c>
      <c r="O313" s="1260"/>
      <c r="P313" s="1261">
        <f t="shared" si="150"/>
        <v>8.5588799964651958</v>
      </c>
      <c r="Q313" s="1248"/>
      <c r="R313" s="1248"/>
      <c r="S313" s="1270">
        <f t="shared" si="151"/>
        <v>8.5588799964651958</v>
      </c>
      <c r="T313" s="1251">
        <f t="shared" si="152"/>
        <v>210</v>
      </c>
      <c r="U313" s="1251"/>
      <c r="V313" s="1263">
        <f t="shared" si="153"/>
        <v>-40</v>
      </c>
      <c r="W313" s="1257">
        <f t="shared" si="154"/>
        <v>-2.0433024950639628E-3</v>
      </c>
      <c r="X313" s="1271">
        <f t="shared" si="155"/>
        <v>36.158940397350989</v>
      </c>
      <c r="Y313" s="1272"/>
      <c r="Z313" s="1273">
        <f t="shared" si="156"/>
        <v>0</v>
      </c>
      <c r="AA313" s="1258">
        <f t="shared" si="157"/>
        <v>8.5588799964651958</v>
      </c>
      <c r="AB313" s="1399"/>
      <c r="AS313" s="1399"/>
    </row>
    <row r="314" spans="1:45">
      <c r="A314" s="212" t="s">
        <v>493</v>
      </c>
      <c r="C314" s="1164" t="str">
        <f t="shared" si="143"/>
        <v>gezondheid bedgebied</v>
      </c>
      <c r="E314" s="1248"/>
      <c r="F314" s="1267">
        <f t="shared" si="144"/>
        <v>429.99999999999994</v>
      </c>
      <c r="G314" s="1268">
        <f t="shared" si="145"/>
        <v>-50</v>
      </c>
      <c r="H314" s="1257">
        <f t="shared" si="158"/>
        <v>-1.0642200495124808E-3</v>
      </c>
      <c r="I314" s="1257"/>
      <c r="J314" s="1258">
        <f t="shared" si="146"/>
        <v>8.5588799964651958</v>
      </c>
      <c r="K314" s="1267">
        <f t="shared" si="147"/>
        <v>96.225165562913901</v>
      </c>
      <c r="L314" s="1267"/>
      <c r="M314" s="1269">
        <f t="shared" si="148"/>
        <v>0</v>
      </c>
      <c r="N314" s="1260">
        <f t="shared" si="149"/>
        <v>0</v>
      </c>
      <c r="O314" s="1260"/>
      <c r="P314" s="1261">
        <f t="shared" si="150"/>
        <v>8.5588799964651958</v>
      </c>
      <c r="Q314" s="1248"/>
      <c r="R314" s="1248"/>
      <c r="S314" s="1270">
        <f t="shared" si="151"/>
        <v>8.5588799964651958</v>
      </c>
      <c r="T314" s="1251">
        <f t="shared" si="152"/>
        <v>429.99999999999994</v>
      </c>
      <c r="U314" s="1251"/>
      <c r="V314" s="1263">
        <f t="shared" si="153"/>
        <v>-50</v>
      </c>
      <c r="W314" s="1257">
        <f t="shared" si="154"/>
        <v>-1.0642200495124808E-3</v>
      </c>
      <c r="X314" s="1271">
        <f t="shared" si="155"/>
        <v>96.225165562913901</v>
      </c>
      <c r="Y314" s="1272"/>
      <c r="Z314" s="1273">
        <f t="shared" si="156"/>
        <v>0</v>
      </c>
      <c r="AA314" s="1258">
        <f t="shared" si="157"/>
        <v>8.5588799964651958</v>
      </c>
      <c r="AB314" s="1399"/>
      <c r="AS314" s="1399"/>
    </row>
    <row r="315" spans="1:45">
      <c r="A315" s="212" t="s">
        <v>493</v>
      </c>
      <c r="C315" s="1164" t="str">
        <f t="shared" si="143"/>
        <v>winkel</v>
      </c>
      <c r="E315" s="1248"/>
      <c r="F315" s="1267">
        <f t="shared" si="144"/>
        <v>285</v>
      </c>
      <c r="G315" s="1268">
        <f t="shared" si="145"/>
        <v>-40</v>
      </c>
      <c r="H315" s="1257">
        <f t="shared" si="158"/>
        <v>-1.5717711500492022E-3</v>
      </c>
      <c r="I315" s="1257"/>
      <c r="J315" s="1258">
        <f t="shared" si="146"/>
        <v>8.5588799964651958</v>
      </c>
      <c r="K315" s="1267">
        <f t="shared" si="147"/>
        <v>59.006622516556291</v>
      </c>
      <c r="L315" s="1267"/>
      <c r="M315" s="1269">
        <f t="shared" si="148"/>
        <v>0</v>
      </c>
      <c r="N315" s="1260">
        <f t="shared" si="149"/>
        <v>0</v>
      </c>
      <c r="O315" s="1260"/>
      <c r="P315" s="1261">
        <f t="shared" si="150"/>
        <v>8.5588799964651958</v>
      </c>
      <c r="Q315" s="1248"/>
      <c r="R315" s="1248"/>
      <c r="S315" s="1270">
        <f t="shared" si="151"/>
        <v>8.5588799964651958</v>
      </c>
      <c r="T315" s="1251">
        <f t="shared" si="152"/>
        <v>285</v>
      </c>
      <c r="U315" s="1251"/>
      <c r="V315" s="1263">
        <f t="shared" si="153"/>
        <v>-40</v>
      </c>
      <c r="W315" s="1257">
        <f t="shared" si="154"/>
        <v>-1.5717711500492022E-3</v>
      </c>
      <c r="X315" s="1271">
        <f t="shared" si="155"/>
        <v>59.006622516556291</v>
      </c>
      <c r="Y315" s="1272"/>
      <c r="Z315" s="1273">
        <f t="shared" si="156"/>
        <v>0</v>
      </c>
      <c r="AA315" s="1258">
        <f t="shared" si="157"/>
        <v>8.5588799964651958</v>
      </c>
      <c r="AB315" s="1399"/>
      <c r="AS315" s="1399"/>
    </row>
    <row r="316" spans="1:45">
      <c r="A316" s="212" t="s">
        <v>493</v>
      </c>
      <c r="C316" s="1164" t="str">
        <f t="shared" si="143"/>
        <v>sport</v>
      </c>
      <c r="E316" s="1248"/>
      <c r="F316" s="1267">
        <f t="shared" si="144"/>
        <v>155</v>
      </c>
      <c r="G316" s="1268">
        <f t="shared" si="145"/>
        <v>-15</v>
      </c>
      <c r="H316" s="1257">
        <f t="shared" si="158"/>
        <v>-3.0048566103881807E-3</v>
      </c>
      <c r="I316" s="1257"/>
      <c r="J316" s="1258">
        <f t="shared" si="146"/>
        <v>8.5588799964651958</v>
      </c>
      <c r="K316" s="1267">
        <f t="shared" si="147"/>
        <v>36.788079470198674</v>
      </c>
      <c r="L316" s="1267"/>
      <c r="M316" s="1269">
        <f t="shared" si="148"/>
        <v>0</v>
      </c>
      <c r="N316" s="1260">
        <f t="shared" si="149"/>
        <v>0</v>
      </c>
      <c r="O316" s="1260"/>
      <c r="P316" s="1261">
        <f t="shared" si="150"/>
        <v>8.5588799964651958</v>
      </c>
      <c r="Q316" s="1248"/>
      <c r="R316" s="1248"/>
      <c r="S316" s="1270">
        <f t="shared" si="151"/>
        <v>8.5588799964651958</v>
      </c>
      <c r="T316" s="1251">
        <f t="shared" si="152"/>
        <v>155</v>
      </c>
      <c r="U316" s="1251"/>
      <c r="V316" s="1263">
        <f t="shared" si="153"/>
        <v>-15</v>
      </c>
      <c r="W316" s="1257">
        <f t="shared" si="154"/>
        <v>-3.0048566103881807E-3</v>
      </c>
      <c r="X316" s="1271">
        <f t="shared" si="155"/>
        <v>36.788079470198674</v>
      </c>
      <c r="Y316" s="1272"/>
      <c r="Z316" s="1273">
        <f t="shared" si="156"/>
        <v>0</v>
      </c>
      <c r="AA316" s="1258">
        <f t="shared" si="157"/>
        <v>8.5588799964651958</v>
      </c>
      <c r="AB316" s="1399"/>
      <c r="AS316" s="1399"/>
    </row>
    <row r="317" spans="1:45">
      <c r="A317" s="212" t="s">
        <v>493</v>
      </c>
      <c r="C317" s="1164" t="str">
        <f t="shared" si="143"/>
        <v>logies in logiesgebouw</v>
      </c>
      <c r="E317" s="1248"/>
      <c r="F317" s="1267">
        <f t="shared" si="144"/>
        <v>230</v>
      </c>
      <c r="G317" s="1268">
        <f t="shared" si="145"/>
        <v>-25</v>
      </c>
      <c r="H317" s="1257">
        <f t="shared" si="158"/>
        <v>-2.0032377402587872E-3</v>
      </c>
      <c r="I317" s="1257"/>
      <c r="J317" s="1258">
        <f t="shared" si="146"/>
        <v>8.5588799964651958</v>
      </c>
      <c r="K317" s="1267">
        <f t="shared" si="147"/>
        <v>52.682119205298008</v>
      </c>
      <c r="L317" s="1267"/>
      <c r="M317" s="1269">
        <f t="shared" si="148"/>
        <v>0</v>
      </c>
      <c r="N317" s="1260">
        <f t="shared" si="149"/>
        <v>0</v>
      </c>
      <c r="O317" s="1260"/>
      <c r="P317" s="1261">
        <f t="shared" si="150"/>
        <v>8.5588799964651958</v>
      </c>
      <c r="Q317" s="1248"/>
      <c r="R317" s="1248"/>
      <c r="S317" s="1270">
        <f t="shared" si="151"/>
        <v>8.5588799964651958</v>
      </c>
      <c r="T317" s="1251">
        <f t="shared" si="152"/>
        <v>230</v>
      </c>
      <c r="U317" s="1251"/>
      <c r="V317" s="1263">
        <f t="shared" si="153"/>
        <v>-25</v>
      </c>
      <c r="W317" s="1257">
        <f t="shared" si="154"/>
        <v>-2.0032377402587872E-3</v>
      </c>
      <c r="X317" s="1271">
        <f t="shared" si="155"/>
        <v>52.682119205298008</v>
      </c>
      <c r="Y317" s="1272"/>
      <c r="Z317" s="1273">
        <f t="shared" si="156"/>
        <v>0</v>
      </c>
      <c r="AA317" s="1258">
        <f t="shared" si="157"/>
        <v>8.5588799964651958</v>
      </c>
      <c r="AB317" s="1399"/>
      <c r="AS317" s="1399"/>
    </row>
    <row r="318" spans="1:45">
      <c r="A318" s="212" t="s">
        <v>493</v>
      </c>
      <c r="C318" s="1164" t="str">
        <f t="shared" si="143"/>
        <v>cel</v>
      </c>
      <c r="E318" s="1248"/>
      <c r="F318" s="1274">
        <f t="shared" si="144"/>
        <v>300</v>
      </c>
      <c r="G318" s="1275">
        <f t="shared" si="145"/>
        <v>-25</v>
      </c>
      <c r="H318" s="1257">
        <f t="shared" si="158"/>
        <v>-1.5717711500492022E-3</v>
      </c>
      <c r="I318" s="1257"/>
      <c r="J318" s="1258">
        <f t="shared" si="146"/>
        <v>8.5588799964651958</v>
      </c>
      <c r="K318" s="1274">
        <f t="shared" si="147"/>
        <v>74.006622516556291</v>
      </c>
      <c r="L318" s="1274"/>
      <c r="M318" s="1276">
        <f t="shared" si="148"/>
        <v>0</v>
      </c>
      <c r="N318" s="1260">
        <f t="shared" si="149"/>
        <v>0</v>
      </c>
      <c r="O318" s="1260"/>
      <c r="P318" s="1261">
        <f t="shared" si="150"/>
        <v>8.5588799964651958</v>
      </c>
      <c r="Q318" s="1248"/>
      <c r="R318" s="1248"/>
      <c r="S318" s="1277">
        <f t="shared" si="151"/>
        <v>8.5588799964651958</v>
      </c>
      <c r="T318" s="1251">
        <f t="shared" si="152"/>
        <v>300</v>
      </c>
      <c r="U318" s="1251"/>
      <c r="V318" s="1263">
        <f t="shared" si="153"/>
        <v>-25</v>
      </c>
      <c r="W318" s="1257">
        <f t="shared" si="154"/>
        <v>-1.5717711500492022E-3</v>
      </c>
      <c r="X318" s="1278">
        <f t="shared" si="155"/>
        <v>74.006622516556291</v>
      </c>
      <c r="Y318" s="1279"/>
      <c r="Z318" s="1280">
        <f t="shared" si="156"/>
        <v>0</v>
      </c>
      <c r="AA318" s="1258">
        <f t="shared" si="157"/>
        <v>8.5588799964651958</v>
      </c>
      <c r="AB318" s="1399"/>
      <c r="AS318" s="1399"/>
    </row>
    <row r="319" spans="1:45">
      <c r="A319" s="212" t="s">
        <v>493</v>
      </c>
      <c r="C319" s="1164"/>
      <c r="E319" s="1248"/>
      <c r="F319" s="906" t="s">
        <v>1411</v>
      </c>
      <c r="G319" s="1247"/>
      <c r="H319" s="1247"/>
      <c r="I319" s="1247"/>
      <c r="J319" s="1248"/>
      <c r="K319" s="1248" t="s">
        <v>1412</v>
      </c>
      <c r="L319" s="1248"/>
      <c r="M319" s="1248"/>
      <c r="N319" s="1248"/>
      <c r="O319" s="1248"/>
      <c r="P319" s="1281"/>
      <c r="Q319" s="1248"/>
      <c r="R319" s="1248"/>
      <c r="S319" s="1248"/>
      <c r="T319" s="1247"/>
      <c r="U319" s="1247"/>
      <c r="V319" s="1247"/>
      <c r="W319" s="1247"/>
      <c r="X319" s="1247"/>
      <c r="Y319" s="1247"/>
      <c r="Z319" s="1248"/>
      <c r="AA319" s="1248"/>
      <c r="AB319" s="16"/>
      <c r="AS319" s="16"/>
    </row>
    <row r="320" spans="1:45">
      <c r="A320" s="212" t="s">
        <v>493</v>
      </c>
      <c r="C320" s="1164" t="s">
        <v>1597</v>
      </c>
      <c r="E320" s="1248"/>
      <c r="F320" s="1282">
        <f>IF(SUM($M$44:$M$55)=0,0,SUMPRODUCT($M$44:$M$55,F$307:F$318)/SUM($M$44:$M$55))</f>
        <v>225</v>
      </c>
      <c r="G320" s="1283">
        <f>IF(SUM($M$44:$M$55)=0,0,SUMPRODUCT($M$44:$M$55,G$307:G$318)/SUM($M$44:$M$55))</f>
        <v>-26.666666666666668</v>
      </c>
      <c r="H320" s="1284">
        <f>(LN(6/10)/(F320-G320))</f>
        <v>-2.0297706904608905E-3</v>
      </c>
      <c r="I320" s="1284"/>
      <c r="J320" s="1285">
        <f>IF(F$320-G$320=0,0,10*EXP( (H320) *(J$35-G$320)))</f>
        <v>8.5588799964651958</v>
      </c>
      <c r="K320" s="1258">
        <f>IFERROR(LN(J320/10)/H320+G320,0)</f>
        <v>49.999999999999986</v>
      </c>
      <c r="L320" s="1258"/>
      <c r="M320" s="1286">
        <f>SUM(M307:M318)</f>
        <v>15000</v>
      </c>
      <c r="N320" s="1260">
        <f>SUM(N307:N318)</f>
        <v>1</v>
      </c>
      <c r="O320" s="1260"/>
      <c r="P320" s="1261">
        <f>10*EXP(H320*(K320-G320))</f>
        <v>8.5588799964651958</v>
      </c>
      <c r="Q320" s="1248"/>
      <c r="R320" s="1248"/>
      <c r="S320" s="1258">
        <f>J$320</f>
        <v>8.5588799964651958</v>
      </c>
      <c r="T320" s="1287">
        <f>IF(SUM($M$44:$M$55)=0,0,SUMPRODUCT($M$44:$M$55,T$307:T$318)/SUM($M$44:$M$55))</f>
        <v>225</v>
      </c>
      <c r="U320" s="1287"/>
      <c r="V320" s="1251">
        <f>IF(SUM($M$44:$M$55)=0,0,SUMPRODUCT($M$44:$M$55,V$307:V$318)/SUM($M$44:$M$55))</f>
        <v>-26.666666666666668</v>
      </c>
      <c r="W320" s="1257">
        <f>(LN(6/10)/(T320-V320))</f>
        <v>-2.0297706904608905E-3</v>
      </c>
      <c r="X320" s="1288">
        <f>IFERROR(LN(S320/10)/W320+V320,"")</f>
        <v>49.999999999999986</v>
      </c>
      <c r="Y320" s="1288"/>
      <c r="Z320" s="1286">
        <f>SUM(Z307:Z318)</f>
        <v>15000</v>
      </c>
      <c r="AA320" s="1261">
        <f>10*EXP(W320*(X320-V320))</f>
        <v>8.5588799964651958</v>
      </c>
      <c r="AB320" s="16"/>
      <c r="AS320" s="16"/>
    </row>
    <row r="321" spans="1:61">
      <c r="A321" s="212" t="s">
        <v>493</v>
      </c>
      <c r="B321" s="943"/>
      <c r="C321" s="1092"/>
      <c r="D321" s="943"/>
      <c r="E321" s="1244"/>
      <c r="F321" s="1245"/>
      <c r="G321" s="1244"/>
      <c r="H321" s="1244"/>
      <c r="I321" s="1244"/>
      <c r="J321" s="1244"/>
      <c r="K321" s="1244"/>
      <c r="L321" s="1244"/>
      <c r="M321" s="1244"/>
      <c r="N321" s="1244"/>
      <c r="O321" s="1244"/>
      <c r="P321" s="1244"/>
      <c r="Q321" s="1244"/>
      <c r="R321" s="1244"/>
      <c r="S321" s="1244"/>
      <c r="T321" s="1244"/>
      <c r="U321" s="1244"/>
      <c r="V321" s="1244"/>
      <c r="W321" s="1244"/>
      <c r="X321" s="1244"/>
      <c r="Y321" s="1244"/>
      <c r="Z321" s="1244"/>
      <c r="AA321" s="1244"/>
      <c r="AB321" s="16"/>
      <c r="AC321" s="995"/>
      <c r="AD321" s="1428"/>
      <c r="AE321" s="1406"/>
      <c r="AF321" s="1406"/>
      <c r="AG321" s="1406"/>
      <c r="AH321" s="1406"/>
      <c r="AI321" s="1406"/>
      <c r="AJ321" s="1406"/>
      <c r="AK321" s="1406"/>
      <c r="AL321" s="1407"/>
      <c r="AM321" s="1407"/>
      <c r="AN321" s="995"/>
      <c r="AO321" s="995"/>
      <c r="AP321" s="995"/>
      <c r="AQ321" s="995"/>
      <c r="AR321" s="995"/>
      <c r="AS321" s="16"/>
      <c r="AT321" s="995"/>
      <c r="AU321" s="995"/>
      <c r="AV321" s="995"/>
      <c r="AW321" s="995"/>
      <c r="AX321" s="995"/>
      <c r="AY321" s="995"/>
      <c r="AZ321" s="995"/>
      <c r="BA321" s="995"/>
      <c r="BB321" s="995"/>
      <c r="BC321" s="995"/>
      <c r="BD321" s="995"/>
      <c r="BE321" s="995"/>
      <c r="BF321" s="995"/>
      <c r="BG321" s="995"/>
      <c r="BH321" s="995"/>
      <c r="BI321" s="995"/>
    </row>
    <row r="322" spans="1:61">
      <c r="A322" s="212" t="s">
        <v>493</v>
      </c>
      <c r="B322" s="943"/>
      <c r="C322" s="1092"/>
      <c r="D322" s="943"/>
      <c r="E322" s="1244"/>
      <c r="F322" s="1245"/>
      <c r="G322" s="1244"/>
      <c r="H322" s="1244"/>
      <c r="I322" s="1244"/>
      <c r="J322" s="1244"/>
      <c r="K322" s="1244"/>
      <c r="L322" s="1244"/>
      <c r="M322" s="1244"/>
      <c r="N322" s="1244"/>
      <c r="O322" s="1244"/>
      <c r="P322" s="1244"/>
      <c r="Q322" s="1244"/>
      <c r="R322" s="1244"/>
      <c r="S322" s="1244"/>
      <c r="T322" s="1244"/>
      <c r="U322" s="1244"/>
      <c r="V322" s="1244"/>
      <c r="W322" s="1244"/>
      <c r="X322" s="1244"/>
      <c r="Y322" s="1244"/>
      <c r="Z322" s="1244"/>
      <c r="AA322" s="1244"/>
      <c r="AB322" s="16"/>
      <c r="AC322" s="995"/>
      <c r="AD322" s="1428"/>
      <c r="AE322" s="1406"/>
      <c r="AF322" s="1406"/>
      <c r="AG322" s="1406"/>
      <c r="AH322" s="1406"/>
      <c r="AI322" s="1406"/>
      <c r="AJ322" s="1406"/>
      <c r="AK322" s="1406"/>
      <c r="AL322" s="1407"/>
      <c r="AM322" s="1407"/>
      <c r="AN322" s="995"/>
      <c r="AO322" s="995"/>
      <c r="AP322" s="995"/>
      <c r="AQ322" s="995"/>
      <c r="AR322" s="995"/>
      <c r="AS322" s="16"/>
      <c r="AT322" s="995"/>
      <c r="AU322" s="995"/>
      <c r="AV322" s="995"/>
      <c r="AW322" s="995"/>
      <c r="AX322" s="995"/>
      <c r="AY322" s="995"/>
      <c r="AZ322" s="995"/>
      <c r="BA322" s="995"/>
      <c r="BB322" s="995"/>
      <c r="BC322" s="995"/>
      <c r="BD322" s="995"/>
      <c r="BE322" s="995"/>
      <c r="BF322" s="995"/>
      <c r="BG322" s="995"/>
      <c r="BH322" s="995"/>
      <c r="BI322" s="995"/>
    </row>
    <row r="323" spans="1:61" s="1309" customFormat="1" ht="25.5" customHeight="1">
      <c r="A323" s="212" t="s">
        <v>493</v>
      </c>
      <c r="B323" s="1300"/>
      <c r="C323" s="1301"/>
      <c r="D323" s="1300"/>
      <c r="E323" s="1302"/>
      <c r="F323" s="1303" t="s">
        <v>1643</v>
      </c>
      <c r="G323" s="1304"/>
      <c r="H323" s="1305"/>
      <c r="I323" s="1306"/>
      <c r="J323" s="1304"/>
      <c r="K323" s="1307"/>
      <c r="L323" s="1308"/>
      <c r="M323" s="1303"/>
      <c r="N323" s="1303"/>
      <c r="O323" s="1308"/>
      <c r="P323" s="1308"/>
      <c r="Q323" s="1303"/>
      <c r="R323" s="1303"/>
      <c r="S323" s="1303"/>
      <c r="T323" s="1302"/>
      <c r="U323" s="1302"/>
      <c r="V323" s="1302"/>
      <c r="W323" s="1302"/>
      <c r="X323" s="1302"/>
      <c r="Y323" s="1302"/>
      <c r="Z323" s="1302"/>
      <c r="AA323" s="1302"/>
      <c r="AB323" s="1302"/>
      <c r="AC323" s="1302"/>
      <c r="AD323" s="1323"/>
      <c r="AE323" s="1317"/>
      <c r="AF323" s="1317"/>
      <c r="AG323" s="1317"/>
      <c r="AH323" s="1317"/>
      <c r="AI323" s="1317"/>
      <c r="AJ323" s="1317"/>
      <c r="AK323" s="1317"/>
      <c r="AL323" s="1317"/>
      <c r="AM323" s="1317"/>
      <c r="AN323" s="1302"/>
      <c r="AO323" s="1302"/>
      <c r="AP323" s="1302"/>
      <c r="AQ323" s="1302"/>
      <c r="AR323" s="1302"/>
      <c r="AS323" s="1302"/>
      <c r="AT323" s="1302"/>
      <c r="AU323" s="1302"/>
      <c r="AV323" s="1302"/>
      <c r="AW323" s="1302"/>
      <c r="AX323" s="1302"/>
      <c r="AY323" s="1302"/>
      <c r="AZ323" s="1302"/>
      <c r="BA323" s="1302"/>
      <c r="BB323" s="1302"/>
      <c r="BC323" s="1302"/>
      <c r="BD323" s="1302"/>
      <c r="BE323" s="1302"/>
      <c r="BF323" s="1302"/>
      <c r="BG323" s="1302"/>
      <c r="BH323" s="1302"/>
      <c r="BI323" s="1302"/>
    </row>
    <row r="324" spans="1:61">
      <c r="A324" s="212" t="s">
        <v>493</v>
      </c>
      <c r="B324" s="943"/>
      <c r="C324" s="1092"/>
      <c r="D324" s="943"/>
      <c r="E324" s="14"/>
      <c r="F324" s="1226"/>
      <c r="G324" s="1227"/>
      <c r="H324" s="1227"/>
      <c r="I324" s="1227"/>
      <c r="J324" s="1227"/>
      <c r="K324" s="1227"/>
      <c r="L324" s="1227"/>
      <c r="M324" s="1227"/>
      <c r="N324" s="1227"/>
      <c r="O324" s="1227"/>
      <c r="P324" s="1227"/>
      <c r="Q324" s="1227"/>
      <c r="R324" s="1227"/>
      <c r="S324" s="1227"/>
      <c r="T324" s="1175"/>
      <c r="U324" s="1175"/>
      <c r="V324" s="1175"/>
      <c r="W324" s="1175"/>
      <c r="X324" s="1175"/>
      <c r="Y324" s="1175"/>
      <c r="Z324" s="1175"/>
      <c r="AA324" s="1175"/>
      <c r="AB324" s="1396"/>
      <c r="AC324" s="995"/>
      <c r="AD324" s="1428"/>
      <c r="AE324" s="1406"/>
      <c r="AF324" s="1406"/>
      <c r="AG324" s="1406"/>
      <c r="AH324" s="1406"/>
      <c r="AI324" s="1406"/>
      <c r="AJ324" s="1406"/>
      <c r="AK324" s="1406"/>
      <c r="AL324" s="1407"/>
      <c r="AM324" s="1407"/>
      <c r="AN324" s="995"/>
      <c r="AO324" s="995"/>
      <c r="AP324" s="995"/>
      <c r="AQ324" s="995"/>
      <c r="AR324" s="995"/>
      <c r="AS324" s="1396"/>
      <c r="AT324" s="995"/>
      <c r="AU324" s="995"/>
      <c r="AV324" s="995"/>
      <c r="AW324" s="995"/>
      <c r="AX324" s="995"/>
      <c r="AY324" s="995"/>
      <c r="AZ324" s="995"/>
      <c r="BA324" s="995"/>
      <c r="BB324" s="995"/>
      <c r="BC324" s="995"/>
      <c r="BD324" s="995"/>
      <c r="BE324" s="995"/>
      <c r="BF324" s="995"/>
      <c r="BG324" s="995"/>
      <c r="BH324" s="995"/>
      <c r="BI324" s="995"/>
    </row>
    <row r="325" spans="1:61">
      <c r="A325" s="212" t="s">
        <v>493</v>
      </c>
      <c r="E325" s="14"/>
      <c r="F325" s="1228" t="str">
        <f>"CO2 bij bronmethode "&amp;EP_bronmethode</f>
        <v>CO2 bij bronmethode GPR 4.4 | NTA 8800</v>
      </c>
      <c r="G325" s="1229"/>
      <c r="H325" s="1229"/>
      <c r="I325" s="1229"/>
      <c r="J325" s="1228"/>
      <c r="K325" s="1230" t="s">
        <v>518</v>
      </c>
      <c r="L325" s="1230"/>
      <c r="M325" s="1228" t="str">
        <f>"CO2 bij doelmethode "&amp;EP_doelmethode</f>
        <v>CO2 bij doelmethode GPR 4.4 | NTA 8800</v>
      </c>
      <c r="N325" s="1229"/>
      <c r="O325" s="1229"/>
      <c r="P325" s="1229"/>
      <c r="Q325" s="1228"/>
      <c r="R325" s="1228"/>
      <c r="S325" s="1230" t="s">
        <v>518</v>
      </c>
      <c r="T325" s="1175"/>
      <c r="U325" s="1175"/>
      <c r="V325" s="1175"/>
      <c r="W325" s="1175"/>
      <c r="X325" s="1175"/>
      <c r="Y325" s="1175"/>
      <c r="Z325" s="1175"/>
      <c r="AA325" s="1175"/>
      <c r="AB325" s="1396"/>
      <c r="AS325" s="1396"/>
    </row>
    <row r="326" spans="1:61" ht="32">
      <c r="A326" s="212" t="s">
        <v>493</v>
      </c>
      <c r="E326" s="14"/>
      <c r="F326" s="1231" t="s">
        <v>523</v>
      </c>
      <c r="G326" s="1231" t="s">
        <v>540</v>
      </c>
      <c r="H326" s="1231" t="s">
        <v>541</v>
      </c>
      <c r="I326" s="1231"/>
      <c r="J326" s="1231" t="s">
        <v>542</v>
      </c>
      <c r="K326" s="1231" t="s">
        <v>543</v>
      </c>
      <c r="L326" s="1230"/>
      <c r="M326" s="1231" t="s">
        <v>523</v>
      </c>
      <c r="N326" s="1231" t="s">
        <v>540</v>
      </c>
      <c r="O326" s="1231"/>
      <c r="P326" s="1231" t="s">
        <v>541</v>
      </c>
      <c r="Q326" s="1231" t="s">
        <v>542</v>
      </c>
      <c r="R326" s="1231"/>
      <c r="S326" s="1231" t="s">
        <v>543</v>
      </c>
      <c r="T326" s="1175"/>
      <c r="U326" s="1175"/>
      <c r="V326" s="1175"/>
      <c r="W326" s="1175"/>
      <c r="X326" s="1175"/>
      <c r="Y326" s="1175"/>
      <c r="Z326" s="1175"/>
      <c r="AA326" s="1175"/>
      <c r="AB326" s="1396"/>
      <c r="AS326" s="1396"/>
    </row>
    <row r="327" spans="1:61">
      <c r="A327" s="212" t="s">
        <v>493</v>
      </c>
      <c r="E327" s="14"/>
      <c r="F327" s="1327" t="s">
        <v>552</v>
      </c>
      <c r="G327" s="1327" t="s">
        <v>468</v>
      </c>
      <c r="H327" s="1327" t="s">
        <v>132</v>
      </c>
      <c r="I327" s="1327"/>
      <c r="J327" s="1327" t="s">
        <v>468</v>
      </c>
      <c r="K327" s="1327"/>
      <c r="L327" s="1327"/>
      <c r="M327" s="1327" t="s">
        <v>552</v>
      </c>
      <c r="N327" s="1327" t="s">
        <v>468</v>
      </c>
      <c r="O327" s="1327"/>
      <c r="P327" s="1327" t="s">
        <v>132</v>
      </c>
      <c r="Q327" s="1327" t="s">
        <v>468</v>
      </c>
      <c r="R327" s="1327"/>
      <c r="S327" s="1327"/>
      <c r="T327" s="1175"/>
      <c r="U327" s="1175"/>
      <c r="V327" s="1175"/>
      <c r="W327" s="1175"/>
      <c r="X327" s="1175"/>
      <c r="Y327" s="1175"/>
      <c r="Z327" s="1175"/>
      <c r="AA327" s="1175"/>
      <c r="AB327" s="1396"/>
      <c r="AS327" s="1396"/>
    </row>
    <row r="328" spans="1:61">
      <c r="A328" s="212" t="s">
        <v>493</v>
      </c>
      <c r="E328" s="14"/>
      <c r="F328" s="1232" t="s">
        <v>1421</v>
      </c>
      <c r="G328" s="1233"/>
      <c r="H328" s="1233"/>
      <c r="I328" s="1233"/>
      <c r="J328" s="1233"/>
      <c r="K328" s="1233"/>
      <c r="L328" s="1233"/>
      <c r="M328" s="1232" t="s">
        <v>1424</v>
      </c>
      <c r="N328" s="1233"/>
      <c r="O328" s="1233"/>
      <c r="P328" s="1233"/>
      <c r="Q328" s="1233"/>
      <c r="R328" s="1233"/>
      <c r="S328" s="1233"/>
      <c r="T328" s="1175"/>
      <c r="U328" s="1175"/>
      <c r="V328" s="1175"/>
      <c r="W328" s="1175"/>
      <c r="X328" s="1175"/>
      <c r="Y328" s="1175"/>
      <c r="Z328" s="1175"/>
      <c r="AA328" s="1175"/>
      <c r="AB328" s="1396"/>
      <c r="AS328" s="1396"/>
    </row>
    <row r="329" spans="1:61">
      <c r="A329" s="212" t="s">
        <v>493</v>
      </c>
      <c r="E329" s="14"/>
      <c r="F329" s="1234">
        <f t="shared" ref="F329:F340" si="159">INDEX(CO2_GPR_score_6,MATCH($F44,Gebruiksfuncties,0),MATCH(EP_bronmethode,GPR_Versie_En_EP_Methode,0))</f>
        <v>22.434521484374997</v>
      </c>
      <c r="G329" s="1235">
        <f t="shared" ref="G329:G340" si="160">F329*$M44</f>
        <v>0</v>
      </c>
      <c r="H329" s="1236">
        <f t="shared" ref="H329:H340" si="161">G329/G$342</f>
        <v>0</v>
      </c>
      <c r="I329" s="1236"/>
      <c r="J329" s="1235" t="str">
        <f t="shared" ref="J329:J340" si="162">IF(OR($H329=0,ISNUMBER(J$342)=FALSE),"",$H329*J$342)</f>
        <v/>
      </c>
      <c r="K329" s="1237" t="str">
        <f t="shared" ref="K329:K340" si="163">IFERROR(1-(J329/J44)/F329,"")</f>
        <v/>
      </c>
      <c r="L329" s="1230"/>
      <c r="M329" s="1238">
        <f t="shared" ref="M329:M340" si="164">INDEX(CO2_GPR_score_6,MATCH($F44,Gebruiksfuncties,0),MATCH(EP_doelmethode,GPR_Versie_En_EP_Methode,0))</f>
        <v>22.434521484374997</v>
      </c>
      <c r="N329" s="1235">
        <f t="shared" ref="N329:N340" si="165">M329*$M44</f>
        <v>0</v>
      </c>
      <c r="O329" s="1235"/>
      <c r="P329" s="1236">
        <f t="shared" ref="P329:P340" si="166">N329/N$342</f>
        <v>0</v>
      </c>
      <c r="Q329" s="1235" t="str">
        <f t="shared" ref="Q329:Q340" si="167">IF(OR($P329=0,ISNUMBER(Q$342)=FALSE),"",$P329*Q$342)</f>
        <v/>
      </c>
      <c r="R329" s="1235"/>
      <c r="S329" s="1237" t="str">
        <f t="shared" ref="S329:S340" si="168">IFERROR(1-(Q329/M44)/M329,"")</f>
        <v/>
      </c>
      <c r="T329" s="1175"/>
      <c r="U329" s="1175"/>
      <c r="V329" s="1175"/>
      <c r="W329" s="1175"/>
      <c r="X329" s="1175"/>
      <c r="Y329" s="1175"/>
      <c r="Z329" s="1175"/>
      <c r="AA329" s="1175"/>
      <c r="AB329" s="1396"/>
      <c r="AS329" s="1396"/>
    </row>
    <row r="330" spans="1:61">
      <c r="A330" s="212" t="s">
        <v>493</v>
      </c>
      <c r="E330" s="14"/>
      <c r="F330" s="1239">
        <f t="shared" si="159"/>
        <v>22.434521484374997</v>
      </c>
      <c r="G330" s="1235">
        <f t="shared" si="160"/>
        <v>0</v>
      </c>
      <c r="H330" s="1236">
        <f t="shared" si="161"/>
        <v>0</v>
      </c>
      <c r="I330" s="1236"/>
      <c r="J330" s="1235" t="str">
        <f t="shared" si="162"/>
        <v/>
      </c>
      <c r="K330" s="1237" t="str">
        <f t="shared" si="163"/>
        <v/>
      </c>
      <c r="L330" s="1230"/>
      <c r="M330" s="1238">
        <f t="shared" si="164"/>
        <v>22.434521484374997</v>
      </c>
      <c r="N330" s="1235">
        <f t="shared" si="165"/>
        <v>0</v>
      </c>
      <c r="O330" s="1235"/>
      <c r="P330" s="1236">
        <f t="shared" si="166"/>
        <v>0</v>
      </c>
      <c r="Q330" s="1235" t="str">
        <f t="shared" si="167"/>
        <v/>
      </c>
      <c r="R330" s="1235"/>
      <c r="S330" s="1237" t="str">
        <f t="shared" si="168"/>
        <v/>
      </c>
      <c r="T330" s="1175"/>
      <c r="U330" s="1175"/>
      <c r="V330" s="1175"/>
      <c r="W330" s="1175"/>
      <c r="X330" s="1175"/>
      <c r="Y330" s="1175"/>
      <c r="Z330" s="1175"/>
      <c r="AA330" s="1175"/>
      <c r="AB330" s="1396"/>
      <c r="AS330" s="1396"/>
    </row>
    <row r="331" spans="1:61">
      <c r="A331" s="212" t="s">
        <v>493</v>
      </c>
      <c r="E331" s="14"/>
      <c r="F331" s="1239">
        <f t="shared" si="159"/>
        <v>35.564414062499999</v>
      </c>
      <c r="G331" s="1235">
        <f t="shared" si="160"/>
        <v>3556.44140625</v>
      </c>
      <c r="H331" s="1236">
        <f t="shared" si="161"/>
        <v>0.26381143249808647</v>
      </c>
      <c r="I331" s="1236"/>
      <c r="J331" s="1235">
        <f t="shared" si="162"/>
        <v>0</v>
      </c>
      <c r="K331" s="1237">
        <f t="shared" si="163"/>
        <v>1</v>
      </c>
      <c r="L331" s="1230"/>
      <c r="M331" s="1238">
        <f t="shared" si="164"/>
        <v>35.564414062499999</v>
      </c>
      <c r="N331" s="1235">
        <f t="shared" si="165"/>
        <v>3556.44140625</v>
      </c>
      <c r="O331" s="1235"/>
      <c r="P331" s="1236">
        <f t="shared" si="166"/>
        <v>0.26381143249808647</v>
      </c>
      <c r="Q331" s="1235">
        <f t="shared" si="167"/>
        <v>0</v>
      </c>
      <c r="R331" s="1235"/>
      <c r="S331" s="1237">
        <f t="shared" si="168"/>
        <v>1</v>
      </c>
      <c r="T331" s="1175"/>
      <c r="U331" s="1175"/>
      <c r="V331" s="1175"/>
      <c r="W331" s="1175"/>
      <c r="X331" s="1175"/>
      <c r="Y331" s="1175"/>
      <c r="Z331" s="1175"/>
      <c r="AA331" s="1175"/>
      <c r="AB331" s="1396"/>
      <c r="AS331" s="1396"/>
    </row>
    <row r="332" spans="1:61">
      <c r="A332" s="212" t="s">
        <v>493</v>
      </c>
      <c r="E332" s="14"/>
      <c r="F332" s="1239">
        <f t="shared" si="159"/>
        <v>46.114101562499997</v>
      </c>
      <c r="G332" s="1235">
        <f t="shared" si="160"/>
        <v>4611.41015625</v>
      </c>
      <c r="H332" s="1236">
        <f t="shared" si="161"/>
        <v>0.34206741520290929</v>
      </c>
      <c r="I332" s="1236"/>
      <c r="J332" s="1235">
        <f t="shared" si="162"/>
        <v>0</v>
      </c>
      <c r="K332" s="1237">
        <f t="shared" si="163"/>
        <v>1</v>
      </c>
      <c r="L332" s="1230"/>
      <c r="M332" s="1238">
        <f t="shared" si="164"/>
        <v>46.114101562499997</v>
      </c>
      <c r="N332" s="1235">
        <f t="shared" si="165"/>
        <v>4611.41015625</v>
      </c>
      <c r="O332" s="1235"/>
      <c r="P332" s="1236">
        <f t="shared" si="166"/>
        <v>0.34206741520290929</v>
      </c>
      <c r="Q332" s="1235">
        <f t="shared" si="167"/>
        <v>0</v>
      </c>
      <c r="R332" s="1235"/>
      <c r="S332" s="1237">
        <f t="shared" si="168"/>
        <v>1</v>
      </c>
      <c r="T332" s="1175"/>
      <c r="U332" s="1175"/>
      <c r="V332" s="1175"/>
      <c r="W332" s="1175"/>
      <c r="X332" s="1175"/>
      <c r="Y332" s="1175"/>
      <c r="Z332" s="1175"/>
      <c r="AA332" s="1175"/>
      <c r="AB332" s="1396"/>
      <c r="AS332" s="1396"/>
    </row>
    <row r="333" spans="1:61">
      <c r="A333" s="212" t="s">
        <v>493</v>
      </c>
      <c r="E333" s="14"/>
      <c r="F333" s="1239">
        <f t="shared" si="159"/>
        <v>53.131464843750003</v>
      </c>
      <c r="G333" s="1235">
        <f t="shared" si="160"/>
        <v>5313.146484375</v>
      </c>
      <c r="H333" s="1236">
        <f t="shared" si="161"/>
        <v>0.39412115229900418</v>
      </c>
      <c r="I333" s="1236"/>
      <c r="J333" s="1235">
        <f t="shared" si="162"/>
        <v>0</v>
      </c>
      <c r="K333" s="1237">
        <f t="shared" si="163"/>
        <v>1</v>
      </c>
      <c r="L333" s="1230"/>
      <c r="M333" s="1238">
        <f t="shared" si="164"/>
        <v>53.131464843750003</v>
      </c>
      <c r="N333" s="1235">
        <f t="shared" si="165"/>
        <v>5313.146484375</v>
      </c>
      <c r="O333" s="1235"/>
      <c r="P333" s="1236">
        <f t="shared" si="166"/>
        <v>0.39412115229900418</v>
      </c>
      <c r="Q333" s="1235">
        <f t="shared" si="167"/>
        <v>0</v>
      </c>
      <c r="R333" s="1235"/>
      <c r="S333" s="1237">
        <f t="shared" si="168"/>
        <v>1</v>
      </c>
      <c r="T333" s="1175"/>
      <c r="U333" s="1175"/>
      <c r="V333" s="1175"/>
      <c r="W333" s="1175"/>
      <c r="X333" s="1175"/>
      <c r="Y333" s="1175"/>
      <c r="Z333" s="1175"/>
      <c r="AA333" s="1175"/>
      <c r="AB333" s="1396"/>
      <c r="AS333" s="1396"/>
    </row>
    <row r="334" spans="1:61">
      <c r="A334" s="212" t="s">
        <v>493</v>
      </c>
      <c r="E334" s="14"/>
      <c r="F334" s="1239">
        <f t="shared" si="159"/>
        <v>47.116582031250005</v>
      </c>
      <c r="G334" s="1235">
        <f t="shared" si="160"/>
        <v>0</v>
      </c>
      <c r="H334" s="1236">
        <f t="shared" si="161"/>
        <v>0</v>
      </c>
      <c r="I334" s="1236"/>
      <c r="J334" s="1235" t="str">
        <f t="shared" si="162"/>
        <v/>
      </c>
      <c r="K334" s="1237" t="str">
        <f t="shared" si="163"/>
        <v/>
      </c>
      <c r="L334" s="1230"/>
      <c r="M334" s="1238">
        <f t="shared" si="164"/>
        <v>47.116582031250005</v>
      </c>
      <c r="N334" s="1235">
        <f t="shared" si="165"/>
        <v>0</v>
      </c>
      <c r="O334" s="1235"/>
      <c r="P334" s="1236">
        <f t="shared" si="166"/>
        <v>0</v>
      </c>
      <c r="Q334" s="1235" t="str">
        <f t="shared" si="167"/>
        <v/>
      </c>
      <c r="R334" s="1235"/>
      <c r="S334" s="1237" t="str">
        <f t="shared" si="168"/>
        <v/>
      </c>
      <c r="T334" s="1175"/>
      <c r="U334" s="1175"/>
      <c r="V334" s="1175"/>
      <c r="W334" s="1175"/>
      <c r="X334" s="1175"/>
      <c r="Y334" s="1175"/>
      <c r="Z334" s="1175"/>
      <c r="AA334" s="1175"/>
      <c r="AB334" s="1396"/>
      <c r="AS334" s="1396"/>
    </row>
    <row r="335" spans="1:61">
      <c r="A335" s="212" t="s">
        <v>493</v>
      </c>
      <c r="E335" s="14"/>
      <c r="F335" s="1239">
        <f t="shared" si="159"/>
        <v>41.491816406250003</v>
      </c>
      <c r="G335" s="1235">
        <f t="shared" si="160"/>
        <v>0</v>
      </c>
      <c r="H335" s="1236">
        <f t="shared" si="161"/>
        <v>0</v>
      </c>
      <c r="I335" s="1236"/>
      <c r="J335" s="1235" t="str">
        <f t="shared" si="162"/>
        <v/>
      </c>
      <c r="K335" s="1237" t="str">
        <f t="shared" si="163"/>
        <v/>
      </c>
      <c r="L335" s="1230"/>
      <c r="M335" s="1238">
        <f t="shared" si="164"/>
        <v>41.491816406250003</v>
      </c>
      <c r="N335" s="1235">
        <f t="shared" si="165"/>
        <v>0</v>
      </c>
      <c r="O335" s="1235"/>
      <c r="P335" s="1236">
        <f t="shared" si="166"/>
        <v>0</v>
      </c>
      <c r="Q335" s="1235" t="str">
        <f t="shared" si="167"/>
        <v/>
      </c>
      <c r="R335" s="1235"/>
      <c r="S335" s="1237" t="str">
        <f t="shared" si="168"/>
        <v/>
      </c>
      <c r="T335" s="1175"/>
      <c r="U335" s="1175"/>
      <c r="V335" s="1175"/>
      <c r="W335" s="1175"/>
      <c r="X335" s="1175"/>
      <c r="Y335" s="1175"/>
      <c r="Z335" s="1175"/>
      <c r="AA335" s="1175"/>
      <c r="AB335" s="1396"/>
      <c r="AS335" s="1396"/>
    </row>
    <row r="336" spans="1:61">
      <c r="A336" s="212" t="s">
        <v>493</v>
      </c>
      <c r="E336" s="14"/>
      <c r="F336" s="1239">
        <f t="shared" si="159"/>
        <v>87.467207031249998</v>
      </c>
      <c r="G336" s="1235">
        <f t="shared" si="160"/>
        <v>0</v>
      </c>
      <c r="H336" s="1236">
        <f t="shared" si="161"/>
        <v>0</v>
      </c>
      <c r="I336" s="1236"/>
      <c r="J336" s="1235" t="str">
        <f t="shared" si="162"/>
        <v/>
      </c>
      <c r="K336" s="1237" t="str">
        <f t="shared" si="163"/>
        <v/>
      </c>
      <c r="L336" s="1230"/>
      <c r="M336" s="1238">
        <f t="shared" si="164"/>
        <v>87.467207031249998</v>
      </c>
      <c r="N336" s="1235">
        <f t="shared" si="165"/>
        <v>0</v>
      </c>
      <c r="O336" s="1235"/>
      <c r="P336" s="1236">
        <f t="shared" si="166"/>
        <v>0</v>
      </c>
      <c r="Q336" s="1235" t="str">
        <f t="shared" si="167"/>
        <v/>
      </c>
      <c r="R336" s="1235"/>
      <c r="S336" s="1237" t="str">
        <f t="shared" si="168"/>
        <v/>
      </c>
      <c r="T336" s="1175"/>
      <c r="U336" s="1175"/>
      <c r="V336" s="1175"/>
      <c r="W336" s="1175"/>
      <c r="X336" s="1175"/>
      <c r="Y336" s="1175"/>
      <c r="Z336" s="1175"/>
      <c r="AA336" s="1175"/>
      <c r="AB336" s="1396"/>
      <c r="AS336" s="1396"/>
    </row>
    <row r="337" spans="1:61">
      <c r="A337" s="212" t="s">
        <v>493</v>
      </c>
      <c r="E337" s="14"/>
      <c r="F337" s="1239">
        <f t="shared" si="159"/>
        <v>59.2190478515625</v>
      </c>
      <c r="G337" s="1235">
        <f t="shared" si="160"/>
        <v>0</v>
      </c>
      <c r="H337" s="1236">
        <f t="shared" si="161"/>
        <v>0</v>
      </c>
      <c r="I337" s="1236"/>
      <c r="J337" s="1235" t="str">
        <f t="shared" si="162"/>
        <v/>
      </c>
      <c r="K337" s="1237" t="str">
        <f t="shared" si="163"/>
        <v/>
      </c>
      <c r="L337" s="1230"/>
      <c r="M337" s="1238">
        <f t="shared" si="164"/>
        <v>59.2190478515625</v>
      </c>
      <c r="N337" s="1235">
        <f t="shared" si="165"/>
        <v>0</v>
      </c>
      <c r="O337" s="1235"/>
      <c r="P337" s="1236">
        <f t="shared" si="166"/>
        <v>0</v>
      </c>
      <c r="Q337" s="1235" t="str">
        <f t="shared" si="167"/>
        <v/>
      </c>
      <c r="R337" s="1235"/>
      <c r="S337" s="1237" t="str">
        <f t="shared" si="168"/>
        <v/>
      </c>
      <c r="T337" s="1175"/>
      <c r="U337" s="1175"/>
      <c r="V337" s="1175"/>
      <c r="W337" s="1175"/>
      <c r="X337" s="1175"/>
      <c r="Y337" s="1175"/>
      <c r="Z337" s="1175"/>
      <c r="AA337" s="1175"/>
      <c r="AB337" s="1396"/>
      <c r="AS337" s="1396"/>
    </row>
    <row r="338" spans="1:61">
      <c r="A338" s="212" t="s">
        <v>493</v>
      </c>
      <c r="E338" s="14"/>
      <c r="F338" s="1239">
        <f t="shared" si="159"/>
        <v>30.624912109375</v>
      </c>
      <c r="G338" s="1235">
        <f t="shared" si="160"/>
        <v>0</v>
      </c>
      <c r="H338" s="1236">
        <f t="shared" si="161"/>
        <v>0</v>
      </c>
      <c r="I338" s="1236"/>
      <c r="J338" s="1235" t="str">
        <f t="shared" si="162"/>
        <v/>
      </c>
      <c r="K338" s="1237" t="str">
        <f t="shared" si="163"/>
        <v/>
      </c>
      <c r="L338" s="1230"/>
      <c r="M338" s="1238">
        <f t="shared" si="164"/>
        <v>30.624912109375</v>
      </c>
      <c r="N338" s="1235">
        <f t="shared" si="165"/>
        <v>0</v>
      </c>
      <c r="O338" s="1235"/>
      <c r="P338" s="1236">
        <f t="shared" si="166"/>
        <v>0</v>
      </c>
      <c r="Q338" s="1235" t="str">
        <f t="shared" si="167"/>
        <v/>
      </c>
      <c r="R338" s="1235"/>
      <c r="S338" s="1237" t="str">
        <f t="shared" si="168"/>
        <v/>
      </c>
      <c r="T338" s="1175"/>
      <c r="U338" s="1175"/>
      <c r="V338" s="1175"/>
      <c r="W338" s="1175"/>
      <c r="X338" s="1175"/>
      <c r="Y338" s="1175"/>
      <c r="Z338" s="1175"/>
      <c r="AA338" s="1175"/>
      <c r="AB338" s="1396"/>
      <c r="AS338" s="1396"/>
    </row>
    <row r="339" spans="1:61">
      <c r="A339" s="212" t="s">
        <v>493</v>
      </c>
      <c r="E339" s="14"/>
      <c r="F339" s="1239">
        <f t="shared" si="159"/>
        <v>45.443417968749998</v>
      </c>
      <c r="G339" s="1235">
        <f t="shared" si="160"/>
        <v>0</v>
      </c>
      <c r="H339" s="1236">
        <f t="shared" si="161"/>
        <v>0</v>
      </c>
      <c r="I339" s="1236"/>
      <c r="J339" s="1235" t="str">
        <f t="shared" si="162"/>
        <v/>
      </c>
      <c r="K339" s="1237" t="str">
        <f t="shared" si="163"/>
        <v/>
      </c>
      <c r="L339" s="1230"/>
      <c r="M339" s="1238">
        <f t="shared" si="164"/>
        <v>45.443417968749998</v>
      </c>
      <c r="N339" s="1235">
        <f t="shared" si="165"/>
        <v>0</v>
      </c>
      <c r="O339" s="1235"/>
      <c r="P339" s="1236">
        <f t="shared" si="166"/>
        <v>0</v>
      </c>
      <c r="Q339" s="1235" t="str">
        <f t="shared" si="167"/>
        <v/>
      </c>
      <c r="R339" s="1235"/>
      <c r="S339" s="1237" t="str">
        <f t="shared" si="168"/>
        <v/>
      </c>
      <c r="T339" s="1175"/>
      <c r="U339" s="1175"/>
      <c r="V339" s="1175"/>
      <c r="W339" s="1175"/>
      <c r="X339" s="1175"/>
      <c r="Y339" s="1175"/>
      <c r="Z339" s="1175"/>
      <c r="AA339" s="1175"/>
      <c r="AB339" s="1396"/>
      <c r="AS339" s="1396"/>
    </row>
    <row r="340" spans="1:61">
      <c r="A340" s="212" t="s">
        <v>493</v>
      </c>
      <c r="E340" s="14"/>
      <c r="F340" s="1240">
        <f t="shared" si="159"/>
        <v>66.483620689655183</v>
      </c>
      <c r="G340" s="1235">
        <f t="shared" si="160"/>
        <v>0</v>
      </c>
      <c r="H340" s="1236">
        <f t="shared" si="161"/>
        <v>0</v>
      </c>
      <c r="I340" s="1236"/>
      <c r="J340" s="1235" t="str">
        <f t="shared" si="162"/>
        <v/>
      </c>
      <c r="K340" s="1237" t="str">
        <f t="shared" si="163"/>
        <v/>
      </c>
      <c r="L340" s="1230"/>
      <c r="M340" s="1238">
        <f t="shared" si="164"/>
        <v>66.483620689655183</v>
      </c>
      <c r="N340" s="1235">
        <f t="shared" si="165"/>
        <v>0</v>
      </c>
      <c r="O340" s="1235"/>
      <c r="P340" s="1236">
        <f t="shared" si="166"/>
        <v>0</v>
      </c>
      <c r="Q340" s="1235" t="str">
        <f t="shared" si="167"/>
        <v/>
      </c>
      <c r="R340" s="1235"/>
      <c r="S340" s="1237" t="str">
        <f t="shared" si="168"/>
        <v/>
      </c>
      <c r="T340" s="1175"/>
      <c r="U340" s="1175"/>
      <c r="V340" s="1175"/>
      <c r="W340" s="1175"/>
      <c r="X340" s="1175"/>
      <c r="Y340" s="1175"/>
      <c r="Z340" s="1175"/>
      <c r="AA340" s="1175"/>
      <c r="AB340" s="1396"/>
      <c r="AS340" s="1396"/>
    </row>
    <row r="341" spans="1:61">
      <c r="A341" s="212" t="s">
        <v>493</v>
      </c>
      <c r="E341" s="14"/>
      <c r="F341" s="1230"/>
      <c r="G341" s="1241" t="s">
        <v>1422</v>
      </c>
      <c r="H341" s="1230"/>
      <c r="I341" s="1230"/>
      <c r="J341" s="1227"/>
      <c r="K341" s="1228" t="s">
        <v>1423</v>
      </c>
      <c r="L341" s="1230"/>
      <c r="M341" s="1230"/>
      <c r="N341" s="1230"/>
      <c r="O341" s="1230"/>
      <c r="P341" s="1230"/>
      <c r="Q341" s="1227"/>
      <c r="R341" s="1227"/>
      <c r="S341" s="1230"/>
      <c r="T341" s="1175"/>
      <c r="U341" s="1175"/>
      <c r="V341" s="1175"/>
      <c r="W341" s="1175"/>
      <c r="X341" s="1175"/>
      <c r="Y341" s="1175"/>
      <c r="Z341" s="1175"/>
      <c r="AA341" s="1175"/>
      <c r="AB341" s="1396"/>
      <c r="AS341" s="1396"/>
    </row>
    <row r="342" spans="1:61">
      <c r="A342" s="212" t="s">
        <v>493</v>
      </c>
      <c r="E342" s="14"/>
      <c r="F342" s="1333">
        <f>SUMPRODUCT(F329:F340,M44:M55)/M58</f>
        <v>44.936660156249999</v>
      </c>
      <c r="G342" s="1242">
        <f>SUM(G329:G340)</f>
        <v>13480.998046875</v>
      </c>
      <c r="H342" s="1230"/>
      <c r="I342" s="1230"/>
      <c r="J342" s="1235">
        <f>$J$39</f>
        <v>0</v>
      </c>
      <c r="K342" s="1243">
        <f>1-J39/G342</f>
        <v>1</v>
      </c>
      <c r="L342" s="1230"/>
      <c r="M342" s="1333">
        <f>SUMPRODUCT(M329:M340,M44:M55)/M58</f>
        <v>44.936660156249999</v>
      </c>
      <c r="N342" s="1235">
        <f>SUM(N329:N340)</f>
        <v>13480.998046875</v>
      </c>
      <c r="O342" s="1235"/>
      <c r="P342" s="1230"/>
      <c r="Q342" s="1235">
        <f>N342*(1-J40)</f>
        <v>0</v>
      </c>
      <c r="R342" s="1235"/>
      <c r="S342" s="1237">
        <f>IFERROR(1-(Q342/M58)/M342,"")</f>
        <v>1</v>
      </c>
      <c r="T342" s="1175"/>
      <c r="U342" s="1175"/>
      <c r="V342" s="1175"/>
      <c r="W342" s="1175"/>
      <c r="X342" s="1175"/>
      <c r="Y342" s="1175"/>
      <c r="Z342" s="1175"/>
      <c r="AA342" s="1175"/>
      <c r="AB342" s="1396"/>
      <c r="AS342" s="1396"/>
    </row>
    <row r="343" spans="1:61">
      <c r="A343" s="212" t="s">
        <v>493</v>
      </c>
      <c r="E343" s="1175"/>
      <c r="F343" s="1175"/>
      <c r="G343" s="1175"/>
      <c r="H343" s="1175"/>
      <c r="I343" s="1175"/>
      <c r="J343" s="1175"/>
      <c r="K343" s="1175"/>
      <c r="L343" s="1175"/>
      <c r="M343" s="1175"/>
      <c r="N343" s="1175"/>
      <c r="O343" s="1175"/>
      <c r="P343" s="1175"/>
      <c r="Q343" s="1175"/>
      <c r="R343" s="1175"/>
      <c r="S343" s="1175"/>
      <c r="T343" s="1175"/>
      <c r="U343" s="1175"/>
      <c r="V343" s="1175"/>
      <c r="W343" s="1175"/>
      <c r="X343" s="1175"/>
      <c r="Y343" s="1175"/>
      <c r="Z343" s="1175"/>
      <c r="AA343" s="1175"/>
      <c r="AB343" s="1396"/>
      <c r="AS343" s="1396"/>
    </row>
    <row r="344" spans="1:61" s="1309" customFormat="1" ht="25.5" customHeight="1">
      <c r="A344" s="212" t="s">
        <v>493</v>
      </c>
      <c r="B344" s="1300"/>
      <c r="C344" s="1301"/>
      <c r="D344" s="1300"/>
      <c r="E344" s="1302"/>
      <c r="F344" s="1302" t="s">
        <v>1644</v>
      </c>
      <c r="G344" s="1310"/>
      <c r="H344" s="1311"/>
      <c r="I344" s="1312"/>
      <c r="J344" s="1310"/>
      <c r="K344" s="1313"/>
      <c r="L344" s="1314"/>
      <c r="M344" s="1302"/>
      <c r="N344" s="1302"/>
      <c r="O344" s="1314"/>
      <c r="P344" s="1314"/>
      <c r="Q344" s="1302"/>
      <c r="R344" s="1302"/>
      <c r="S344" s="1302"/>
      <c r="T344" s="1302"/>
      <c r="U344" s="1302"/>
      <c r="V344" s="1302"/>
      <c r="W344" s="1302"/>
      <c r="X344" s="1302"/>
      <c r="Y344" s="1302"/>
      <c r="Z344" s="1302"/>
      <c r="AA344" s="1302"/>
      <c r="AB344" s="1302"/>
      <c r="AC344" s="1302"/>
      <c r="AD344" s="1323"/>
      <c r="AE344" s="1317"/>
      <c r="AF344" s="1317"/>
      <c r="AG344" s="1317"/>
      <c r="AH344" s="1317"/>
      <c r="AI344" s="1317"/>
      <c r="AJ344" s="1317"/>
      <c r="AK344" s="1317"/>
      <c r="AL344" s="1317"/>
      <c r="AM344" s="1317"/>
      <c r="AN344" s="1302"/>
      <c r="AO344" s="1302"/>
      <c r="AP344" s="1302"/>
      <c r="AQ344" s="1302"/>
      <c r="AR344" s="1302"/>
      <c r="AS344" s="1302"/>
      <c r="AT344" s="1302"/>
      <c r="AU344" s="1302"/>
      <c r="AV344" s="1302"/>
      <c r="AW344" s="1302"/>
      <c r="AX344" s="1302"/>
      <c r="AY344" s="1302"/>
      <c r="AZ344" s="1302"/>
      <c r="BA344" s="1302"/>
      <c r="BB344" s="1302"/>
      <c r="BC344" s="1302"/>
      <c r="BD344" s="1302"/>
      <c r="BE344" s="1302"/>
      <c r="BF344" s="1302"/>
      <c r="BG344" s="1302"/>
      <c r="BH344" s="1302"/>
      <c r="BI344" s="1302"/>
    </row>
    <row r="345" spans="1:61">
      <c r="A345" s="212" t="s">
        <v>493</v>
      </c>
      <c r="B345" s="943"/>
      <c r="C345" s="1092"/>
      <c r="D345" s="943"/>
      <c r="E345" s="14"/>
      <c r="F345" s="147"/>
      <c r="G345" s="14"/>
      <c r="H345" s="14"/>
      <c r="I345" s="14"/>
      <c r="J345" s="14"/>
      <c r="K345" s="14"/>
      <c r="L345" s="14"/>
      <c r="M345" s="14"/>
      <c r="N345" s="14"/>
      <c r="O345" s="14"/>
      <c r="P345" s="1175"/>
      <c r="Q345" s="1175"/>
      <c r="R345" s="1175"/>
      <c r="S345" s="1175"/>
      <c r="T345" s="1175"/>
      <c r="U345" s="1175"/>
      <c r="V345" s="1175"/>
      <c r="W345" s="1175"/>
      <c r="X345" s="1175"/>
      <c r="Y345" s="1175"/>
      <c r="Z345" s="1175"/>
      <c r="AA345" s="1175"/>
      <c r="AB345" s="1396"/>
      <c r="AC345" s="995"/>
      <c r="AD345" s="1428"/>
      <c r="AE345" s="1406"/>
      <c r="AF345" s="1406"/>
      <c r="AG345" s="1406"/>
      <c r="AH345" s="1406"/>
      <c r="AI345" s="1406"/>
      <c r="AJ345" s="1406"/>
      <c r="AK345" s="1406"/>
      <c r="AL345" s="1407"/>
      <c r="AM345" s="1407"/>
      <c r="AN345" s="995"/>
      <c r="AO345" s="995"/>
      <c r="AP345" s="995"/>
      <c r="AQ345" s="995"/>
      <c r="AR345" s="995"/>
      <c r="AS345" s="1396"/>
      <c r="AT345" s="995"/>
      <c r="AU345" s="995"/>
      <c r="AV345" s="995"/>
      <c r="AW345" s="995"/>
      <c r="AX345" s="995"/>
      <c r="AY345" s="995"/>
      <c r="AZ345" s="995"/>
      <c r="BA345" s="995"/>
      <c r="BB345" s="995"/>
      <c r="BC345" s="995"/>
      <c r="BD345" s="995"/>
      <c r="BE345" s="995"/>
      <c r="BF345" s="995"/>
      <c r="BG345" s="995"/>
      <c r="BH345" s="995"/>
      <c r="BI345" s="995"/>
    </row>
    <row r="346" spans="1:61" ht="21">
      <c r="A346" s="212" t="s">
        <v>493</v>
      </c>
      <c r="C346" s="1163"/>
      <c r="E346" s="14"/>
      <c r="F346" s="1172" t="s">
        <v>1642</v>
      </c>
      <c r="G346" s="13"/>
      <c r="H346" s="13"/>
      <c r="I346" s="13"/>
      <c r="J346" s="13"/>
      <c r="K346" s="13"/>
      <c r="L346" s="13"/>
      <c r="M346" s="13"/>
      <c r="N346" s="13"/>
      <c r="O346" s="13"/>
      <c r="P346" s="1175"/>
      <c r="Q346" s="1175"/>
      <c r="R346" s="1175"/>
      <c r="S346" s="1175"/>
      <c r="T346" s="1175"/>
      <c r="U346" s="1175"/>
      <c r="V346" s="1175"/>
      <c r="W346" s="1175"/>
      <c r="X346" s="1175"/>
      <c r="Y346" s="1175"/>
      <c r="Z346" s="1175"/>
      <c r="AA346" s="1175"/>
      <c r="AB346" s="1396"/>
      <c r="AS346" s="1396"/>
    </row>
    <row r="347" spans="1:61" s="422" customFormat="1" ht="32">
      <c r="A347" s="212" t="s">
        <v>493</v>
      </c>
      <c r="B347" s="781"/>
      <c r="C347" s="1164" t="s">
        <v>1638</v>
      </c>
      <c r="D347" s="781"/>
      <c r="E347" s="14"/>
      <c r="F347" s="1174" t="s">
        <v>1444</v>
      </c>
      <c r="G347" s="1174" t="s">
        <v>1445</v>
      </c>
      <c r="H347" s="1174"/>
      <c r="I347" s="1174"/>
      <c r="J347" s="1174" t="s">
        <v>531</v>
      </c>
      <c r="K347" s="1174" t="s">
        <v>532</v>
      </c>
      <c r="L347" s="1174"/>
      <c r="M347" s="1174" t="s">
        <v>431</v>
      </c>
      <c r="N347" s="1174" t="s">
        <v>533</v>
      </c>
      <c r="O347" s="1175"/>
      <c r="P347" s="1175"/>
      <c r="Q347" s="1175"/>
      <c r="R347" s="1175"/>
      <c r="S347" s="1175"/>
      <c r="T347" s="1175"/>
      <c r="U347" s="1175"/>
      <c r="V347" s="1175"/>
      <c r="W347" s="1175"/>
      <c r="X347" s="1175"/>
      <c r="Y347" s="1175"/>
      <c r="Z347" s="1175"/>
      <c r="AA347" s="1175"/>
      <c r="AB347" s="1396"/>
      <c r="AD347" s="1439"/>
      <c r="AE347" s="1086"/>
      <c r="AF347" s="1086"/>
      <c r="AG347" s="1086"/>
      <c r="AH347" s="1086"/>
      <c r="AI347" s="1086"/>
      <c r="AJ347" s="1086"/>
      <c r="AK347" s="1086"/>
      <c r="AL347" s="1425"/>
      <c r="AM347" s="1425"/>
      <c r="AS347" s="1396"/>
    </row>
    <row r="348" spans="1:61">
      <c r="A348" s="212" t="s">
        <v>493</v>
      </c>
      <c r="C348" s="1164" t="s">
        <v>204</v>
      </c>
      <c r="E348" s="14"/>
      <c r="F348" s="1331" t="s">
        <v>132</v>
      </c>
      <c r="G348" s="1331" t="s">
        <v>132</v>
      </c>
      <c r="H348" s="1331"/>
      <c r="I348" s="1331"/>
      <c r="J348" s="1331" t="s">
        <v>551</v>
      </c>
      <c r="K348" s="1331" t="s">
        <v>132</v>
      </c>
      <c r="L348" s="1331"/>
      <c r="M348" s="1331" t="s">
        <v>440</v>
      </c>
      <c r="N348" s="1331"/>
      <c r="O348" s="1175"/>
      <c r="P348" s="1175"/>
      <c r="Q348" s="1175"/>
      <c r="R348" s="1175"/>
      <c r="S348" s="1175"/>
      <c r="T348" s="1175"/>
      <c r="U348" s="1175"/>
      <c r="V348" s="1175"/>
      <c r="W348" s="1175"/>
      <c r="X348" s="1175"/>
      <c r="Y348" s="1175"/>
      <c r="Z348" s="1175"/>
      <c r="AA348" s="1175"/>
      <c r="AB348" s="1396"/>
      <c r="AS348" s="1396"/>
    </row>
    <row r="349" spans="1:61">
      <c r="A349" s="212" t="s">
        <v>493</v>
      </c>
      <c r="C349" s="1164" t="s">
        <v>1639</v>
      </c>
      <c r="E349" s="14"/>
      <c r="F349" s="1175"/>
      <c r="G349" s="1175"/>
      <c r="H349" s="1175"/>
      <c r="I349" s="1175"/>
      <c r="J349" s="1175"/>
      <c r="K349" s="1175"/>
      <c r="L349" s="1175"/>
      <c r="M349" s="1175"/>
      <c r="N349" s="1176" t="s">
        <v>1412</v>
      </c>
      <c r="O349" s="1175"/>
      <c r="P349" s="1175"/>
      <c r="Q349" s="1175"/>
      <c r="R349" s="1175"/>
      <c r="S349" s="1175"/>
      <c r="T349" s="1175"/>
      <c r="U349" s="1175"/>
      <c r="V349" s="1175"/>
      <c r="W349" s="1175"/>
      <c r="X349" s="1175"/>
      <c r="Y349" s="1175"/>
      <c r="Z349" s="1175"/>
      <c r="AA349" s="1175"/>
      <c r="AB349" s="1396"/>
      <c r="AS349" s="1396"/>
    </row>
    <row r="350" spans="1:61">
      <c r="A350" s="212" t="s">
        <v>493</v>
      </c>
      <c r="C350" s="1164" t="str">
        <f t="shared" ref="C350:C361" si="169">F44</f>
        <v>woning</v>
      </c>
      <c r="E350" s="14"/>
      <c r="F350" s="1177">
        <f t="shared" ref="F350:F361" si="170">INDEX(MPG_factor_a,MATCH($F44,Gebruiksfuncties,0),MATCH(EP_bronmethode,GPR_Versie_En_EP_Methode,0))</f>
        <v>-6.2290000000000001</v>
      </c>
      <c r="G350" s="1177">
        <f t="shared" ref="G350:G361" si="171">INDEX(MPG_factor_b,MATCH($F44,Gebruiksfuncties,0),MATCH(EP_bronmethode,GPR_Versie_En_EP_Methode,0))</f>
        <v>3.6139999999999999</v>
      </c>
      <c r="H350" s="1177"/>
      <c r="I350" s="1177"/>
      <c r="J350" s="1178">
        <f t="shared" ref="J350:J361" si="172">F372*$M44/$M$58*$J$275</f>
        <v>0</v>
      </c>
      <c r="K350" s="1179">
        <f t="shared" ref="K350:K361" si="173">IF($BA$273=1,J350/J$363,M44/$M$58)</f>
        <v>0</v>
      </c>
      <c r="L350" s="1179"/>
      <c r="M350" s="1177" t="str">
        <f t="shared" ref="M350:M361" si="174">IF(OR($K350=0,ISNUMBER(M$363)=FALSE),"",$K350*M$363/IF(M44="",1,$M44))</f>
        <v/>
      </c>
      <c r="N350" s="1180" t="str">
        <f t="shared" ref="N350:N361" si="175">IFERROR(F350*LN(M350)+G350,"")</f>
        <v/>
      </c>
      <c r="O350" s="1175"/>
      <c r="P350" s="1374" t="e">
        <f>EXP((N350-G350)/F350)</f>
        <v>#VALUE!</v>
      </c>
      <c r="Q350" s="1175"/>
      <c r="R350" s="1175"/>
      <c r="S350" s="1175"/>
      <c r="T350" s="1175"/>
      <c r="U350" s="1175"/>
      <c r="V350" s="1175"/>
      <c r="W350" s="1175"/>
      <c r="X350" s="1175"/>
      <c r="Y350" s="1175"/>
      <c r="Z350" s="1175"/>
      <c r="AA350" s="1175"/>
      <c r="AB350" s="1396"/>
      <c r="AS350" s="1396"/>
    </row>
    <row r="351" spans="1:61">
      <c r="A351" s="212" t="s">
        <v>493</v>
      </c>
      <c r="C351" s="1164" t="str">
        <f t="shared" si="169"/>
        <v>woongebouw</v>
      </c>
      <c r="E351" s="14"/>
      <c r="F351" s="1177">
        <f t="shared" si="170"/>
        <v>-6.2290000000000001</v>
      </c>
      <c r="G351" s="1177">
        <f t="shared" si="171"/>
        <v>3.6139999999999999</v>
      </c>
      <c r="H351" s="1177"/>
      <c r="I351" s="1177"/>
      <c r="J351" s="1178">
        <f t="shared" si="172"/>
        <v>0</v>
      </c>
      <c r="K351" s="1179">
        <f t="shared" si="173"/>
        <v>0</v>
      </c>
      <c r="L351" s="1179"/>
      <c r="M351" s="1177" t="str">
        <f t="shared" si="174"/>
        <v/>
      </c>
      <c r="N351" s="1180" t="str">
        <f t="shared" si="175"/>
        <v/>
      </c>
      <c r="O351" s="1175"/>
      <c r="P351" s="1175"/>
      <c r="Q351" s="1175"/>
      <c r="R351" s="1175"/>
      <c r="S351" s="1175"/>
      <c r="T351" s="1175"/>
      <c r="U351" s="1175"/>
      <c r="V351" s="1175"/>
      <c r="W351" s="1175"/>
      <c r="X351" s="1175"/>
      <c r="Y351" s="1175"/>
      <c r="Z351" s="1175"/>
      <c r="AA351" s="1175"/>
      <c r="AB351" s="1396"/>
      <c r="AS351" s="1396"/>
    </row>
    <row r="352" spans="1:61">
      <c r="A352" s="212" t="s">
        <v>493</v>
      </c>
      <c r="C352" s="1164" t="str">
        <f t="shared" si="169"/>
        <v>kantoor</v>
      </c>
      <c r="E352" s="14"/>
      <c r="F352" s="1177">
        <f t="shared" si="170"/>
        <v>-9.4329999999999998</v>
      </c>
      <c r="G352" s="1177">
        <f t="shared" si="171"/>
        <v>4.0190999999999999</v>
      </c>
      <c r="H352" s="1177"/>
      <c r="I352" s="1177"/>
      <c r="J352" s="1178">
        <f t="shared" si="172"/>
        <v>1.1393711832871893</v>
      </c>
      <c r="K352" s="1179">
        <f t="shared" si="173"/>
        <v>0.33333333333333331</v>
      </c>
      <c r="L352" s="1179"/>
      <c r="M352" s="1177">
        <f t="shared" si="174"/>
        <v>0</v>
      </c>
      <c r="N352" s="1180" t="str">
        <f t="shared" si="175"/>
        <v/>
      </c>
      <c r="O352" s="1175"/>
      <c r="P352" s="1175"/>
      <c r="Q352" s="1175"/>
      <c r="R352" s="1175"/>
      <c r="S352" s="1175"/>
      <c r="T352" s="1175"/>
      <c r="U352" s="1175"/>
      <c r="V352" s="1175"/>
      <c r="W352" s="1175"/>
      <c r="X352" s="1175"/>
      <c r="Y352" s="1175"/>
      <c r="Z352" s="1175"/>
      <c r="AA352" s="1175"/>
      <c r="AB352" s="1396"/>
      <c r="AS352" s="1396"/>
    </row>
    <row r="353" spans="1:61">
      <c r="A353" s="212" t="s">
        <v>493</v>
      </c>
      <c r="C353" s="1164" t="str">
        <f t="shared" si="169"/>
        <v>bijeenkomst overig</v>
      </c>
      <c r="E353" s="14"/>
      <c r="F353" s="1177">
        <f t="shared" si="170"/>
        <v>-6.6280000000000001</v>
      </c>
      <c r="G353" s="1177">
        <f t="shared" si="171"/>
        <v>5.5023</v>
      </c>
      <c r="H353" s="1177"/>
      <c r="I353" s="1177"/>
      <c r="J353" s="1178">
        <f t="shared" si="172"/>
        <v>1.4988808111288137</v>
      </c>
      <c r="K353" s="1179">
        <f t="shared" si="173"/>
        <v>0.33333333333333331</v>
      </c>
      <c r="L353" s="1179"/>
      <c r="M353" s="1177">
        <f t="shared" si="174"/>
        <v>0</v>
      </c>
      <c r="N353" s="1180" t="str">
        <f t="shared" si="175"/>
        <v/>
      </c>
      <c r="O353" s="1175"/>
      <c r="P353" s="1175"/>
      <c r="Q353" s="1175"/>
      <c r="R353" s="1175"/>
      <c r="S353" s="1175"/>
      <c r="T353" s="1175"/>
      <c r="U353" s="1175"/>
      <c r="V353" s="1175"/>
      <c r="W353" s="1175"/>
      <c r="X353" s="1175"/>
      <c r="Y353" s="1175"/>
      <c r="Z353" s="1175"/>
      <c r="AA353" s="1175"/>
      <c r="AB353" s="1396"/>
      <c r="AS353" s="1396"/>
    </row>
    <row r="354" spans="1:61">
      <c r="A354" s="212" t="s">
        <v>493</v>
      </c>
      <c r="C354" s="1164" t="str">
        <f t="shared" si="169"/>
        <v>bijeenkomst kinderdagverblijf</v>
      </c>
      <c r="E354" s="14"/>
      <c r="F354" s="1177">
        <f t="shared" si="170"/>
        <v>-8.84</v>
      </c>
      <c r="G354" s="1177">
        <f t="shared" si="171"/>
        <v>4.5613000000000001</v>
      </c>
      <c r="H354" s="1177"/>
      <c r="I354" s="1177"/>
      <c r="J354" s="1178">
        <f t="shared" si="172"/>
        <v>1.6539645329958232</v>
      </c>
      <c r="K354" s="1179">
        <f t="shared" si="173"/>
        <v>0.33333333333333331</v>
      </c>
      <c r="L354" s="1179"/>
      <c r="M354" s="1177">
        <f t="shared" si="174"/>
        <v>0</v>
      </c>
      <c r="N354" s="1180" t="str">
        <f t="shared" si="175"/>
        <v/>
      </c>
      <c r="O354" s="1175"/>
      <c r="P354" s="1175"/>
      <c r="Q354" s="1175"/>
      <c r="R354" s="1175"/>
      <c r="S354" s="1175"/>
      <c r="T354" s="1175"/>
      <c r="U354" s="1175"/>
      <c r="V354" s="1175"/>
      <c r="W354" s="1175"/>
      <c r="X354" s="1175"/>
      <c r="Y354" s="1175"/>
      <c r="Z354" s="1175"/>
      <c r="AA354" s="1175"/>
      <c r="AB354" s="1396"/>
      <c r="AS354" s="1396"/>
    </row>
    <row r="355" spans="1:61">
      <c r="A355" s="212" t="s">
        <v>493</v>
      </c>
      <c r="C355" s="1164" t="str">
        <f t="shared" si="169"/>
        <v>onderwijs</v>
      </c>
      <c r="E355" s="14"/>
      <c r="F355" s="1177">
        <f t="shared" si="170"/>
        <v>-8.84</v>
      </c>
      <c r="G355" s="1177">
        <f t="shared" si="171"/>
        <v>4.5613000000000001</v>
      </c>
      <c r="H355" s="1177"/>
      <c r="I355" s="1177"/>
      <c r="J355" s="1178">
        <f t="shared" si="172"/>
        <v>0</v>
      </c>
      <c r="K355" s="1179">
        <f t="shared" si="173"/>
        <v>0</v>
      </c>
      <c r="L355" s="1179"/>
      <c r="M355" s="1177" t="str">
        <f t="shared" si="174"/>
        <v/>
      </c>
      <c r="N355" s="1180" t="str">
        <f t="shared" si="175"/>
        <v/>
      </c>
      <c r="O355" s="1175"/>
      <c r="P355" s="1175"/>
      <c r="Q355" s="1175"/>
      <c r="R355" s="1175"/>
      <c r="S355" s="1175"/>
      <c r="T355" s="1175"/>
      <c r="U355" s="1175"/>
      <c r="V355" s="1175"/>
      <c r="W355" s="1175"/>
      <c r="X355" s="1175"/>
      <c r="Y355" s="1175"/>
      <c r="Z355" s="1175"/>
      <c r="AA355" s="1175"/>
      <c r="AB355" s="1396"/>
      <c r="AS355" s="1396"/>
    </row>
    <row r="356" spans="1:61">
      <c r="A356" s="212" t="s">
        <v>493</v>
      </c>
      <c r="C356" s="1164" t="str">
        <f t="shared" si="169"/>
        <v>gezondheid overig</v>
      </c>
      <c r="E356" s="14"/>
      <c r="F356" s="1177" t="str">
        <f t="shared" si="170"/>
        <v>#N/B</v>
      </c>
      <c r="G356" s="1177" t="str">
        <f t="shared" si="171"/>
        <v>#N/B</v>
      </c>
      <c r="H356" s="1177"/>
      <c r="I356" s="1177"/>
      <c r="J356" s="1178">
        <f t="shared" si="172"/>
        <v>0</v>
      </c>
      <c r="K356" s="1179">
        <f t="shared" si="173"/>
        <v>0</v>
      </c>
      <c r="L356" s="1179"/>
      <c r="M356" s="1177" t="str">
        <f t="shared" si="174"/>
        <v/>
      </c>
      <c r="N356" s="1180" t="str">
        <f t="shared" si="175"/>
        <v/>
      </c>
      <c r="O356" s="1175"/>
      <c r="P356" s="1175"/>
      <c r="Q356" s="1175"/>
      <c r="R356" s="1175"/>
      <c r="S356" s="1175"/>
      <c r="T356" s="1175"/>
      <c r="U356" s="1175"/>
      <c r="V356" s="1175"/>
      <c r="W356" s="1175"/>
      <c r="X356" s="1175"/>
      <c r="Y356" s="1175"/>
      <c r="Z356" s="1175"/>
      <c r="AA356" s="1175"/>
      <c r="AB356" s="1396"/>
      <c r="AS356" s="1396"/>
    </row>
    <row r="357" spans="1:61">
      <c r="A357" s="212" t="s">
        <v>493</v>
      </c>
      <c r="C357" s="1164" t="str">
        <f t="shared" si="169"/>
        <v>gezondheid bedgebied</v>
      </c>
      <c r="E357" s="14"/>
      <c r="F357" s="1177" t="str">
        <f t="shared" si="170"/>
        <v>#N/B</v>
      </c>
      <c r="G357" s="1177" t="str">
        <f t="shared" si="171"/>
        <v>#N/B</v>
      </c>
      <c r="H357" s="1177"/>
      <c r="I357" s="1177"/>
      <c r="J357" s="1178">
        <f t="shared" si="172"/>
        <v>0</v>
      </c>
      <c r="K357" s="1179">
        <f t="shared" si="173"/>
        <v>0</v>
      </c>
      <c r="L357" s="1179"/>
      <c r="M357" s="1177" t="str">
        <f t="shared" si="174"/>
        <v/>
      </c>
      <c r="N357" s="1180" t="str">
        <f t="shared" si="175"/>
        <v/>
      </c>
      <c r="O357" s="1175"/>
      <c r="P357" s="1175"/>
      <c r="Q357" s="1175"/>
      <c r="R357" s="1175"/>
      <c r="S357" s="1175"/>
      <c r="T357" s="1175"/>
      <c r="U357" s="1175"/>
      <c r="V357" s="1175"/>
      <c r="W357" s="1175"/>
      <c r="X357" s="1175"/>
      <c r="Y357" s="1175"/>
      <c r="Z357" s="1175"/>
      <c r="AA357" s="1175"/>
      <c r="AB357" s="1396"/>
      <c r="AS357" s="1396"/>
    </row>
    <row r="358" spans="1:61">
      <c r="A358" s="212" t="s">
        <v>493</v>
      </c>
      <c r="C358" s="1164" t="str">
        <f t="shared" si="169"/>
        <v>winkel</v>
      </c>
      <c r="E358" s="14"/>
      <c r="F358" s="1177">
        <f t="shared" si="170"/>
        <v>-8.02</v>
      </c>
      <c r="G358" s="1177">
        <f t="shared" si="171"/>
        <v>5.0240999999999998</v>
      </c>
      <c r="H358" s="1177"/>
      <c r="I358" s="1177"/>
      <c r="J358" s="1178">
        <f t="shared" si="172"/>
        <v>0</v>
      </c>
      <c r="K358" s="1179">
        <f t="shared" si="173"/>
        <v>0</v>
      </c>
      <c r="L358" s="1179"/>
      <c r="M358" s="1177" t="str">
        <f t="shared" si="174"/>
        <v/>
      </c>
      <c r="N358" s="1180" t="str">
        <f t="shared" si="175"/>
        <v/>
      </c>
      <c r="O358" s="1175"/>
      <c r="P358" s="1175"/>
      <c r="Q358" s="1175"/>
      <c r="R358" s="1175"/>
      <c r="S358" s="1175"/>
      <c r="T358" s="1175"/>
      <c r="U358" s="1175"/>
      <c r="V358" s="1175"/>
      <c r="W358" s="1175"/>
      <c r="X358" s="1175"/>
      <c r="Y358" s="1175"/>
      <c r="Z358" s="1175"/>
      <c r="AA358" s="1175"/>
      <c r="AB358" s="1396"/>
      <c r="AS358" s="1396"/>
    </row>
    <row r="359" spans="1:61">
      <c r="A359" s="212" t="s">
        <v>493</v>
      </c>
      <c r="C359" s="1164" t="str">
        <f t="shared" si="169"/>
        <v>sport</v>
      </c>
      <c r="E359" s="14"/>
      <c r="F359" s="1177">
        <f t="shared" si="170"/>
        <v>-5.4290000000000003</v>
      </c>
      <c r="G359" s="1177">
        <f t="shared" si="171"/>
        <v>6.5660999999999996</v>
      </c>
      <c r="H359" s="1177"/>
      <c r="I359" s="1177"/>
      <c r="J359" s="1178">
        <f t="shared" si="172"/>
        <v>0</v>
      </c>
      <c r="K359" s="1179">
        <f t="shared" si="173"/>
        <v>0</v>
      </c>
      <c r="L359" s="1179"/>
      <c r="M359" s="1177" t="str">
        <f t="shared" si="174"/>
        <v/>
      </c>
      <c r="N359" s="1180" t="str">
        <f t="shared" si="175"/>
        <v/>
      </c>
      <c r="O359" s="1175"/>
      <c r="P359" s="1175"/>
      <c r="Q359" s="1175"/>
      <c r="R359" s="1175"/>
      <c r="S359" s="1175"/>
      <c r="T359" s="1175"/>
      <c r="U359" s="1175"/>
      <c r="V359" s="1175"/>
      <c r="W359" s="1175"/>
      <c r="X359" s="1175"/>
      <c r="Y359" s="1175"/>
      <c r="Z359" s="1175"/>
      <c r="AA359" s="1175"/>
      <c r="AB359" s="1396"/>
      <c r="AS359" s="1396"/>
    </row>
    <row r="360" spans="1:61">
      <c r="A360" s="212" t="s">
        <v>493</v>
      </c>
      <c r="C360" s="1164" t="str">
        <f t="shared" si="169"/>
        <v>logies in logiesgebouw</v>
      </c>
      <c r="E360" s="14"/>
      <c r="F360" s="1177">
        <f t="shared" si="170"/>
        <v>-8.2200000000000006</v>
      </c>
      <c r="G360" s="1177">
        <f t="shared" si="171"/>
        <v>3.9643999999999999</v>
      </c>
      <c r="H360" s="1177"/>
      <c r="I360" s="1177"/>
      <c r="J360" s="1178">
        <f t="shared" si="172"/>
        <v>0</v>
      </c>
      <c r="K360" s="1179">
        <f t="shared" si="173"/>
        <v>0</v>
      </c>
      <c r="L360" s="1179"/>
      <c r="M360" s="1177" t="str">
        <f t="shared" si="174"/>
        <v/>
      </c>
      <c r="N360" s="1180" t="str">
        <f t="shared" si="175"/>
        <v/>
      </c>
      <c r="O360" s="1175"/>
      <c r="P360" s="1175"/>
      <c r="Q360" s="1175"/>
      <c r="R360" s="1175"/>
      <c r="S360" s="1175"/>
      <c r="T360" s="1175"/>
      <c r="U360" s="1175"/>
      <c r="V360" s="1175"/>
      <c r="W360" s="1175"/>
      <c r="X360" s="1175"/>
      <c r="Y360" s="1175"/>
      <c r="Z360" s="1175"/>
      <c r="AA360" s="1175"/>
      <c r="AB360" s="1396"/>
      <c r="AS360" s="1396"/>
    </row>
    <row r="361" spans="1:61">
      <c r="A361" s="212" t="s">
        <v>493</v>
      </c>
      <c r="C361" s="1164" t="str">
        <f t="shared" si="169"/>
        <v>cel</v>
      </c>
      <c r="E361" s="14"/>
      <c r="F361" s="1177" t="str">
        <f t="shared" si="170"/>
        <v>#N/B</v>
      </c>
      <c r="G361" s="1177" t="str">
        <f t="shared" si="171"/>
        <v>#N/B</v>
      </c>
      <c r="H361" s="1177"/>
      <c r="I361" s="1177"/>
      <c r="J361" s="1178">
        <f t="shared" si="172"/>
        <v>0</v>
      </c>
      <c r="K361" s="1179">
        <f t="shared" si="173"/>
        <v>0</v>
      </c>
      <c r="L361" s="1179"/>
      <c r="M361" s="1177" t="str">
        <f t="shared" si="174"/>
        <v/>
      </c>
      <c r="N361" s="1180" t="str">
        <f t="shared" si="175"/>
        <v/>
      </c>
      <c r="O361" s="1175"/>
      <c r="P361" s="1175"/>
      <c r="Q361" s="1175"/>
      <c r="R361" s="1175"/>
      <c r="S361" s="1175"/>
      <c r="T361" s="1175"/>
      <c r="U361" s="1175"/>
      <c r="V361" s="1175"/>
      <c r="W361" s="1175"/>
      <c r="X361" s="1175"/>
      <c r="Y361" s="1175"/>
      <c r="Z361" s="1175"/>
      <c r="AA361" s="1175"/>
      <c r="AB361" s="1396"/>
      <c r="AS361" s="1396"/>
    </row>
    <row r="362" spans="1:61">
      <c r="A362" s="212" t="s">
        <v>493</v>
      </c>
      <c r="C362" s="1164"/>
      <c r="E362" s="14"/>
      <c r="F362" s="1175"/>
      <c r="G362" s="1175"/>
      <c r="H362" s="1175"/>
      <c r="I362" s="1175"/>
      <c r="J362" s="1175"/>
      <c r="K362" s="1175"/>
      <c r="L362" s="1175"/>
      <c r="M362" s="1181"/>
      <c r="N362" s="1182"/>
      <c r="O362" s="1175"/>
      <c r="P362" s="1175"/>
      <c r="Q362" s="1175"/>
      <c r="R362" s="1175"/>
      <c r="S362" s="1175"/>
      <c r="T362" s="1175"/>
      <c r="U362" s="1175"/>
      <c r="V362" s="1175"/>
      <c r="W362" s="1175"/>
      <c r="X362" s="1175"/>
      <c r="Y362" s="1175"/>
      <c r="Z362" s="1175"/>
      <c r="AA362" s="1175"/>
      <c r="AB362" s="1396"/>
      <c r="AS362" s="1396"/>
    </row>
    <row r="363" spans="1:61">
      <c r="A363" s="212" t="s">
        <v>493</v>
      </c>
      <c r="C363" s="1164" t="s">
        <v>1597</v>
      </c>
      <c r="E363" s="14"/>
      <c r="F363" s="1183"/>
      <c r="G363" s="1179"/>
      <c r="H363" s="1179"/>
      <c r="I363" s="1179"/>
      <c r="J363" s="1183">
        <f>SUM(J350:J361)</f>
        <v>4.292216527411826</v>
      </c>
      <c r="K363" s="1179">
        <f>IF($BA$273=1,J363/J$363,$M$58/$M$58)</f>
        <v>1</v>
      </c>
      <c r="L363" s="1179"/>
      <c r="M363" s="1177">
        <f>$J$272*$M$58</f>
        <v>0</v>
      </c>
      <c r="N363" s="1180">
        <f>SUMPRODUCT(N350:N361,M44:M55)/$M$58</f>
        <v>0</v>
      </c>
      <c r="O363" s="1175"/>
      <c r="P363" s="1175"/>
      <c r="Q363" s="1175"/>
      <c r="R363" s="1175"/>
      <c r="S363" s="1175"/>
      <c r="T363" s="1175"/>
      <c r="U363" s="1175"/>
      <c r="V363" s="1175"/>
      <c r="W363" s="1175"/>
      <c r="X363" s="1175"/>
      <c r="Y363" s="1175"/>
      <c r="Z363" s="1175"/>
      <c r="AA363" s="1175"/>
      <c r="AB363" s="1396"/>
      <c r="AS363" s="1396"/>
    </row>
    <row r="364" spans="1:61">
      <c r="A364" s="212" t="s">
        <v>493</v>
      </c>
      <c r="E364" s="14"/>
      <c r="F364" s="13"/>
      <c r="G364" s="13"/>
      <c r="H364" s="13"/>
      <c r="I364" s="13"/>
      <c r="J364" s="13"/>
      <c r="K364" s="13"/>
      <c r="L364" s="13"/>
      <c r="M364" s="13"/>
      <c r="N364" s="13"/>
      <c r="O364" s="13"/>
      <c r="P364" s="1175"/>
      <c r="Q364" s="1175"/>
      <c r="R364" s="1175"/>
      <c r="S364" s="1175"/>
      <c r="T364" s="1175"/>
      <c r="U364" s="1175"/>
      <c r="V364" s="1175"/>
      <c r="W364" s="1175"/>
      <c r="X364" s="1175"/>
      <c r="Y364" s="1175"/>
      <c r="Z364" s="1175"/>
      <c r="AA364" s="1175"/>
      <c r="AB364" s="1396"/>
      <c r="AS364" s="1396"/>
    </row>
    <row r="365" spans="1:61">
      <c r="A365" s="212" t="s">
        <v>493</v>
      </c>
      <c r="E365" s="14"/>
      <c r="F365" s="13"/>
      <c r="G365" s="13"/>
      <c r="H365" s="13"/>
      <c r="I365" s="13"/>
      <c r="J365" s="13"/>
      <c r="K365" s="13"/>
      <c r="L365" s="13"/>
      <c r="M365" s="13"/>
      <c r="N365" s="13"/>
      <c r="O365" s="13"/>
      <c r="P365" s="1175"/>
      <c r="Q365" s="1175"/>
      <c r="R365" s="1175"/>
      <c r="S365" s="1175"/>
      <c r="T365" s="1175"/>
      <c r="U365" s="1175"/>
      <c r="V365" s="1175"/>
      <c r="W365" s="1175"/>
      <c r="X365" s="1175"/>
      <c r="Y365" s="1175"/>
      <c r="Z365" s="1175"/>
      <c r="AA365" s="1175"/>
      <c r="AB365" s="1396"/>
      <c r="AS365" s="1396"/>
    </row>
    <row r="366" spans="1:61" s="1324" customFormat="1" ht="25.5" customHeight="1">
      <c r="A366" s="212" t="s">
        <v>493</v>
      </c>
      <c r="B366" s="1315"/>
      <c r="C366" s="1316"/>
      <c r="D366" s="1315"/>
      <c r="E366" s="1317"/>
      <c r="F366" s="1318" t="s">
        <v>1641</v>
      </c>
      <c r="G366" s="1319"/>
      <c r="H366" s="1320"/>
      <c r="I366" s="1321"/>
      <c r="J366" s="1319"/>
      <c r="K366" s="1322"/>
      <c r="L366" s="1323"/>
      <c r="M366" s="1318"/>
      <c r="N366" s="1318"/>
      <c r="O366" s="1323"/>
      <c r="P366" s="1323"/>
      <c r="Q366" s="1318"/>
      <c r="R366" s="1318"/>
      <c r="S366" s="1318"/>
      <c r="T366" s="1318"/>
      <c r="U366" s="1318"/>
      <c r="V366" s="1318"/>
      <c r="W366" s="1318"/>
      <c r="X366" s="1317"/>
      <c r="Y366" s="1317"/>
      <c r="Z366" s="1317"/>
      <c r="AA366" s="1317"/>
      <c r="AB366" s="1317"/>
      <c r="AC366" s="1317"/>
      <c r="AD366" s="1323"/>
      <c r="AE366" s="1317"/>
      <c r="AF366" s="1317"/>
      <c r="AG366" s="1317"/>
      <c r="AH366" s="1317"/>
      <c r="AI366" s="1317"/>
      <c r="AJ366" s="1317"/>
      <c r="AK366" s="1317"/>
      <c r="AL366" s="1317"/>
      <c r="AM366" s="1317"/>
      <c r="AN366" s="1317"/>
      <c r="AO366" s="1317"/>
      <c r="AP366" s="1317"/>
      <c r="AQ366" s="1317"/>
      <c r="AR366" s="1317"/>
      <c r="AS366" s="1317"/>
      <c r="AT366" s="1317"/>
      <c r="AU366" s="1317"/>
      <c r="AV366" s="1317"/>
      <c r="AW366" s="1317"/>
      <c r="AX366" s="1317"/>
      <c r="AY366" s="1317"/>
      <c r="AZ366" s="1317"/>
      <c r="BA366" s="1317"/>
      <c r="BB366" s="1317"/>
      <c r="BC366" s="1317"/>
      <c r="BD366" s="1317"/>
      <c r="BE366" s="1317"/>
      <c r="BF366" s="1317"/>
      <c r="BG366" s="1317"/>
      <c r="BH366" s="1317"/>
      <c r="BI366" s="1317"/>
    </row>
    <row r="367" spans="1:61" s="995" customFormat="1">
      <c r="A367" s="212" t="s">
        <v>493</v>
      </c>
      <c r="B367" s="943"/>
      <c r="C367" s="1092"/>
      <c r="D367" s="943"/>
      <c r="E367" s="14"/>
      <c r="F367" s="1201"/>
      <c r="G367" s="1202"/>
      <c r="H367" s="1202"/>
      <c r="I367" s="1202"/>
      <c r="J367" s="1202"/>
      <c r="K367" s="1202"/>
      <c r="L367" s="1202"/>
      <c r="M367" s="1202"/>
      <c r="N367" s="1202"/>
      <c r="O367" s="1202"/>
      <c r="P367" s="1202"/>
      <c r="Q367" s="1202"/>
      <c r="R367" s="1202"/>
      <c r="S367" s="1202"/>
      <c r="T367" s="1202"/>
      <c r="U367" s="1202"/>
      <c r="V367" s="1202"/>
      <c r="W367" s="1202"/>
      <c r="X367" s="14"/>
      <c r="Y367" s="14"/>
      <c r="Z367" s="14"/>
      <c r="AA367" s="14"/>
      <c r="AB367" s="16"/>
      <c r="AD367" s="1428"/>
      <c r="AE367" s="1406"/>
      <c r="AF367" s="1406"/>
      <c r="AG367" s="1406"/>
      <c r="AH367" s="1406"/>
      <c r="AI367" s="1406"/>
      <c r="AJ367" s="1406"/>
      <c r="AK367" s="1406"/>
      <c r="AL367" s="1407"/>
      <c r="AM367" s="1407"/>
      <c r="AS367" s="16"/>
    </row>
    <row r="368" spans="1:61" s="1167" customFormat="1" ht="21">
      <c r="A368" s="212" t="s">
        <v>493</v>
      </c>
      <c r="B368" s="1168"/>
      <c r="C368" s="1173"/>
      <c r="D368" s="1168"/>
      <c r="E368" s="1169"/>
      <c r="F368" s="1170" t="str">
        <f>"DPG bij bronmethode "&amp;EP_bronmethode</f>
        <v>DPG bij bronmethode GPR 4.4 | NTA 8800</v>
      </c>
      <c r="G368" s="1203"/>
      <c r="H368" s="1203"/>
      <c r="I368" s="1203"/>
      <c r="J368" s="1203"/>
      <c r="K368" s="1203"/>
      <c r="L368" s="1203"/>
      <c r="M368" s="1203"/>
      <c r="N368" s="1203"/>
      <c r="O368" s="1203"/>
      <c r="P368" s="1203"/>
      <c r="Q368" s="1203"/>
      <c r="R368" s="1203"/>
      <c r="S368" s="1203" t="s">
        <v>518</v>
      </c>
      <c r="T368" s="1203" t="s">
        <v>518</v>
      </c>
      <c r="U368" s="1203"/>
      <c r="V368" s="1204"/>
      <c r="W368" s="1204"/>
      <c r="X368" s="1169"/>
      <c r="Y368" s="1169"/>
      <c r="Z368" s="1169"/>
      <c r="AA368" s="1169"/>
      <c r="AB368" s="1400"/>
      <c r="AD368" s="1440"/>
      <c r="AE368" s="1426"/>
      <c r="AF368" s="1426"/>
      <c r="AG368" s="1426"/>
      <c r="AH368" s="1426"/>
      <c r="AI368" s="1426"/>
      <c r="AJ368" s="1426"/>
      <c r="AK368" s="1426"/>
      <c r="AL368" s="1427"/>
      <c r="AM368" s="1427"/>
      <c r="AS368" s="1400"/>
    </row>
    <row r="369" spans="1:45" s="211" customFormat="1" ht="80">
      <c r="A369" s="212" t="s">
        <v>493</v>
      </c>
      <c r="B369" s="1163"/>
      <c r="C369" s="1164" t="s">
        <v>1638</v>
      </c>
      <c r="D369" s="1163"/>
      <c r="E369" s="14"/>
      <c r="F369" s="1205" t="s">
        <v>523</v>
      </c>
      <c r="G369" s="1205" t="s">
        <v>524</v>
      </c>
      <c r="H369" s="1205" t="s">
        <v>525</v>
      </c>
      <c r="I369" s="1205"/>
      <c r="J369" s="1205" t="s">
        <v>534</v>
      </c>
      <c r="K369" s="1205" t="s">
        <v>535</v>
      </c>
      <c r="L369" s="1205"/>
      <c r="M369" s="1205" t="s">
        <v>536</v>
      </c>
      <c r="N369" s="1205" t="s">
        <v>537</v>
      </c>
      <c r="O369" s="1205"/>
      <c r="P369" s="1205" t="s">
        <v>431</v>
      </c>
      <c r="Q369" s="1205" t="s">
        <v>538</v>
      </c>
      <c r="R369" s="1205"/>
      <c r="S369" s="1205" t="s">
        <v>539</v>
      </c>
      <c r="T369" s="1205" t="s">
        <v>484</v>
      </c>
      <c r="U369" s="1205"/>
      <c r="V369" s="1202"/>
      <c r="W369" s="1202"/>
      <c r="X369" s="14"/>
      <c r="Y369" s="14"/>
      <c r="Z369" s="14"/>
      <c r="AA369" s="14"/>
      <c r="AB369" s="16"/>
      <c r="AD369" s="1438"/>
      <c r="AE369" s="1423"/>
      <c r="AF369" s="1423"/>
      <c r="AG369" s="1423"/>
      <c r="AH369" s="1423"/>
      <c r="AI369" s="1423"/>
      <c r="AJ369" s="1423"/>
      <c r="AK369" s="1423"/>
      <c r="AL369" s="1424"/>
      <c r="AM369" s="1424"/>
      <c r="AS369" s="16"/>
    </row>
    <row r="370" spans="1:45">
      <c r="A370" s="212" t="s">
        <v>493</v>
      </c>
      <c r="C370" s="1164" t="s">
        <v>204</v>
      </c>
      <c r="E370" s="14"/>
      <c r="F370" s="1332" t="s">
        <v>457</v>
      </c>
      <c r="G370" s="1332" t="s">
        <v>457</v>
      </c>
      <c r="H370" s="1332"/>
      <c r="I370" s="1332"/>
      <c r="J370" s="1332" t="s">
        <v>440</v>
      </c>
      <c r="K370" s="1332" t="s">
        <v>440</v>
      </c>
      <c r="L370" s="1332"/>
      <c r="M370" s="1332"/>
      <c r="N370" s="1332" t="s">
        <v>440</v>
      </c>
      <c r="O370" s="1332"/>
      <c r="P370" s="1332" t="s">
        <v>440</v>
      </c>
      <c r="Q370" s="1332" t="s">
        <v>440</v>
      </c>
      <c r="R370" s="1332"/>
      <c r="S370" s="1332" t="s">
        <v>440</v>
      </c>
      <c r="T370" s="1332"/>
      <c r="U370" s="1332"/>
      <c r="V370" s="1202"/>
      <c r="W370" s="1202"/>
      <c r="X370" s="14"/>
      <c r="Y370" s="14"/>
      <c r="Z370" s="14"/>
      <c r="AA370" s="14"/>
      <c r="AB370" s="16"/>
      <c r="AS370" s="16"/>
    </row>
    <row r="371" spans="1:45">
      <c r="A371" s="212" t="s">
        <v>493</v>
      </c>
      <c r="C371" s="1164" t="s">
        <v>1639</v>
      </c>
      <c r="E371" s="14"/>
      <c r="F371" s="907" t="s">
        <v>1418</v>
      </c>
      <c r="G371" s="1207"/>
      <c r="H371" s="1208"/>
      <c r="I371" s="1208"/>
      <c r="J371" s="1208"/>
      <c r="K371" s="1208"/>
      <c r="L371" s="1208"/>
      <c r="M371" s="1208"/>
      <c r="N371" s="907" t="s">
        <v>1420</v>
      </c>
      <c r="O371" s="907"/>
      <c r="P371" s="907"/>
      <c r="Q371" s="1209"/>
      <c r="R371" s="1209"/>
      <c r="S371" s="1208"/>
      <c r="T371" s="1209" t="s">
        <v>1412</v>
      </c>
      <c r="U371" s="1209"/>
      <c r="V371" s="1202"/>
      <c r="W371" s="1202"/>
      <c r="X371" s="14"/>
      <c r="Y371" s="14"/>
      <c r="Z371" s="14"/>
      <c r="AA371" s="14"/>
      <c r="AB371" s="16"/>
      <c r="AS371" s="16"/>
    </row>
    <row r="372" spans="1:45">
      <c r="A372" s="212" t="s">
        <v>493</v>
      </c>
      <c r="C372" s="1164" t="str">
        <f t="shared" ref="C372:C383" si="176">F44</f>
        <v>woning</v>
      </c>
      <c r="E372" s="14"/>
      <c r="F372" s="1210">
        <f t="shared" ref="F372:F383" si="177">INDEX(Energie_DPG_Score_6,MATCH($F44,Gebruiksfuncties,0),MATCH(EP_bronmethode,GPR_Versie_En_EP_Methode,0))</f>
        <v>2.1714821124228192</v>
      </c>
      <c r="G372" s="1211">
        <f t="shared" ref="G372:G383" si="178">INDEX(Energie_DPG_Score_10,MATCH($F44,Gebruiksfuncties,0),MATCH(EP_bronmethode,GPR_Versie_En_EP_Methode,0))</f>
        <v>-0.34896741831981437</v>
      </c>
      <c r="H372" s="1186">
        <f t="shared" ref="H372:H383" si="179">(LN(6/10)/(F372-G372))</f>
        <v>-0.20267242709497119</v>
      </c>
      <c r="I372" s="1162"/>
      <c r="J372" s="1162"/>
      <c r="K372" s="1162"/>
      <c r="L372" s="1162"/>
      <c r="M372" s="1185">
        <f t="shared" ref="M372:M383" si="180">M$385</f>
        <v>9.9532093528295782</v>
      </c>
      <c r="N372" s="1212">
        <f t="shared" ref="N372:N383" si="181">IFERROR(LN(M372/10)/H372+G372,0)</f>
        <v>-0.32582640266649132</v>
      </c>
      <c r="O372" s="1213"/>
      <c r="P372" s="1213" t="str">
        <f t="shared" ref="P372:P383" si="182">$M350</f>
        <v/>
      </c>
      <c r="Q372" s="1186" t="str">
        <f t="shared" ref="Q372:Q383" si="183">IFERROR(N372-P372,"")</f>
        <v/>
      </c>
      <c r="R372" s="1186"/>
      <c r="S372" s="1191" t="str">
        <f t="shared" ref="S372:S383" si="184">IFERROR(Q372+M350,"")</f>
        <v/>
      </c>
      <c r="T372" s="1191" t="str">
        <f t="shared" ref="T372:T383" si="185">IFERROR(10*EXP(H372*(S372-G372)),"")</f>
        <v/>
      </c>
      <c r="U372" s="1191"/>
      <c r="V372" s="1202"/>
      <c r="W372" s="1202"/>
      <c r="X372" s="14"/>
      <c r="Y372" s="14"/>
      <c r="Z372" s="14"/>
      <c r="AA372" s="14"/>
      <c r="AB372" s="16"/>
      <c r="AS372" s="16"/>
    </row>
    <row r="373" spans="1:45">
      <c r="A373" s="212" t="s">
        <v>493</v>
      </c>
      <c r="C373" s="1164" t="str">
        <f t="shared" si="176"/>
        <v>woongebouw</v>
      </c>
      <c r="E373" s="14"/>
      <c r="F373" s="1214">
        <f t="shared" si="177"/>
        <v>2.1714821124228192</v>
      </c>
      <c r="G373" s="1215">
        <f t="shared" si="178"/>
        <v>-0.34896741831981437</v>
      </c>
      <c r="H373" s="1186">
        <f t="shared" si="179"/>
        <v>-0.20267242709497119</v>
      </c>
      <c r="I373" s="1162"/>
      <c r="J373" s="1162"/>
      <c r="K373" s="1162"/>
      <c r="L373" s="1162"/>
      <c r="M373" s="1185">
        <f t="shared" si="180"/>
        <v>9.9532093528295782</v>
      </c>
      <c r="N373" s="1216">
        <f t="shared" si="181"/>
        <v>-0.32582640266649132</v>
      </c>
      <c r="O373" s="1213"/>
      <c r="P373" s="1213" t="str">
        <f t="shared" si="182"/>
        <v/>
      </c>
      <c r="Q373" s="1186" t="str">
        <f t="shared" si="183"/>
        <v/>
      </c>
      <c r="R373" s="1186"/>
      <c r="S373" s="1191" t="str">
        <f t="shared" si="184"/>
        <v/>
      </c>
      <c r="T373" s="1191" t="str">
        <f t="shared" si="185"/>
        <v/>
      </c>
      <c r="U373" s="1191"/>
      <c r="V373" s="1202"/>
      <c r="W373" s="1202"/>
      <c r="X373" s="14"/>
      <c r="Y373" s="14"/>
      <c r="Z373" s="14"/>
      <c r="AA373" s="14"/>
      <c r="AB373" s="16"/>
      <c r="AS373" s="16"/>
    </row>
    <row r="374" spans="1:45">
      <c r="A374" s="212" t="s">
        <v>493</v>
      </c>
      <c r="C374" s="1164" t="str">
        <f t="shared" si="176"/>
        <v>kantoor</v>
      </c>
      <c r="E374" s="14"/>
      <c r="F374" s="1214">
        <f t="shared" si="177"/>
        <v>3.4181135498615678</v>
      </c>
      <c r="G374" s="1215">
        <f t="shared" si="178"/>
        <v>-0.5305607399933423</v>
      </c>
      <c r="H374" s="1186">
        <f t="shared" si="179"/>
        <v>-0.1293663610286683</v>
      </c>
      <c r="I374" s="1162"/>
      <c r="J374" s="1162"/>
      <c r="K374" s="1162"/>
      <c r="L374" s="1162"/>
      <c r="M374" s="1185">
        <f t="shared" si="180"/>
        <v>9.9532093528295782</v>
      </c>
      <c r="N374" s="1216">
        <f t="shared" si="181"/>
        <v>-0.49430675734585661</v>
      </c>
      <c r="O374" s="1213"/>
      <c r="P374" s="1213">
        <f t="shared" si="182"/>
        <v>0</v>
      </c>
      <c r="Q374" s="1186">
        <f t="shared" si="183"/>
        <v>-0.49430675734585661</v>
      </c>
      <c r="R374" s="1186"/>
      <c r="S374" s="1191">
        <f t="shared" si="184"/>
        <v>-0.49430675734585661</v>
      </c>
      <c r="T374" s="1191">
        <f t="shared" si="185"/>
        <v>9.9532093528295782</v>
      </c>
      <c r="U374" s="1191"/>
      <c r="V374" s="1202"/>
      <c r="W374" s="1202"/>
      <c r="X374" s="14"/>
      <c r="Y374" s="14"/>
      <c r="Z374" s="14"/>
      <c r="AA374" s="14"/>
      <c r="AB374" s="16"/>
      <c r="AS374" s="16"/>
    </row>
    <row r="375" spans="1:45">
      <c r="A375" s="212" t="s">
        <v>493</v>
      </c>
      <c r="C375" s="1164" t="str">
        <f t="shared" si="176"/>
        <v>bijeenkomst overig</v>
      </c>
      <c r="E375" s="14"/>
      <c r="F375" s="1214">
        <f t="shared" si="177"/>
        <v>4.496642433386441</v>
      </c>
      <c r="G375" s="1215">
        <f t="shared" si="178"/>
        <v>0.18902985498063157</v>
      </c>
      <c r="H375" s="1186">
        <f t="shared" si="179"/>
        <v>-0.11858671467503248</v>
      </c>
      <c r="I375" s="1162"/>
      <c r="J375" s="1162"/>
      <c r="K375" s="1162"/>
      <c r="L375" s="1162"/>
      <c r="M375" s="1185">
        <f t="shared" si="180"/>
        <v>9.9532093528295782</v>
      </c>
      <c r="N375" s="1216">
        <f t="shared" si="181"/>
        <v>0.22857935949936295</v>
      </c>
      <c r="O375" s="1213"/>
      <c r="P375" s="1213">
        <f t="shared" si="182"/>
        <v>0</v>
      </c>
      <c r="Q375" s="1186">
        <f t="shared" si="183"/>
        <v>0.22857935949936295</v>
      </c>
      <c r="R375" s="1186"/>
      <c r="S375" s="1191">
        <f t="shared" si="184"/>
        <v>0.22857935949936295</v>
      </c>
      <c r="T375" s="1191">
        <f t="shared" si="185"/>
        <v>9.9532093528295782</v>
      </c>
      <c r="U375" s="1191"/>
      <c r="V375" s="1202"/>
      <c r="W375" s="1202"/>
      <c r="X375" s="14"/>
      <c r="Y375" s="14"/>
      <c r="Z375" s="14"/>
      <c r="AA375" s="14"/>
      <c r="AB375" s="16"/>
      <c r="AS375" s="16"/>
    </row>
    <row r="376" spans="1:45">
      <c r="A376" s="212" t="s">
        <v>493</v>
      </c>
      <c r="C376" s="1164" t="str">
        <f t="shared" si="176"/>
        <v>bijeenkomst kinderdagverblijf</v>
      </c>
      <c r="E376" s="14"/>
      <c r="F376" s="1214">
        <f t="shared" si="177"/>
        <v>4.9618935989874702</v>
      </c>
      <c r="G376" s="1215">
        <f t="shared" si="178"/>
        <v>0.22221092604712483</v>
      </c>
      <c r="H376" s="1186">
        <f t="shared" si="179"/>
        <v>-0.10777633420110193</v>
      </c>
      <c r="I376" s="1162"/>
      <c r="J376" s="1162"/>
      <c r="K376" s="1162"/>
      <c r="L376" s="1162"/>
      <c r="M376" s="1185">
        <f t="shared" si="180"/>
        <v>9.9532093528295782</v>
      </c>
      <c r="N376" s="1216">
        <f t="shared" si="181"/>
        <v>0.26572739784649463</v>
      </c>
      <c r="O376" s="1213"/>
      <c r="P376" s="1213">
        <f t="shared" si="182"/>
        <v>0</v>
      </c>
      <c r="Q376" s="1186">
        <f t="shared" si="183"/>
        <v>0.26572739784649463</v>
      </c>
      <c r="R376" s="1186"/>
      <c r="S376" s="1191">
        <f t="shared" si="184"/>
        <v>0.26572739784649463</v>
      </c>
      <c r="T376" s="1191">
        <f t="shared" si="185"/>
        <v>9.9532093528295782</v>
      </c>
      <c r="U376" s="1191"/>
      <c r="V376" s="1202"/>
      <c r="W376" s="1202"/>
      <c r="X376" s="14"/>
      <c r="Y376" s="14"/>
      <c r="Z376" s="14"/>
      <c r="AA376" s="14"/>
      <c r="AB376" s="16"/>
      <c r="AS376" s="16"/>
    </row>
    <row r="377" spans="1:45">
      <c r="A377" s="212" t="s">
        <v>493</v>
      </c>
      <c r="C377" s="1164" t="str">
        <f t="shared" si="176"/>
        <v>onderwijs</v>
      </c>
      <c r="E377" s="14"/>
      <c r="F377" s="1214">
        <f t="shared" si="177"/>
        <v>4.496374086733848</v>
      </c>
      <c r="G377" s="1215">
        <f t="shared" si="178"/>
        <v>1.0009891564366158E-2</v>
      </c>
      <c r="H377" s="1186">
        <f t="shared" si="179"/>
        <v>-0.11386182698141234</v>
      </c>
      <c r="I377" s="1162"/>
      <c r="J377" s="1162"/>
      <c r="K377" s="1162"/>
      <c r="L377" s="1162"/>
      <c r="M377" s="1185">
        <f t="shared" si="180"/>
        <v>9.9532093528295782</v>
      </c>
      <c r="N377" s="1216">
        <f t="shared" si="181"/>
        <v>5.1200569179853085E-2</v>
      </c>
      <c r="O377" s="1213"/>
      <c r="P377" s="1213" t="str">
        <f t="shared" si="182"/>
        <v/>
      </c>
      <c r="Q377" s="1186" t="str">
        <f t="shared" si="183"/>
        <v/>
      </c>
      <c r="R377" s="1186"/>
      <c r="S377" s="1191" t="str">
        <f t="shared" si="184"/>
        <v/>
      </c>
      <c r="T377" s="1191" t="str">
        <f t="shared" si="185"/>
        <v/>
      </c>
      <c r="U377" s="1191"/>
      <c r="V377" s="1202"/>
      <c r="W377" s="1202"/>
      <c r="X377" s="14"/>
      <c r="Y377" s="14"/>
      <c r="Z377" s="14"/>
      <c r="AA377" s="14"/>
      <c r="AB377" s="16"/>
      <c r="AS377" s="16"/>
    </row>
    <row r="378" spans="1:45">
      <c r="A378" s="212" t="s">
        <v>493</v>
      </c>
      <c r="C378" s="1164" t="str">
        <f t="shared" si="176"/>
        <v>gezondheid overig</v>
      </c>
      <c r="E378" s="14"/>
      <c r="F378" s="1214">
        <f t="shared" si="177"/>
        <v>3.0421145136275034</v>
      </c>
      <c r="G378" s="1215">
        <f t="shared" si="178"/>
        <v>-0.8488041379310346</v>
      </c>
      <c r="H378" s="1186">
        <f t="shared" si="179"/>
        <v>-0.13128663678470265</v>
      </c>
      <c r="I378" s="1162"/>
      <c r="J378" s="1162"/>
      <c r="K378" s="1162"/>
      <c r="L378" s="1162"/>
      <c r="M378" s="1185">
        <f t="shared" si="180"/>
        <v>9.9532093528295782</v>
      </c>
      <c r="N378" s="1216">
        <f t="shared" si="181"/>
        <v>-0.81308042740904962</v>
      </c>
      <c r="O378" s="1213"/>
      <c r="P378" s="1213" t="str">
        <f t="shared" si="182"/>
        <v/>
      </c>
      <c r="Q378" s="1186" t="str">
        <f t="shared" si="183"/>
        <v/>
      </c>
      <c r="R378" s="1186"/>
      <c r="S378" s="1191" t="str">
        <f t="shared" si="184"/>
        <v/>
      </c>
      <c r="T378" s="1191" t="str">
        <f t="shared" si="185"/>
        <v/>
      </c>
      <c r="U378" s="1191"/>
      <c r="V378" s="1202"/>
      <c r="W378" s="1202"/>
      <c r="X378" s="14"/>
      <c r="Y378" s="14"/>
      <c r="Z378" s="14"/>
      <c r="AA378" s="14"/>
      <c r="AB378" s="16"/>
      <c r="AS378" s="16"/>
    </row>
    <row r="379" spans="1:45">
      <c r="A379" s="212" t="s">
        <v>493</v>
      </c>
      <c r="C379" s="1164" t="str">
        <f t="shared" si="176"/>
        <v>gezondheid bedgebied</v>
      </c>
      <c r="E379" s="14"/>
      <c r="F379" s="1214">
        <f t="shared" si="177"/>
        <v>7.1710028268311063</v>
      </c>
      <c r="G379" s="1215">
        <f t="shared" si="178"/>
        <v>-1.0610051724137932</v>
      </c>
      <c r="H379" s="1186">
        <f t="shared" si="179"/>
        <v>-6.2053586902836758E-2</v>
      </c>
      <c r="I379" s="1162"/>
      <c r="J379" s="1162"/>
      <c r="K379" s="1162"/>
      <c r="L379" s="1162"/>
      <c r="M379" s="1185">
        <f t="shared" si="180"/>
        <v>9.9532093528295782</v>
      </c>
      <c r="N379" s="1216">
        <f t="shared" si="181"/>
        <v>-0.98542459694689299</v>
      </c>
      <c r="O379" s="1213"/>
      <c r="P379" s="1213" t="str">
        <f t="shared" si="182"/>
        <v/>
      </c>
      <c r="Q379" s="1186" t="str">
        <f t="shared" si="183"/>
        <v/>
      </c>
      <c r="R379" s="1186"/>
      <c r="S379" s="1191" t="str">
        <f t="shared" si="184"/>
        <v/>
      </c>
      <c r="T379" s="1191" t="str">
        <f t="shared" si="185"/>
        <v/>
      </c>
      <c r="U379" s="1191"/>
      <c r="V379" s="1202"/>
      <c r="W379" s="1202"/>
      <c r="X379" s="14"/>
      <c r="Y379" s="14"/>
      <c r="Z379" s="14"/>
      <c r="AA379" s="14"/>
      <c r="AB379" s="16"/>
      <c r="AS379" s="16"/>
    </row>
    <row r="380" spans="1:45">
      <c r="A380" s="212" t="s">
        <v>493</v>
      </c>
      <c r="C380" s="1164" t="str">
        <f t="shared" si="176"/>
        <v>winkel</v>
      </c>
      <c r="E380" s="14"/>
      <c r="F380" s="1214">
        <f t="shared" si="177"/>
        <v>6.2190488086838158</v>
      </c>
      <c r="G380" s="1215">
        <f t="shared" si="178"/>
        <v>-0.31109441289929285</v>
      </c>
      <c r="H380" s="1186">
        <f t="shared" si="179"/>
        <v>-7.8225791752565998E-2</v>
      </c>
      <c r="I380" s="1162"/>
      <c r="J380" s="1162"/>
      <c r="K380" s="1162"/>
      <c r="L380" s="1162"/>
      <c r="M380" s="1185">
        <f t="shared" si="180"/>
        <v>9.9532093528295782</v>
      </c>
      <c r="N380" s="1216">
        <f t="shared" si="181"/>
        <v>-0.25113917687257842</v>
      </c>
      <c r="O380" s="1213"/>
      <c r="P380" s="1213" t="str">
        <f t="shared" si="182"/>
        <v/>
      </c>
      <c r="Q380" s="1186" t="str">
        <f t="shared" si="183"/>
        <v/>
      </c>
      <c r="R380" s="1186"/>
      <c r="S380" s="1191" t="str">
        <f t="shared" si="184"/>
        <v/>
      </c>
      <c r="T380" s="1191" t="str">
        <f t="shared" si="185"/>
        <v/>
      </c>
      <c r="U380" s="1191"/>
      <c r="V380" s="1202"/>
      <c r="W380" s="1202"/>
      <c r="X380" s="14"/>
      <c r="Y380" s="14"/>
      <c r="Z380" s="14"/>
      <c r="AA380" s="14"/>
      <c r="AB380" s="16"/>
      <c r="AS380" s="16"/>
    </row>
    <row r="381" spans="1:45">
      <c r="A381" s="212" t="s">
        <v>493</v>
      </c>
      <c r="C381" s="1164" t="str">
        <f t="shared" si="176"/>
        <v>sport</v>
      </c>
      <c r="E381" s="14"/>
      <c r="F381" s="1214">
        <f t="shared" si="177"/>
        <v>3.3552740384012365</v>
      </c>
      <c r="G381" s="1215">
        <f t="shared" si="178"/>
        <v>0.21295480603468026</v>
      </c>
      <c r="H381" s="1186">
        <f t="shared" si="179"/>
        <v>-0.16256324898641047</v>
      </c>
      <c r="I381" s="1162"/>
      <c r="J381" s="1162"/>
      <c r="K381" s="1162"/>
      <c r="L381" s="1162"/>
      <c r="M381" s="1185">
        <f t="shared" si="180"/>
        <v>9.9532093528295782</v>
      </c>
      <c r="N381" s="1216">
        <f t="shared" si="181"/>
        <v>0.24180539703322612</v>
      </c>
      <c r="O381" s="1213"/>
      <c r="P381" s="1213" t="str">
        <f t="shared" si="182"/>
        <v/>
      </c>
      <c r="Q381" s="1186" t="str">
        <f t="shared" si="183"/>
        <v/>
      </c>
      <c r="R381" s="1186"/>
      <c r="S381" s="1191" t="str">
        <f t="shared" si="184"/>
        <v/>
      </c>
      <c r="T381" s="1191" t="str">
        <f t="shared" si="185"/>
        <v/>
      </c>
      <c r="U381" s="1191"/>
      <c r="V381" s="1202"/>
      <c r="W381" s="1202"/>
      <c r="X381" s="14"/>
      <c r="Y381" s="14"/>
      <c r="Z381" s="14"/>
      <c r="AA381" s="14"/>
      <c r="AB381" s="16"/>
      <c r="AS381" s="16"/>
    </row>
    <row r="382" spans="1:45">
      <c r="A382" s="212" t="s">
        <v>493</v>
      </c>
      <c r="C382" s="1164" t="str">
        <f t="shared" si="176"/>
        <v>logies in logiesgebouw</v>
      </c>
      <c r="E382" s="14"/>
      <c r="F382" s="1214">
        <f t="shared" si="177"/>
        <v>4.1124807048073482</v>
      </c>
      <c r="G382" s="1215">
        <f t="shared" si="178"/>
        <v>-5.0641157782819524E-2</v>
      </c>
      <c r="H382" s="1186">
        <f t="shared" si="179"/>
        <v>-0.1227025392545609</v>
      </c>
      <c r="I382" s="1162"/>
      <c r="J382" s="1162"/>
      <c r="K382" s="1162"/>
      <c r="L382" s="1162"/>
      <c r="M382" s="1185">
        <f t="shared" si="180"/>
        <v>9.9532093528295782</v>
      </c>
      <c r="N382" s="1216">
        <f t="shared" si="181"/>
        <v>-1.2418266582730722E-2</v>
      </c>
      <c r="O382" s="1213"/>
      <c r="P382" s="1213" t="str">
        <f t="shared" si="182"/>
        <v/>
      </c>
      <c r="Q382" s="1186" t="str">
        <f t="shared" si="183"/>
        <v/>
      </c>
      <c r="R382" s="1186"/>
      <c r="S382" s="1191" t="str">
        <f t="shared" si="184"/>
        <v/>
      </c>
      <c r="T382" s="1191" t="str">
        <f t="shared" si="185"/>
        <v/>
      </c>
      <c r="U382" s="1191"/>
      <c r="V382" s="1202"/>
      <c r="W382" s="1202"/>
      <c r="X382" s="14"/>
      <c r="Y382" s="14"/>
      <c r="Z382" s="14"/>
      <c r="AA382" s="14"/>
      <c r="AB382" s="16"/>
      <c r="AS382" s="16"/>
    </row>
    <row r="383" spans="1:45">
      <c r="A383" s="212" t="s">
        <v>493</v>
      </c>
      <c r="C383" s="1164" t="str">
        <f t="shared" si="176"/>
        <v>cel</v>
      </c>
      <c r="E383" s="14"/>
      <c r="F383" s="1217">
        <f t="shared" si="177"/>
        <v>5.5749410370927412</v>
      </c>
      <c r="G383" s="1218">
        <f t="shared" si="178"/>
        <v>-0.53050258620689661</v>
      </c>
      <c r="H383" s="1186">
        <f t="shared" si="179"/>
        <v>-8.3667241118495356E-2</v>
      </c>
      <c r="I383" s="1162"/>
      <c r="J383" s="1162"/>
      <c r="K383" s="1162"/>
      <c r="L383" s="1162"/>
      <c r="M383" s="1185">
        <f t="shared" si="180"/>
        <v>9.9532093528295782</v>
      </c>
      <c r="N383" s="1219">
        <f t="shared" si="181"/>
        <v>-0.47444664668739772</v>
      </c>
      <c r="O383" s="1213"/>
      <c r="P383" s="1213" t="str">
        <f t="shared" si="182"/>
        <v/>
      </c>
      <c r="Q383" s="1186" t="str">
        <f t="shared" si="183"/>
        <v/>
      </c>
      <c r="R383" s="1186"/>
      <c r="S383" s="1191" t="str">
        <f t="shared" si="184"/>
        <v/>
      </c>
      <c r="T383" s="1191" t="str">
        <f t="shared" si="185"/>
        <v/>
      </c>
      <c r="U383" s="1191"/>
      <c r="V383" s="1202"/>
      <c r="W383" s="1202"/>
      <c r="X383" s="14"/>
      <c r="Y383" s="14"/>
      <c r="Z383" s="14"/>
      <c r="AA383" s="14"/>
      <c r="AB383" s="16"/>
      <c r="AS383" s="16"/>
    </row>
    <row r="384" spans="1:45">
      <c r="A384" s="212" t="s">
        <v>493</v>
      </c>
      <c r="C384" s="1164"/>
      <c r="E384" s="14"/>
      <c r="F384" s="908" t="s">
        <v>1419</v>
      </c>
      <c r="G384" s="1198"/>
      <c r="H384" s="1162"/>
      <c r="I384" s="1162"/>
      <c r="J384" s="1162"/>
      <c r="K384" s="1162"/>
      <c r="L384" s="1162"/>
      <c r="M384" s="1198"/>
      <c r="N384" s="1162"/>
      <c r="O384" s="1162"/>
      <c r="P384" s="1220"/>
      <c r="Q384" s="1198"/>
      <c r="R384" s="1198"/>
      <c r="S384" s="1198"/>
      <c r="T384" s="1198"/>
      <c r="U384" s="1198"/>
      <c r="V384" s="1202"/>
      <c r="W384" s="1202"/>
      <c r="X384" s="14"/>
      <c r="Y384" s="14"/>
      <c r="Z384" s="14"/>
      <c r="AA384" s="14"/>
      <c r="AB384" s="16"/>
      <c r="AS384" s="16"/>
    </row>
    <row r="385" spans="1:45">
      <c r="A385" s="212" t="s">
        <v>493</v>
      </c>
      <c r="C385" s="1164" t="e">
        <f>#REF!</f>
        <v>#REF!</v>
      </c>
      <c r="E385" s="14"/>
      <c r="F385" s="1221">
        <f>IF(SUM($M$44:$M$55)=0,0,SUMPRODUCT($M$44:$M$55,F$372:F$383)/SUM($M$44:$M$55))</f>
        <v>4.2922165274118269</v>
      </c>
      <c r="G385" s="1200">
        <f>IF(SUM($M$44:$M$55)=0,0,SUMPRODUCT($M$44:$M$55,G$372:G$383)/SUM($M$44:$M$55))</f>
        <v>-3.9773319655195288E-2</v>
      </c>
      <c r="H385" s="1222">
        <f>(LN(6/10)/(F385-G385))</f>
        <v>-0.11791939542791073</v>
      </c>
      <c r="I385" s="1222"/>
      <c r="J385" s="1200">
        <f>IF(OR($M$58="",$M$58=0),"",SUMPRODUCT($G$227:$M$227,G233:M233)/$J$275)</f>
        <v>0</v>
      </c>
      <c r="K385" s="1200">
        <f>J385+$J$272</f>
        <v>0</v>
      </c>
      <c r="L385" s="1200"/>
      <c r="M385" s="1223">
        <f>IFERROR(10*EXP(H385*(K385-G385)),"")</f>
        <v>9.9532093528295782</v>
      </c>
      <c r="N385" s="1162"/>
      <c r="O385" s="1162"/>
      <c r="P385" s="1213">
        <f>$J$272</f>
        <v>0</v>
      </c>
      <c r="Q385" s="1190">
        <f>J385*$J$275</f>
        <v>0</v>
      </c>
      <c r="R385" s="1224" t="s">
        <v>551</v>
      </c>
      <c r="S385" s="1224"/>
      <c r="T385" s="1198"/>
      <c r="U385" s="1198"/>
      <c r="V385" s="1202"/>
      <c r="W385" s="1202"/>
      <c r="X385" s="14"/>
      <c r="Y385" s="14"/>
      <c r="Z385" s="14"/>
      <c r="AA385" s="14"/>
      <c r="AB385" s="16"/>
      <c r="AS385" s="16"/>
    </row>
    <row r="386" spans="1:45" s="995" customFormat="1">
      <c r="A386" s="212" t="s">
        <v>493</v>
      </c>
      <c r="B386" s="943"/>
      <c r="C386" s="1092"/>
      <c r="D386" s="943"/>
      <c r="E386" s="14"/>
      <c r="F386" s="1201"/>
      <c r="G386" s="1202"/>
      <c r="H386" s="1202"/>
      <c r="I386" s="1202"/>
      <c r="J386" s="1202"/>
      <c r="K386" s="1202"/>
      <c r="L386" s="1202"/>
      <c r="M386" s="1202"/>
      <c r="N386" s="1202"/>
      <c r="O386" s="1202"/>
      <c r="P386" s="1202"/>
      <c r="Q386" s="1202"/>
      <c r="R386" s="1202"/>
      <c r="S386" s="1202"/>
      <c r="T386" s="1202"/>
      <c r="U386" s="1202"/>
      <c r="V386" s="1202"/>
      <c r="W386" s="1202"/>
      <c r="X386" s="14"/>
      <c r="Y386" s="14"/>
      <c r="Z386" s="14"/>
      <c r="AA386" s="14"/>
      <c r="AB386" s="16"/>
      <c r="AD386" s="1428"/>
      <c r="AE386" s="1406"/>
      <c r="AF386" s="1406"/>
      <c r="AG386" s="1406"/>
      <c r="AH386" s="1406"/>
      <c r="AI386" s="1406"/>
      <c r="AJ386" s="1406"/>
      <c r="AK386" s="1406"/>
      <c r="AL386" s="1407"/>
      <c r="AM386" s="1407"/>
      <c r="AS386" s="16"/>
    </row>
    <row r="387" spans="1:45" s="1167" customFormat="1" ht="21">
      <c r="A387" s="212" t="s">
        <v>493</v>
      </c>
      <c r="B387" s="1168"/>
      <c r="C387" s="1173"/>
      <c r="D387" s="1168"/>
      <c r="E387" s="1169"/>
      <c r="F387" s="1170" t="str">
        <f>"DPG bij doelmethode "&amp;EP_doelmethode</f>
        <v>DPG bij doelmethode GPR 4.4 | NTA 8800</v>
      </c>
      <c r="G387" s="1203"/>
      <c r="H387" s="1203"/>
      <c r="I387" s="1203"/>
      <c r="J387" s="1203"/>
      <c r="K387" s="1203"/>
      <c r="L387" s="1203"/>
      <c r="M387" s="1203"/>
      <c r="N387" s="1203"/>
      <c r="O387" s="1203"/>
      <c r="P387" s="1203"/>
      <c r="Q387" s="1203"/>
      <c r="R387" s="1203"/>
      <c r="S387" s="1203"/>
      <c r="T387" s="1203"/>
      <c r="U387" s="1203"/>
      <c r="V387" s="1204"/>
      <c r="W387" s="1204"/>
      <c r="X387" s="1175"/>
      <c r="Y387" s="1175"/>
      <c r="Z387" s="1175"/>
      <c r="AA387" s="1175"/>
      <c r="AB387" s="1396"/>
      <c r="AD387" s="1440"/>
      <c r="AE387" s="1426"/>
      <c r="AF387" s="1426"/>
      <c r="AG387" s="1426"/>
      <c r="AH387" s="1426"/>
      <c r="AI387" s="1426"/>
      <c r="AJ387" s="1426"/>
      <c r="AK387" s="1426"/>
      <c r="AL387" s="1427"/>
      <c r="AM387" s="1427"/>
      <c r="AS387" s="1396"/>
    </row>
    <row r="388" spans="1:45" s="211" customFormat="1" ht="64">
      <c r="A388" s="212" t="s">
        <v>493</v>
      </c>
      <c r="B388" s="1163"/>
      <c r="C388" s="1164" t="s">
        <v>1638</v>
      </c>
      <c r="D388" s="1163"/>
      <c r="E388" s="14"/>
      <c r="F388" s="1205" t="s">
        <v>484</v>
      </c>
      <c r="G388" s="1205" t="s">
        <v>523</v>
      </c>
      <c r="H388" s="1205" t="s">
        <v>524</v>
      </c>
      <c r="I388" s="1205"/>
      <c r="J388" s="1205" t="s">
        <v>525</v>
      </c>
      <c r="K388" s="1205" t="s">
        <v>537</v>
      </c>
      <c r="L388" s="1205"/>
      <c r="M388" s="1205" t="s">
        <v>431</v>
      </c>
      <c r="N388" s="1205" t="s">
        <v>544</v>
      </c>
      <c r="O388" s="1205"/>
      <c r="P388" s="1205" t="s">
        <v>545</v>
      </c>
      <c r="Q388" s="1205" t="s">
        <v>546</v>
      </c>
      <c r="R388" s="1205"/>
      <c r="S388" s="1205" t="s">
        <v>547</v>
      </c>
      <c r="T388" s="1205" t="s">
        <v>548</v>
      </c>
      <c r="U388" s="1205"/>
      <c r="V388" s="1205" t="s">
        <v>549</v>
      </c>
      <c r="W388" s="1205" t="s">
        <v>550</v>
      </c>
      <c r="X388" s="1175"/>
      <c r="Y388" s="1175"/>
      <c r="Z388" s="1175"/>
      <c r="AA388" s="1175"/>
      <c r="AB388" s="1396"/>
      <c r="AD388" s="1438"/>
      <c r="AE388" s="1423"/>
      <c r="AF388" s="1423"/>
      <c r="AG388" s="1423"/>
      <c r="AH388" s="1423"/>
      <c r="AI388" s="1423"/>
      <c r="AJ388" s="1423"/>
      <c r="AK388" s="1423"/>
      <c r="AL388" s="1424"/>
      <c r="AM388" s="1424"/>
      <c r="AS388" s="1396"/>
    </row>
    <row r="389" spans="1:45">
      <c r="A389" s="212" t="s">
        <v>493</v>
      </c>
      <c r="C389" s="1164" t="s">
        <v>204</v>
      </c>
      <c r="E389" s="14"/>
      <c r="F389" s="1206"/>
      <c r="G389" s="1206" t="s">
        <v>457</v>
      </c>
      <c r="H389" s="1206" t="s">
        <v>457</v>
      </c>
      <c r="I389" s="1206"/>
      <c r="J389" s="1206"/>
      <c r="K389" s="1206" t="s">
        <v>457</v>
      </c>
      <c r="L389" s="1206"/>
      <c r="M389" s="1206" t="s">
        <v>457</v>
      </c>
      <c r="N389" s="1206" t="s">
        <v>457</v>
      </c>
      <c r="O389" s="1206"/>
      <c r="P389" s="1206" t="s">
        <v>551</v>
      </c>
      <c r="Q389" s="1206" t="s">
        <v>132</v>
      </c>
      <c r="R389" s="1206"/>
      <c r="S389" s="1206"/>
      <c r="T389" s="1206" t="s">
        <v>457</v>
      </c>
      <c r="U389" s="1206"/>
      <c r="V389" s="1206" t="s">
        <v>457</v>
      </c>
      <c r="W389" s="1206"/>
      <c r="X389" s="1175"/>
      <c r="Y389" s="1175"/>
      <c r="Z389" s="1175"/>
      <c r="AA389" s="1175"/>
      <c r="AB389" s="1396"/>
      <c r="AS389" s="1396"/>
    </row>
    <row r="390" spans="1:45">
      <c r="A390" s="212" t="s">
        <v>493</v>
      </c>
      <c r="C390" s="1164" t="s">
        <v>1639</v>
      </c>
      <c r="E390" s="14"/>
      <c r="F390" s="907" t="s">
        <v>1521</v>
      </c>
      <c r="G390" s="907"/>
      <c r="H390" s="907"/>
      <c r="I390" s="907"/>
      <c r="J390" s="907"/>
      <c r="K390" s="982" t="s">
        <v>1522</v>
      </c>
      <c r="L390" s="982"/>
      <c r="M390" s="907"/>
      <c r="N390" s="907" t="s">
        <v>1524</v>
      </c>
      <c r="O390" s="907"/>
      <c r="P390" s="1208"/>
      <c r="Q390" s="1208"/>
      <c r="R390" s="1208"/>
      <c r="S390" s="1208"/>
      <c r="T390" s="1208"/>
      <c r="U390" s="1208"/>
      <c r="V390" s="1209" t="s">
        <v>1412</v>
      </c>
      <c r="W390" s="1209" t="s">
        <v>1412</v>
      </c>
      <c r="X390" s="1175"/>
      <c r="Y390" s="1175"/>
      <c r="Z390" s="1175"/>
      <c r="AA390" s="1175"/>
      <c r="AB390" s="1396"/>
      <c r="AS390" s="1396"/>
    </row>
    <row r="391" spans="1:45">
      <c r="A391" s="212" t="s">
        <v>493</v>
      </c>
      <c r="C391" s="1164" t="str">
        <f t="shared" ref="C391:C402" si="186">F44</f>
        <v>woning</v>
      </c>
      <c r="E391" s="14"/>
      <c r="F391" s="1184">
        <f t="shared" ref="F391:F402" si="187">$AG$220</f>
        <v>9.9532093528295782</v>
      </c>
      <c r="G391" s="1185">
        <f t="shared" ref="G391:G402" si="188">INDEX(Energie_DPG_Score_6,MATCH($F44,Gebruiksfuncties,0),MATCH(EP_doelmethode,GPR_Versie_En_EP_Methode,0))</f>
        <v>2.1714821124228192</v>
      </c>
      <c r="H391" s="1185">
        <f t="shared" ref="H391:H402" si="189">INDEX(Energie_DPG_Score_10,MATCH($F44,Gebruiksfuncties,0),MATCH(EP_doelmethode,GPR_Versie_En_EP_Methode,0))</f>
        <v>-0.34896741831981437</v>
      </c>
      <c r="I391" s="1185"/>
      <c r="J391" s="1186">
        <f t="shared" ref="J391:J402" si="190">(LN(6/10)/(G391-H391))</f>
        <v>-0.20267242709497119</v>
      </c>
      <c r="K391" s="1187">
        <f t="shared" ref="K391:K402" si="191">IFERROR(LN(F391/10)/J391+H391,0)</f>
        <v>-0.32582640266649132</v>
      </c>
      <c r="L391" s="1188"/>
      <c r="M391" s="1188" t="str">
        <f t="shared" ref="M391:M402" si="192">$M350</f>
        <v/>
      </c>
      <c r="N391" s="1189" t="str">
        <f t="shared" ref="N391:N402" si="193">IFERROR(K391-M391,"")</f>
        <v/>
      </c>
      <c r="O391" s="1188"/>
      <c r="P391" s="1190" t="str">
        <f t="shared" ref="P391:P402" si="194">IFERROR(N391*M44/$M$58*$J$275,"")</f>
        <v/>
      </c>
      <c r="Q391" s="1191" t="str">
        <f t="shared" ref="Q391:Q402" si="195">IFERROR(P391/IF(EP_bronmethode=EP_doelmethode,$P$404,$Q$385),"")</f>
        <v/>
      </c>
      <c r="R391" s="1191"/>
      <c r="S391" s="1191" t="str">
        <f t="shared" ref="S391:S402" si="196">IFERROR($N391/$Q372*$Q391,"")</f>
        <v/>
      </c>
      <c r="T391" s="1191" t="str">
        <f t="shared" ref="T391:T402" si="197">IF(OR(M44="",M44=0),"",SUMPRODUCT($G$227:$M$227,$G236:$M236)/($M44/$M$58*$J$275))</f>
        <v/>
      </c>
      <c r="U391" s="1191"/>
      <c r="V391" s="1191" t="str">
        <f t="shared" ref="V391:V402" si="198">IF(M350="","",M391+T391)</f>
        <v/>
      </c>
      <c r="W391" s="1191" t="str">
        <f t="shared" ref="W391:W402" si="199">IFERROR(10*EXP(J391*(V391-H391)),"")</f>
        <v/>
      </c>
      <c r="X391" s="1182" t="b">
        <f>W391=T372</f>
        <v>1</v>
      </c>
      <c r="Y391" s="1175"/>
      <c r="Z391" s="1175"/>
      <c r="AA391" s="1175"/>
      <c r="AB391" s="1396"/>
      <c r="AS391" s="1396"/>
    </row>
    <row r="392" spans="1:45">
      <c r="A392" s="212" t="s">
        <v>493</v>
      </c>
      <c r="C392" s="1164" t="str">
        <f t="shared" si="186"/>
        <v>woongebouw</v>
      </c>
      <c r="E392" s="14"/>
      <c r="F392" s="1192">
        <f t="shared" si="187"/>
        <v>9.9532093528295782</v>
      </c>
      <c r="G392" s="1185">
        <f t="shared" si="188"/>
        <v>2.1714821124228192</v>
      </c>
      <c r="H392" s="1185">
        <f t="shared" si="189"/>
        <v>-0.34896741831981437</v>
      </c>
      <c r="I392" s="1185"/>
      <c r="J392" s="1186">
        <f t="shared" si="190"/>
        <v>-0.20267242709497119</v>
      </c>
      <c r="K392" s="1193">
        <f t="shared" si="191"/>
        <v>-0.32582640266649132</v>
      </c>
      <c r="L392" s="1188"/>
      <c r="M392" s="1188" t="str">
        <f t="shared" si="192"/>
        <v/>
      </c>
      <c r="N392" s="1194" t="str">
        <f t="shared" si="193"/>
        <v/>
      </c>
      <c r="O392" s="1188"/>
      <c r="P392" s="1190" t="str">
        <f t="shared" si="194"/>
        <v/>
      </c>
      <c r="Q392" s="1191" t="str">
        <f t="shared" si="195"/>
        <v/>
      </c>
      <c r="R392" s="1191"/>
      <c r="S392" s="1191" t="str">
        <f t="shared" si="196"/>
        <v/>
      </c>
      <c r="T392" s="1191" t="str">
        <f t="shared" si="197"/>
        <v/>
      </c>
      <c r="U392" s="1191"/>
      <c r="V392" s="1191" t="str">
        <f t="shared" si="198"/>
        <v/>
      </c>
      <c r="W392" s="1191" t="str">
        <f t="shared" si="199"/>
        <v/>
      </c>
      <c r="X392" s="1182" t="b">
        <f t="shared" ref="X392:X402" si="200">W392=T373</f>
        <v>1</v>
      </c>
      <c r="Y392" s="1175"/>
      <c r="Z392" s="1175"/>
      <c r="AA392" s="1175"/>
      <c r="AB392" s="1396"/>
      <c r="AS392" s="1396"/>
    </row>
    <row r="393" spans="1:45">
      <c r="A393" s="212" t="s">
        <v>493</v>
      </c>
      <c r="C393" s="1164" t="str">
        <f t="shared" si="186"/>
        <v>kantoor</v>
      </c>
      <c r="E393" s="14"/>
      <c r="F393" s="1192">
        <f t="shared" si="187"/>
        <v>9.9532093528295782</v>
      </c>
      <c r="G393" s="1185">
        <f t="shared" si="188"/>
        <v>3.4181135498615678</v>
      </c>
      <c r="H393" s="1185">
        <f t="shared" si="189"/>
        <v>-0.5305607399933423</v>
      </c>
      <c r="I393" s="1185"/>
      <c r="J393" s="1186">
        <f t="shared" si="190"/>
        <v>-0.1293663610286683</v>
      </c>
      <c r="K393" s="1193">
        <f t="shared" si="191"/>
        <v>-0.49430675734585661</v>
      </c>
      <c r="L393" s="1188"/>
      <c r="M393" s="1188">
        <f t="shared" si="192"/>
        <v>0</v>
      </c>
      <c r="N393" s="1194">
        <f t="shared" si="193"/>
        <v>-0.49430675734585661</v>
      </c>
      <c r="O393" s="1188"/>
      <c r="P393" s="1190">
        <f t="shared" si="194"/>
        <v>-0.16476891911528554</v>
      </c>
      <c r="Q393" s="1191">
        <f t="shared" si="195"/>
        <v>-516210951464236.06</v>
      </c>
      <c r="R393" s="1191"/>
      <c r="S393" s="1191">
        <f t="shared" si="196"/>
        <v>-516210951464236.06</v>
      </c>
      <c r="T393" s="1191">
        <f t="shared" si="197"/>
        <v>0</v>
      </c>
      <c r="U393" s="1191"/>
      <c r="V393" s="1191">
        <f t="shared" si="198"/>
        <v>0</v>
      </c>
      <c r="W393" s="1191">
        <f t="shared" si="199"/>
        <v>9.3366580783613315</v>
      </c>
      <c r="X393" s="1182" t="b">
        <f t="shared" si="200"/>
        <v>0</v>
      </c>
      <c r="Y393" s="1175"/>
      <c r="Z393" s="1175"/>
      <c r="AA393" s="1175"/>
      <c r="AB393" s="1396"/>
      <c r="AS393" s="1396"/>
    </row>
    <row r="394" spans="1:45">
      <c r="A394" s="212" t="s">
        <v>493</v>
      </c>
      <c r="C394" s="1164" t="str">
        <f t="shared" si="186"/>
        <v>bijeenkomst overig</v>
      </c>
      <c r="E394" s="14"/>
      <c r="F394" s="1192">
        <f t="shared" si="187"/>
        <v>9.9532093528295782</v>
      </c>
      <c r="G394" s="1185">
        <f t="shared" si="188"/>
        <v>4.496642433386441</v>
      </c>
      <c r="H394" s="1185">
        <f t="shared" si="189"/>
        <v>0.18902985498063157</v>
      </c>
      <c r="I394" s="1185"/>
      <c r="J394" s="1186">
        <f t="shared" si="190"/>
        <v>-0.11858671467503248</v>
      </c>
      <c r="K394" s="1193">
        <f t="shared" si="191"/>
        <v>0.22857935949936295</v>
      </c>
      <c r="L394" s="1188"/>
      <c r="M394" s="1188">
        <f t="shared" si="192"/>
        <v>0</v>
      </c>
      <c r="N394" s="1194">
        <f t="shared" si="193"/>
        <v>0.22857935949936295</v>
      </c>
      <c r="O394" s="1188"/>
      <c r="P394" s="1190">
        <f t="shared" si="194"/>
        <v>7.6193119833120979E-2</v>
      </c>
      <c r="Q394" s="1191">
        <f t="shared" si="195"/>
        <v>238708386844270.75</v>
      </c>
      <c r="R394" s="1191"/>
      <c r="S394" s="1191">
        <f t="shared" si="196"/>
        <v>238708386844270.75</v>
      </c>
      <c r="T394" s="1191">
        <f t="shared" si="197"/>
        <v>0</v>
      </c>
      <c r="U394" s="1191"/>
      <c r="V394" s="1191">
        <f t="shared" si="198"/>
        <v>0</v>
      </c>
      <c r="W394" s="1191">
        <f t="shared" si="199"/>
        <v>10.226695655633833</v>
      </c>
      <c r="X394" s="1182" t="b">
        <f t="shared" si="200"/>
        <v>0</v>
      </c>
      <c r="Y394" s="1175"/>
      <c r="Z394" s="1175"/>
      <c r="AA394" s="1175"/>
      <c r="AB394" s="1396"/>
      <c r="AS394" s="1396"/>
    </row>
    <row r="395" spans="1:45">
      <c r="A395" s="212" t="s">
        <v>493</v>
      </c>
      <c r="C395" s="1164" t="str">
        <f t="shared" si="186"/>
        <v>bijeenkomst kinderdagverblijf</v>
      </c>
      <c r="E395" s="14"/>
      <c r="F395" s="1192">
        <f t="shared" si="187"/>
        <v>9.9532093528295782</v>
      </c>
      <c r="G395" s="1185">
        <f t="shared" si="188"/>
        <v>4.9618935989874702</v>
      </c>
      <c r="H395" s="1185">
        <f t="shared" si="189"/>
        <v>0.22221092604712483</v>
      </c>
      <c r="I395" s="1185"/>
      <c r="J395" s="1186">
        <f t="shared" si="190"/>
        <v>-0.10777633420110193</v>
      </c>
      <c r="K395" s="1193">
        <f t="shared" si="191"/>
        <v>0.26572739784649463</v>
      </c>
      <c r="L395" s="1188"/>
      <c r="M395" s="1188">
        <f t="shared" si="192"/>
        <v>0</v>
      </c>
      <c r="N395" s="1194">
        <f t="shared" si="193"/>
        <v>0.26572739784649463</v>
      </c>
      <c r="O395" s="1188"/>
      <c r="P395" s="1190">
        <f t="shared" si="194"/>
        <v>8.8575799282164885E-2</v>
      </c>
      <c r="Q395" s="1191">
        <f t="shared" si="195"/>
        <v>277502564619966.34</v>
      </c>
      <c r="R395" s="1191"/>
      <c r="S395" s="1191">
        <f t="shared" si="196"/>
        <v>277502564619966.34</v>
      </c>
      <c r="T395" s="1191">
        <f t="shared" si="197"/>
        <v>0</v>
      </c>
      <c r="U395" s="1191"/>
      <c r="V395" s="1191">
        <f t="shared" si="198"/>
        <v>0</v>
      </c>
      <c r="W395" s="1191">
        <f t="shared" si="199"/>
        <v>10.242381613607767</v>
      </c>
      <c r="X395" s="1182" t="b">
        <f t="shared" si="200"/>
        <v>0</v>
      </c>
      <c r="Y395" s="1175"/>
      <c r="Z395" s="1175"/>
      <c r="AA395" s="1175"/>
      <c r="AB395" s="1396"/>
      <c r="AS395" s="1396"/>
    </row>
    <row r="396" spans="1:45">
      <c r="A396" s="212" t="s">
        <v>493</v>
      </c>
      <c r="C396" s="1164" t="str">
        <f t="shared" si="186"/>
        <v>onderwijs</v>
      </c>
      <c r="E396" s="14"/>
      <c r="F396" s="1192">
        <f t="shared" si="187"/>
        <v>9.9532093528295782</v>
      </c>
      <c r="G396" s="1185">
        <f t="shared" si="188"/>
        <v>4.496374086733848</v>
      </c>
      <c r="H396" s="1185">
        <f t="shared" si="189"/>
        <v>1.0009891564366158E-2</v>
      </c>
      <c r="I396" s="1185"/>
      <c r="J396" s="1186">
        <f t="shared" si="190"/>
        <v>-0.11386182698141234</v>
      </c>
      <c r="K396" s="1193">
        <f t="shared" si="191"/>
        <v>5.1200569179853085E-2</v>
      </c>
      <c r="L396" s="1188"/>
      <c r="M396" s="1188" t="str">
        <f t="shared" si="192"/>
        <v/>
      </c>
      <c r="N396" s="1194" t="str">
        <f t="shared" si="193"/>
        <v/>
      </c>
      <c r="O396" s="1188"/>
      <c r="P396" s="1190" t="str">
        <f t="shared" si="194"/>
        <v/>
      </c>
      <c r="Q396" s="1191" t="str">
        <f t="shared" si="195"/>
        <v/>
      </c>
      <c r="R396" s="1191"/>
      <c r="S396" s="1191" t="str">
        <f t="shared" si="196"/>
        <v/>
      </c>
      <c r="T396" s="1191" t="str">
        <f t="shared" si="197"/>
        <v/>
      </c>
      <c r="U396" s="1191"/>
      <c r="V396" s="1191" t="str">
        <f t="shared" si="198"/>
        <v/>
      </c>
      <c r="W396" s="1191" t="str">
        <f t="shared" si="199"/>
        <v/>
      </c>
      <c r="X396" s="1182" t="b">
        <f t="shared" si="200"/>
        <v>1</v>
      </c>
      <c r="Y396" s="1175"/>
      <c r="Z396" s="1175"/>
      <c r="AA396" s="1175"/>
      <c r="AB396" s="1396"/>
      <c r="AS396" s="1396"/>
    </row>
    <row r="397" spans="1:45">
      <c r="A397" s="212" t="s">
        <v>493</v>
      </c>
      <c r="C397" s="1164" t="str">
        <f t="shared" si="186"/>
        <v>gezondheid overig</v>
      </c>
      <c r="E397" s="14"/>
      <c r="F397" s="1192">
        <f t="shared" si="187"/>
        <v>9.9532093528295782</v>
      </c>
      <c r="G397" s="1185">
        <f t="shared" si="188"/>
        <v>3.0421145136275034</v>
      </c>
      <c r="H397" s="1185">
        <f t="shared" si="189"/>
        <v>-0.8488041379310346</v>
      </c>
      <c r="I397" s="1185"/>
      <c r="J397" s="1186">
        <f t="shared" si="190"/>
        <v>-0.13128663678470265</v>
      </c>
      <c r="K397" s="1193">
        <f t="shared" si="191"/>
        <v>-0.81308042740904962</v>
      </c>
      <c r="L397" s="1188"/>
      <c r="M397" s="1188" t="str">
        <f t="shared" si="192"/>
        <v/>
      </c>
      <c r="N397" s="1194" t="str">
        <f t="shared" si="193"/>
        <v/>
      </c>
      <c r="O397" s="1188"/>
      <c r="P397" s="1190" t="str">
        <f t="shared" si="194"/>
        <v/>
      </c>
      <c r="Q397" s="1191" t="str">
        <f t="shared" si="195"/>
        <v/>
      </c>
      <c r="R397" s="1191"/>
      <c r="S397" s="1191" t="str">
        <f t="shared" si="196"/>
        <v/>
      </c>
      <c r="T397" s="1191" t="str">
        <f t="shared" si="197"/>
        <v/>
      </c>
      <c r="U397" s="1191"/>
      <c r="V397" s="1191" t="str">
        <f t="shared" si="198"/>
        <v/>
      </c>
      <c r="W397" s="1191" t="str">
        <f t="shared" si="199"/>
        <v/>
      </c>
      <c r="X397" s="1182" t="b">
        <f t="shared" si="200"/>
        <v>1</v>
      </c>
      <c r="Y397" s="1175"/>
      <c r="Z397" s="1175"/>
      <c r="AA397" s="1175"/>
      <c r="AB397" s="1396"/>
      <c r="AS397" s="1396"/>
    </row>
    <row r="398" spans="1:45">
      <c r="A398" s="212" t="s">
        <v>493</v>
      </c>
      <c r="C398" s="1164" t="str">
        <f t="shared" si="186"/>
        <v>gezondheid bedgebied</v>
      </c>
      <c r="E398" s="14"/>
      <c r="F398" s="1192">
        <f t="shared" si="187"/>
        <v>9.9532093528295782</v>
      </c>
      <c r="G398" s="1185">
        <f t="shared" si="188"/>
        <v>7.1710028268311063</v>
      </c>
      <c r="H398" s="1185">
        <f t="shared" si="189"/>
        <v>-1.0610051724137932</v>
      </c>
      <c r="I398" s="1185"/>
      <c r="J398" s="1186">
        <f t="shared" si="190"/>
        <v>-6.2053586902836758E-2</v>
      </c>
      <c r="K398" s="1193">
        <f t="shared" si="191"/>
        <v>-0.98542459694689299</v>
      </c>
      <c r="L398" s="1188"/>
      <c r="M398" s="1188" t="str">
        <f t="shared" si="192"/>
        <v/>
      </c>
      <c r="N398" s="1194" t="str">
        <f t="shared" si="193"/>
        <v/>
      </c>
      <c r="O398" s="1188"/>
      <c r="P398" s="1190" t="str">
        <f t="shared" si="194"/>
        <v/>
      </c>
      <c r="Q398" s="1191" t="str">
        <f t="shared" si="195"/>
        <v/>
      </c>
      <c r="R398" s="1191"/>
      <c r="S398" s="1191" t="str">
        <f t="shared" si="196"/>
        <v/>
      </c>
      <c r="T398" s="1191" t="str">
        <f t="shared" si="197"/>
        <v/>
      </c>
      <c r="U398" s="1191"/>
      <c r="V398" s="1191" t="str">
        <f t="shared" si="198"/>
        <v/>
      </c>
      <c r="W398" s="1191" t="str">
        <f t="shared" si="199"/>
        <v/>
      </c>
      <c r="X398" s="1182" t="b">
        <f t="shared" si="200"/>
        <v>1</v>
      </c>
      <c r="Y398" s="1175"/>
      <c r="Z398" s="1175"/>
      <c r="AA398" s="1175"/>
      <c r="AB398" s="1396"/>
      <c r="AS398" s="1396"/>
    </row>
    <row r="399" spans="1:45">
      <c r="A399" s="212" t="s">
        <v>493</v>
      </c>
      <c r="C399" s="1164" t="str">
        <f t="shared" si="186"/>
        <v>winkel</v>
      </c>
      <c r="E399" s="14"/>
      <c r="F399" s="1192">
        <f t="shared" si="187"/>
        <v>9.9532093528295782</v>
      </c>
      <c r="G399" s="1185">
        <f t="shared" si="188"/>
        <v>6.2190488086838158</v>
      </c>
      <c r="H399" s="1185">
        <f t="shared" si="189"/>
        <v>-0.31109441289929285</v>
      </c>
      <c r="I399" s="1185"/>
      <c r="J399" s="1186">
        <f t="shared" si="190"/>
        <v>-7.8225791752565998E-2</v>
      </c>
      <c r="K399" s="1193">
        <f t="shared" si="191"/>
        <v>-0.25113917687257842</v>
      </c>
      <c r="L399" s="1188"/>
      <c r="M399" s="1188" t="str">
        <f t="shared" si="192"/>
        <v/>
      </c>
      <c r="N399" s="1194" t="str">
        <f t="shared" si="193"/>
        <v/>
      </c>
      <c r="O399" s="1188"/>
      <c r="P399" s="1190" t="str">
        <f t="shared" si="194"/>
        <v/>
      </c>
      <c r="Q399" s="1191" t="str">
        <f t="shared" si="195"/>
        <v/>
      </c>
      <c r="R399" s="1191"/>
      <c r="S399" s="1191" t="str">
        <f t="shared" si="196"/>
        <v/>
      </c>
      <c r="T399" s="1191" t="str">
        <f t="shared" si="197"/>
        <v/>
      </c>
      <c r="U399" s="1191"/>
      <c r="V399" s="1191" t="str">
        <f t="shared" si="198"/>
        <v/>
      </c>
      <c r="W399" s="1191" t="str">
        <f t="shared" si="199"/>
        <v/>
      </c>
      <c r="X399" s="1182" t="b">
        <f t="shared" si="200"/>
        <v>1</v>
      </c>
      <c r="Y399" s="1175"/>
      <c r="Z399" s="1175"/>
      <c r="AA399" s="1175"/>
      <c r="AB399" s="1396"/>
      <c r="AS399" s="1396"/>
    </row>
    <row r="400" spans="1:45">
      <c r="A400" s="212" t="s">
        <v>493</v>
      </c>
      <c r="C400" s="1164" t="str">
        <f t="shared" si="186"/>
        <v>sport</v>
      </c>
      <c r="E400" s="14"/>
      <c r="F400" s="1192">
        <f t="shared" si="187"/>
        <v>9.9532093528295782</v>
      </c>
      <c r="G400" s="1185">
        <f t="shared" si="188"/>
        <v>3.3552740384012365</v>
      </c>
      <c r="H400" s="1185">
        <f t="shared" si="189"/>
        <v>0.21295480603468026</v>
      </c>
      <c r="I400" s="1185"/>
      <c r="J400" s="1186">
        <f t="shared" si="190"/>
        <v>-0.16256324898641047</v>
      </c>
      <c r="K400" s="1193">
        <f t="shared" si="191"/>
        <v>0.24180539703322612</v>
      </c>
      <c r="L400" s="1188"/>
      <c r="M400" s="1188" t="str">
        <f t="shared" si="192"/>
        <v/>
      </c>
      <c r="N400" s="1194" t="str">
        <f t="shared" si="193"/>
        <v/>
      </c>
      <c r="O400" s="1188"/>
      <c r="P400" s="1190" t="str">
        <f t="shared" si="194"/>
        <v/>
      </c>
      <c r="Q400" s="1191" t="str">
        <f t="shared" si="195"/>
        <v/>
      </c>
      <c r="R400" s="1191"/>
      <c r="S400" s="1191" t="str">
        <f t="shared" si="196"/>
        <v/>
      </c>
      <c r="T400" s="1191" t="str">
        <f t="shared" si="197"/>
        <v/>
      </c>
      <c r="U400" s="1191"/>
      <c r="V400" s="1191" t="str">
        <f t="shared" si="198"/>
        <v/>
      </c>
      <c r="W400" s="1191" t="str">
        <f t="shared" si="199"/>
        <v/>
      </c>
      <c r="X400" s="1182" t="b">
        <f t="shared" si="200"/>
        <v>1</v>
      </c>
      <c r="Y400" s="1175"/>
      <c r="Z400" s="1175"/>
      <c r="AA400" s="1175"/>
      <c r="AB400" s="1396"/>
      <c r="AS400" s="1396"/>
    </row>
    <row r="401" spans="1:61">
      <c r="A401" s="212" t="s">
        <v>493</v>
      </c>
      <c r="C401" s="1164" t="str">
        <f t="shared" si="186"/>
        <v>logies in logiesgebouw</v>
      </c>
      <c r="E401" s="14"/>
      <c r="F401" s="1192">
        <f t="shared" si="187"/>
        <v>9.9532093528295782</v>
      </c>
      <c r="G401" s="1185">
        <f t="shared" si="188"/>
        <v>4.1124807048073482</v>
      </c>
      <c r="H401" s="1185">
        <f t="shared" si="189"/>
        <v>-5.0641157782819524E-2</v>
      </c>
      <c r="I401" s="1185"/>
      <c r="J401" s="1186">
        <f t="shared" si="190"/>
        <v>-0.1227025392545609</v>
      </c>
      <c r="K401" s="1193">
        <f t="shared" si="191"/>
        <v>-1.2418266582730722E-2</v>
      </c>
      <c r="L401" s="1188"/>
      <c r="M401" s="1188" t="str">
        <f t="shared" si="192"/>
        <v/>
      </c>
      <c r="N401" s="1194" t="str">
        <f t="shared" si="193"/>
        <v/>
      </c>
      <c r="O401" s="1188"/>
      <c r="P401" s="1190" t="str">
        <f t="shared" si="194"/>
        <v/>
      </c>
      <c r="Q401" s="1191" t="str">
        <f t="shared" si="195"/>
        <v/>
      </c>
      <c r="R401" s="1191"/>
      <c r="S401" s="1191" t="str">
        <f t="shared" si="196"/>
        <v/>
      </c>
      <c r="T401" s="1191" t="str">
        <f t="shared" si="197"/>
        <v/>
      </c>
      <c r="U401" s="1191"/>
      <c r="V401" s="1191" t="str">
        <f t="shared" si="198"/>
        <v/>
      </c>
      <c r="W401" s="1191" t="str">
        <f t="shared" si="199"/>
        <v/>
      </c>
      <c r="X401" s="1182" t="b">
        <f t="shared" si="200"/>
        <v>1</v>
      </c>
      <c r="Y401" s="1175"/>
      <c r="Z401" s="1175"/>
      <c r="AA401" s="1175"/>
      <c r="AB401" s="1396"/>
      <c r="AS401" s="1396"/>
    </row>
    <row r="402" spans="1:61">
      <c r="A402" s="212" t="s">
        <v>493</v>
      </c>
      <c r="C402" s="1164" t="str">
        <f t="shared" si="186"/>
        <v>cel</v>
      </c>
      <c r="E402" s="14"/>
      <c r="F402" s="1195">
        <f t="shared" si="187"/>
        <v>9.9532093528295782</v>
      </c>
      <c r="G402" s="1185">
        <f t="shared" si="188"/>
        <v>5.5749410370927412</v>
      </c>
      <c r="H402" s="1185">
        <f t="shared" si="189"/>
        <v>-0.53050258620689661</v>
      </c>
      <c r="I402" s="1185"/>
      <c r="J402" s="1186">
        <f t="shared" si="190"/>
        <v>-8.3667241118495356E-2</v>
      </c>
      <c r="K402" s="1196">
        <f t="shared" si="191"/>
        <v>-0.47444664668739772</v>
      </c>
      <c r="L402" s="1188"/>
      <c r="M402" s="1188" t="str">
        <f t="shared" si="192"/>
        <v/>
      </c>
      <c r="N402" s="1197" t="str">
        <f t="shared" si="193"/>
        <v/>
      </c>
      <c r="O402" s="1188"/>
      <c r="P402" s="1190" t="str">
        <f t="shared" si="194"/>
        <v/>
      </c>
      <c r="Q402" s="1191" t="str">
        <f t="shared" si="195"/>
        <v/>
      </c>
      <c r="R402" s="1191"/>
      <c r="S402" s="1191" t="str">
        <f t="shared" si="196"/>
        <v/>
      </c>
      <c r="T402" s="1191" t="str">
        <f t="shared" si="197"/>
        <v/>
      </c>
      <c r="U402" s="1191"/>
      <c r="V402" s="1191" t="str">
        <f t="shared" si="198"/>
        <v/>
      </c>
      <c r="W402" s="1191" t="str">
        <f t="shared" si="199"/>
        <v/>
      </c>
      <c r="X402" s="1182" t="b">
        <f t="shared" si="200"/>
        <v>1</v>
      </c>
      <c r="Y402" s="1175"/>
      <c r="Z402" s="1175"/>
      <c r="AA402" s="1175"/>
      <c r="AB402" s="1396"/>
      <c r="AS402" s="1396"/>
    </row>
    <row r="403" spans="1:61">
      <c r="A403" s="212" t="s">
        <v>493</v>
      </c>
      <c r="C403" s="1164"/>
      <c r="E403" s="14"/>
      <c r="F403" s="1198"/>
      <c r="G403" s="1198"/>
      <c r="H403" s="1198"/>
      <c r="I403" s="1198"/>
      <c r="J403" s="1162"/>
      <c r="K403" s="982" t="s">
        <v>1523</v>
      </c>
      <c r="L403" s="1162"/>
      <c r="M403" s="1162"/>
      <c r="N403" s="1198"/>
      <c r="O403" s="1198"/>
      <c r="P403" s="1199"/>
      <c r="Q403" s="1198"/>
      <c r="R403" s="1198"/>
      <c r="S403" s="1198"/>
      <c r="T403" s="1198"/>
      <c r="U403" s="1198"/>
      <c r="V403" s="1198"/>
      <c r="W403" s="1198"/>
      <c r="X403" s="1175"/>
      <c r="Y403" s="1175"/>
      <c r="Z403" s="1175"/>
      <c r="AA403" s="1175"/>
      <c r="AB403" s="1396"/>
      <c r="AS403" s="1396"/>
    </row>
    <row r="404" spans="1:61">
      <c r="A404" s="212" t="s">
        <v>493</v>
      </c>
      <c r="C404" s="1164">
        <f>F287</f>
        <v>0</v>
      </c>
      <c r="E404" s="14"/>
      <c r="F404" s="1191">
        <f>M385</f>
        <v>9.9532093528295782</v>
      </c>
      <c r="G404" s="1185">
        <f>SUMPRODUCT(G391:G402,$M44:$M55)/$M$58</f>
        <v>4.2922165274118269</v>
      </c>
      <c r="H404" s="1185">
        <f>SUMPRODUCT(H391:H402,$M44:$M55)/$M$58</f>
        <v>-3.9773319655195288E-2</v>
      </c>
      <c r="I404" s="1185"/>
      <c r="J404" s="1186">
        <f>(LN(6/10)/(G404-H404))</f>
        <v>-0.11791939542791073</v>
      </c>
      <c r="K404" s="1225">
        <f>IFERROR(LN(F404/10)/J404+H404,0)</f>
        <v>3.3306690738754696E-16</v>
      </c>
      <c r="L404" s="1188"/>
      <c r="M404" s="1188">
        <f>$J$272</f>
        <v>0</v>
      </c>
      <c r="N404" s="1191">
        <f>IFERROR(K404-M404,"")</f>
        <v>3.3306690738754696E-16</v>
      </c>
      <c r="O404" s="1191"/>
      <c r="P404" s="1190">
        <f>SUM(P391:P402)</f>
        <v>3.1918911957973251E-16</v>
      </c>
      <c r="Q404" s="1191">
        <f>SUM(Q391:Q402)</f>
        <v>1.03125</v>
      </c>
      <c r="R404" s="1191"/>
      <c r="S404" s="1191" t="str">
        <f>IFERROR($N404/$J385*$K363,"")</f>
        <v/>
      </c>
      <c r="T404" s="1191">
        <f>IF(OR($M$58="",$M$58=0),"",SUMPRODUCT($G$227:$M$227,$G249:$M249)/($M$58/$M$58*$J$275))</f>
        <v>0</v>
      </c>
      <c r="U404" s="1191"/>
      <c r="V404" s="1191">
        <f>IF(M363="","",M404+T404)</f>
        <v>0</v>
      </c>
      <c r="W404" s="1191">
        <f>IFERROR(10*EXP(J404*(V404-H404)),"")</f>
        <v>9.9532093528295782</v>
      </c>
      <c r="X404" s="1175"/>
      <c r="Y404" s="1175"/>
      <c r="Z404" s="1175"/>
      <c r="AA404" s="1175"/>
      <c r="AB404" s="1396"/>
      <c r="AS404" s="1396"/>
    </row>
    <row r="405" spans="1:61" s="995" customFormat="1">
      <c r="A405" s="212" t="s">
        <v>493</v>
      </c>
      <c r="B405" s="943"/>
      <c r="C405" s="1092"/>
      <c r="D405" s="943"/>
      <c r="E405" s="14"/>
      <c r="F405" s="147"/>
      <c r="G405" s="14"/>
      <c r="H405" s="14"/>
      <c r="I405" s="14"/>
      <c r="J405" s="14"/>
      <c r="K405" s="14"/>
      <c r="L405" s="14"/>
      <c r="M405" s="14"/>
      <c r="N405" s="14"/>
      <c r="O405" s="14"/>
      <c r="P405" s="14"/>
      <c r="Q405" s="14"/>
      <c r="R405" s="14"/>
      <c r="S405" s="14"/>
      <c r="T405" s="14"/>
      <c r="U405" s="14"/>
      <c r="V405" s="14"/>
      <c r="W405" s="14"/>
      <c r="X405" s="14"/>
      <c r="Y405" s="14"/>
      <c r="Z405" s="14"/>
      <c r="AA405" s="14"/>
      <c r="AB405" s="16"/>
      <c r="AD405" s="1428"/>
      <c r="AE405" s="1406"/>
      <c r="AF405" s="1406"/>
      <c r="AG405" s="1406"/>
      <c r="AH405" s="1406"/>
      <c r="AI405" s="1406"/>
      <c r="AJ405" s="1406"/>
      <c r="AK405" s="1406"/>
      <c r="AL405" s="1407"/>
      <c r="AM405" s="1407"/>
      <c r="AS405" s="16"/>
    </row>
    <row r="406" spans="1:61" s="995" customFormat="1">
      <c r="A406" s="212" t="s">
        <v>493</v>
      </c>
      <c r="B406" s="943"/>
      <c r="C406" s="1092"/>
      <c r="D406" s="943"/>
      <c r="E406" s="14"/>
      <c r="F406" s="147"/>
      <c r="G406" s="14"/>
      <c r="H406" s="14"/>
      <c r="I406" s="14"/>
      <c r="J406" s="14"/>
      <c r="K406" s="14"/>
      <c r="L406" s="14"/>
      <c r="M406" s="14"/>
      <c r="N406" s="14"/>
      <c r="O406" s="14"/>
      <c r="P406" s="14"/>
      <c r="Q406" s="14"/>
      <c r="R406" s="14"/>
      <c r="S406" s="14"/>
      <c r="T406" s="14"/>
      <c r="U406" s="14"/>
      <c r="V406" s="14"/>
      <c r="W406" s="14"/>
      <c r="X406" s="14"/>
      <c r="Y406" s="14"/>
      <c r="Z406" s="14"/>
      <c r="AA406" s="14"/>
      <c r="AB406" s="16"/>
      <c r="AD406" s="1428"/>
      <c r="AE406" s="1406"/>
      <c r="AF406" s="1406"/>
      <c r="AG406" s="1406"/>
      <c r="AH406" s="1406"/>
      <c r="AI406" s="1406"/>
      <c r="AJ406" s="1406"/>
      <c r="AK406" s="1406"/>
      <c r="AL406" s="1407"/>
      <c r="AM406" s="1407"/>
      <c r="AS406" s="16"/>
    </row>
    <row r="407" spans="1:61">
      <c r="A407" s="212" t="s">
        <v>493</v>
      </c>
    </row>
    <row r="408" spans="1:61">
      <c r="A408" s="212" t="s">
        <v>493</v>
      </c>
    </row>
    <row r="409" spans="1:61" s="896" customFormat="1" ht="25.5" customHeight="1">
      <c r="A409" s="212" t="s">
        <v>493</v>
      </c>
      <c r="B409" s="943"/>
      <c r="C409" s="943"/>
      <c r="D409" s="943"/>
      <c r="E409" s="897"/>
      <c r="F409" s="893" t="s">
        <v>1690</v>
      </c>
      <c r="G409" s="912" t="str">
        <f>_xlfn.CONCAT(P24," | ",P25," | ",P26," | ",P27)</f>
        <v>GPR 4.4 | nieuwbouw | woningbouw | NTA 8800</v>
      </c>
      <c r="H409" s="913"/>
      <c r="I409" s="894"/>
      <c r="J409" s="912"/>
      <c r="K409" s="914"/>
      <c r="L409" s="895"/>
      <c r="M409" s="893"/>
      <c r="N409" s="893"/>
      <c r="O409" s="895"/>
      <c r="P409" s="895"/>
      <c r="Q409" s="893"/>
      <c r="R409" s="893"/>
      <c r="S409" s="893"/>
      <c r="T409" s="893"/>
      <c r="U409" s="893"/>
      <c r="V409" s="893"/>
      <c r="W409" s="893"/>
      <c r="X409" s="893"/>
      <c r="Y409" s="893"/>
      <c r="Z409" s="893"/>
      <c r="AA409" s="893"/>
      <c r="AB409" s="897"/>
      <c r="AC409" s="1381"/>
      <c r="AD409" s="1433"/>
      <c r="AE409" s="1381"/>
      <c r="AF409" s="1381"/>
      <c r="AG409" s="1381"/>
      <c r="AH409" s="1381"/>
      <c r="AI409" s="1381"/>
      <c r="AJ409" s="1381"/>
      <c r="AK409" s="1381"/>
      <c r="AL409" s="1381"/>
      <c r="AM409" s="1381"/>
      <c r="AN409" s="1381"/>
      <c r="AO409" s="1381"/>
      <c r="AP409" s="1381"/>
      <c r="AQ409" s="1381"/>
      <c r="AR409" s="1381"/>
      <c r="AS409" s="897"/>
      <c r="AT409" s="1381"/>
      <c r="AU409" s="893"/>
      <c r="AV409" s="893"/>
      <c r="AW409" s="893"/>
      <c r="AX409" s="893"/>
      <c r="AY409" s="893"/>
      <c r="AZ409" s="893"/>
      <c r="BA409" s="893"/>
      <c r="BB409" s="893"/>
      <c r="BC409" s="893"/>
      <c r="BD409" s="893"/>
      <c r="BE409" s="893"/>
      <c r="BF409" s="893"/>
      <c r="BG409" s="893"/>
      <c r="BH409" s="893"/>
      <c r="BI409" s="893"/>
    </row>
    <row r="410" spans="1:61" collapsed="1">
      <c r="A410" s="212" t="s">
        <v>493</v>
      </c>
      <c r="B410" s="943"/>
      <c r="C410" s="943"/>
      <c r="D410" s="943"/>
      <c r="E410" s="14"/>
      <c r="F410" s="13"/>
      <c r="G410" s="13"/>
      <c r="H410" s="13"/>
      <c r="I410" s="12"/>
      <c r="J410" s="39"/>
      <c r="K410" s="40"/>
      <c r="L410" s="39"/>
      <c r="M410" s="39"/>
      <c r="N410" s="39"/>
      <c r="O410" s="39"/>
      <c r="P410" s="39"/>
      <c r="Q410" s="39"/>
      <c r="R410" s="39"/>
      <c r="S410" s="39"/>
      <c r="T410" s="39"/>
      <c r="U410" s="39"/>
      <c r="V410" s="39"/>
      <c r="W410" s="39"/>
      <c r="X410" s="39"/>
      <c r="Y410" s="39"/>
      <c r="Z410" s="39"/>
      <c r="AA410" s="39"/>
      <c r="AB410" s="67"/>
      <c r="AC410" s="995"/>
      <c r="AD410" s="1428"/>
      <c r="AE410" s="1406"/>
      <c r="AF410" s="1406"/>
      <c r="AG410" s="1406"/>
      <c r="AH410" s="1406"/>
      <c r="AI410" s="1406"/>
      <c r="AJ410" s="1406"/>
      <c r="AK410" s="1406"/>
      <c r="AL410" s="1407"/>
      <c r="AM410" s="1407"/>
      <c r="AN410" s="995"/>
      <c r="AO410" s="995"/>
      <c r="AP410" s="995"/>
      <c r="AQ410" s="995"/>
      <c r="AR410" s="995"/>
      <c r="AS410" s="67"/>
      <c r="AT410" s="995"/>
      <c r="AU410" s="12"/>
      <c r="AV410" s="12"/>
      <c r="AW410" s="12"/>
      <c r="AX410" s="12"/>
      <c r="AY410" s="12"/>
      <c r="AZ410" s="12"/>
      <c r="BA410" s="12"/>
      <c r="BB410" s="12"/>
      <c r="BC410" s="12"/>
      <c r="BD410" s="40"/>
      <c r="BE410" s="40"/>
      <c r="BF410" s="13"/>
      <c r="BG410" s="13"/>
      <c r="BH410" s="13"/>
      <c r="BI410" s="14"/>
    </row>
    <row r="411" spans="1:61" collapsed="1">
      <c r="A411" s="212" t="s">
        <v>493</v>
      </c>
      <c r="B411" s="943"/>
      <c r="C411" s="943"/>
      <c r="D411" s="943"/>
      <c r="E411" s="14"/>
      <c r="F411" s="41" t="s">
        <v>1692</v>
      </c>
      <c r="G411" s="13"/>
      <c r="H411" s="13"/>
      <c r="I411" s="12"/>
      <c r="J411" s="39"/>
      <c r="K411" s="40"/>
      <c r="L411" s="39"/>
      <c r="M411" s="39"/>
      <c r="N411" s="39"/>
      <c r="O411" s="39"/>
      <c r="P411" s="39"/>
      <c r="Q411" s="39"/>
      <c r="R411" s="39"/>
      <c r="S411" s="39"/>
      <c r="T411" s="39"/>
      <c r="U411" s="39"/>
      <c r="V411" s="39"/>
      <c r="W411" s="39"/>
      <c r="X411" s="39"/>
      <c r="Y411" s="39"/>
      <c r="Z411" s="39"/>
      <c r="AA411" s="39"/>
      <c r="AB411" s="67"/>
      <c r="AC411" s="995"/>
      <c r="AD411" s="1428"/>
      <c r="AE411" s="1406"/>
      <c r="AF411" s="1406"/>
      <c r="AG411" s="1406"/>
      <c r="AH411" s="1406"/>
      <c r="AI411" s="1406"/>
      <c r="AJ411" s="1406"/>
      <c r="AK411" s="1406"/>
      <c r="AL411" s="1407"/>
      <c r="AM411" s="1407"/>
      <c r="AN411" s="995"/>
      <c r="AO411" s="995"/>
      <c r="AP411" s="995"/>
      <c r="AQ411" s="995"/>
      <c r="AR411" s="995"/>
      <c r="AS411" s="67"/>
      <c r="AT411" s="995"/>
      <c r="AU411" s="12"/>
      <c r="AV411" s="12"/>
      <c r="AW411" s="12"/>
      <c r="AX411" s="12"/>
      <c r="AY411" s="12"/>
      <c r="AZ411" s="12"/>
      <c r="BA411" s="12"/>
      <c r="BB411" s="12"/>
      <c r="BC411" s="12"/>
      <c r="BD411" s="40"/>
      <c r="BE411" s="40"/>
      <c r="BF411" s="13"/>
      <c r="BG411" s="13"/>
      <c r="BH411" s="13"/>
      <c r="BI411" s="14"/>
    </row>
    <row r="412" spans="1:61" collapsed="1">
      <c r="A412" s="212" t="s">
        <v>493</v>
      </c>
      <c r="B412" s="943"/>
      <c r="C412" s="943"/>
      <c r="D412" s="943"/>
      <c r="E412" s="14"/>
      <c r="F412" s="892" t="s">
        <v>458</v>
      </c>
      <c r="G412" s="892" t="s">
        <v>553</v>
      </c>
      <c r="H412" s="892"/>
      <c r="I412" s="892"/>
      <c r="J412" s="892" t="s">
        <v>1691</v>
      </c>
      <c r="K412" s="892"/>
      <c r="L412" s="892"/>
      <c r="M412" s="892" t="s">
        <v>375</v>
      </c>
      <c r="N412" s="892"/>
      <c r="O412" s="892"/>
      <c r="P412" s="892" t="s">
        <v>1693</v>
      </c>
      <c r="Q412" s="892"/>
      <c r="R412" s="892"/>
      <c r="S412" s="1373" t="s">
        <v>1694</v>
      </c>
      <c r="T412" s="1373" t="s">
        <v>1705</v>
      </c>
      <c r="U412" s="39"/>
      <c r="V412" s="39" t="s">
        <v>1533</v>
      </c>
      <c r="W412" s="39"/>
      <c r="X412" s="39"/>
      <c r="Y412" s="39"/>
      <c r="Z412" s="39"/>
      <c r="AA412" s="39"/>
      <c r="AB412" s="67"/>
      <c r="AC412" s="995"/>
      <c r="AD412" s="1428"/>
      <c r="AE412" s="1406"/>
      <c r="AF412" s="1406"/>
      <c r="AG412" s="1406"/>
      <c r="AH412" s="1406"/>
      <c r="AI412" s="1406"/>
      <c r="AJ412" s="1406"/>
      <c r="AK412" s="1406"/>
      <c r="AL412" s="1407"/>
      <c r="AM412" s="1407"/>
      <c r="AN412" s="995"/>
      <c r="AO412" s="995"/>
      <c r="AP412" s="995"/>
      <c r="AQ412" s="995"/>
      <c r="AR412" s="995"/>
      <c r="AS412" s="67"/>
      <c r="AT412" s="995"/>
      <c r="AU412" s="12"/>
      <c r="AV412" s="12"/>
      <c r="AW412" s="12"/>
      <c r="AX412" s="12"/>
      <c r="AY412" s="12"/>
      <c r="AZ412" s="12"/>
      <c r="BA412" s="12"/>
      <c r="BB412" s="12"/>
      <c r="BC412" s="12"/>
      <c r="BD412" s="40"/>
      <c r="BE412" s="40"/>
      <c r="BF412" s="13"/>
      <c r="BG412" s="13"/>
      <c r="BH412" s="13"/>
      <c r="BI412" s="14"/>
    </row>
    <row r="413" spans="1:61" collapsed="1">
      <c r="A413" s="212" t="s">
        <v>493</v>
      </c>
      <c r="B413" s="943"/>
      <c r="C413" s="943"/>
      <c r="D413" s="943"/>
      <c r="E413" s="14"/>
      <c r="F413" s="46" t="str">
        <f>J195</f>
        <v>aardgas</v>
      </c>
      <c r="G413" s="186">
        <f>INDEX(tabellen_EMD!$C$301:$R$306,MATCH($F413,tabellen_EMD!$C$301:$C$306,0),MATCH($P$24,tabellen_EMD!$C$301:$R$301,0))</f>
        <v>0.12266000000000001</v>
      </c>
      <c r="H413" s="1366" t="str">
        <f>INDEX(tabellen_EMD!$C$301:$R$306,MATCH($F413,tabellen_EMD!$C$301:$C$306,0),MATCH($P$24&amp;" | eenheid",tabellen_EMD!$C$301:$R$301,0))</f>
        <v>euro/m3</v>
      </c>
      <c r="I413" s="12"/>
      <c r="J413" s="1161">
        <f>W195</f>
        <v>0</v>
      </c>
      <c r="K413" s="1366" t="str">
        <f>X195</f>
        <v>m3</v>
      </c>
      <c r="L413" s="39"/>
      <c r="M413" s="1161">
        <f>M195</f>
        <v>0</v>
      </c>
      <c r="N413" s="1366" t="str">
        <f>N195</f>
        <v>kWh</v>
      </c>
      <c r="O413" s="39"/>
      <c r="P413" s="1369">
        <f>J413*G413/$J$275</f>
        <v>0</v>
      </c>
      <c r="Q413" s="1366" t="s">
        <v>440</v>
      </c>
      <c r="R413" s="39"/>
      <c r="S413" s="1367">
        <f>IFERROR(M413/$M$418,0%)</f>
        <v>0</v>
      </c>
      <c r="T413" s="1367">
        <f>IFERROR(P413/$P$418,0%)</f>
        <v>0</v>
      </c>
      <c r="U413" s="39"/>
      <c r="V413" s="1379">
        <v>30000</v>
      </c>
      <c r="W413" s="1366" t="str">
        <f>K413</f>
        <v>m3</v>
      </c>
      <c r="X413" s="39"/>
      <c r="Y413" s="39"/>
      <c r="Z413" s="39"/>
      <c r="AA413" s="39"/>
      <c r="AB413" s="67"/>
      <c r="AC413" s="995"/>
      <c r="AD413" s="1428"/>
      <c r="AE413" s="1406"/>
      <c r="AF413" s="1406"/>
      <c r="AG413" s="1406"/>
      <c r="AH413" s="1406"/>
      <c r="AI413" s="1406"/>
      <c r="AJ413" s="1406"/>
      <c r="AK413" s="1406"/>
      <c r="AL413" s="1407"/>
      <c r="AM413" s="1407"/>
      <c r="AN413" s="995"/>
      <c r="AO413" s="995"/>
      <c r="AP413" s="995"/>
      <c r="AQ413" s="995"/>
      <c r="AR413" s="995"/>
      <c r="AS413" s="67"/>
      <c r="AT413" s="995"/>
      <c r="AU413" s="12"/>
      <c r="AV413" s="12"/>
      <c r="AW413" s="12"/>
      <c r="AX413" s="12"/>
      <c r="AY413" s="12"/>
      <c r="AZ413" s="12"/>
      <c r="BA413" s="12"/>
      <c r="BB413" s="12"/>
      <c r="BC413" s="12"/>
      <c r="BD413" s="40"/>
      <c r="BE413" s="40"/>
      <c r="BF413" s="13"/>
      <c r="BG413" s="13"/>
      <c r="BH413" s="13"/>
      <c r="BI413" s="14"/>
    </row>
    <row r="414" spans="1:61" collapsed="1">
      <c r="A414" s="212" t="s">
        <v>493</v>
      </c>
      <c r="B414" s="943"/>
      <c r="C414" s="943"/>
      <c r="D414" s="943"/>
      <c r="E414" s="14"/>
      <c r="F414" s="46" t="str">
        <f>J196</f>
        <v>elektriciteit</v>
      </c>
      <c r="G414" s="186">
        <f>INDEX(tabellen_EMD!$C$301:$R$306,MATCH($F414,tabellen_EMD!$C$301:$C$306,0),MATCH($P$24,tabellen_EMD!$C$301:$R$301,0))</f>
        <v>3.6199000000000002E-2</v>
      </c>
      <c r="H414" s="1366" t="str">
        <f>INDEX(tabellen_EMD!$C$301:$R$306,MATCH($F414,tabellen_EMD!$C$301:$C$306,0),MATCH($P$24&amp;" | eenheid",tabellen_EMD!$C$301:$R$301,0))</f>
        <v>euro/kWh</v>
      </c>
      <c r="I414" s="12"/>
      <c r="J414" s="1161">
        <f t="shared" ref="J414:K414" si="201">W196</f>
        <v>0</v>
      </c>
      <c r="K414" s="1366" t="str">
        <f t="shared" si="201"/>
        <v>kWh</v>
      </c>
      <c r="L414" s="39"/>
      <c r="M414" s="1161">
        <f t="shared" ref="M414:N414" si="202">M196</f>
        <v>0</v>
      </c>
      <c r="N414" s="1366" t="str">
        <f t="shared" si="202"/>
        <v>kWh</v>
      </c>
      <c r="O414" s="39"/>
      <c r="P414" s="1369">
        <f>J414*G414/$J$275</f>
        <v>0</v>
      </c>
      <c r="Q414" s="1366" t="s">
        <v>440</v>
      </c>
      <c r="R414" s="39"/>
      <c r="S414" s="1367">
        <f t="shared" ref="S414:S417" si="203">IFERROR(M414/$M$418,0%)</f>
        <v>0</v>
      </c>
      <c r="T414" s="1367">
        <f t="shared" ref="T414:T417" si="204">IFERROR(P414/$P$418,0%)</f>
        <v>0</v>
      </c>
      <c r="U414" s="39"/>
      <c r="V414" s="1379">
        <v>20000</v>
      </c>
      <c r="W414" s="1366" t="str">
        <f t="shared" ref="W414:W417" si="205">K414</f>
        <v>kWh</v>
      </c>
      <c r="X414" s="39"/>
      <c r="Y414" s="39"/>
      <c r="Z414" s="39"/>
      <c r="AA414" s="39"/>
      <c r="AB414" s="67"/>
      <c r="AC414" s="995"/>
      <c r="AD414" s="1428"/>
      <c r="AE414" s="1406"/>
      <c r="AF414" s="1406"/>
      <c r="AG414" s="1406"/>
      <c r="AH414" s="1406"/>
      <c r="AI414" s="1406"/>
      <c r="AJ414" s="1406"/>
      <c r="AK414" s="1406"/>
      <c r="AL414" s="1407"/>
      <c r="AM414" s="1407"/>
      <c r="AN414" s="995"/>
      <c r="AO414" s="995"/>
      <c r="AP414" s="995"/>
      <c r="AQ414" s="995"/>
      <c r="AR414" s="995"/>
      <c r="AS414" s="67"/>
      <c r="AT414" s="995"/>
      <c r="AU414" s="12"/>
      <c r="AV414" s="12"/>
      <c r="AW414" s="12"/>
      <c r="AX414" s="12"/>
      <c r="AY414" s="12"/>
      <c r="AZ414" s="12"/>
      <c r="BA414" s="12"/>
      <c r="BB414" s="12"/>
      <c r="BC414" s="12"/>
      <c r="BD414" s="40"/>
      <c r="BE414" s="40"/>
      <c r="BF414" s="13"/>
      <c r="BG414" s="13"/>
      <c r="BH414" s="13"/>
      <c r="BI414" s="14"/>
    </row>
    <row r="415" spans="1:61" collapsed="1">
      <c r="A415" s="212" t="s">
        <v>493</v>
      </c>
      <c r="B415" s="943"/>
      <c r="C415" s="943"/>
      <c r="D415" s="943"/>
      <c r="E415" s="14"/>
      <c r="F415" s="46" t="str">
        <f>J197</f>
        <v>elektriciteit opgewekt</v>
      </c>
      <c r="G415" s="186">
        <f>INDEX(tabellen_EMD!$C$301:$R$306,MATCH($F415,tabellen_EMD!$C$301:$C$306,0),MATCH($P$24,tabellen_EMD!$C$301:$R$301,0))</f>
        <v>-3.6199000000000002E-2</v>
      </c>
      <c r="H415" s="1366" t="str">
        <f>INDEX(tabellen_EMD!$C$301:$R$306,MATCH($F415,tabellen_EMD!$C$301:$C$306,0),MATCH($P$24&amp;" | eenheid",tabellen_EMD!$C$301:$R$301,0))</f>
        <v>euro/kWh</v>
      </c>
      <c r="I415" s="12"/>
      <c r="J415" s="1161">
        <f t="shared" ref="J415:K415" si="206">W197</f>
        <v>0</v>
      </c>
      <c r="K415" s="1366" t="str">
        <f t="shared" si="206"/>
        <v>kWh</v>
      </c>
      <c r="L415" s="39"/>
      <c r="M415" s="1161">
        <f t="shared" ref="M415:N415" si="207">M197</f>
        <v>0</v>
      </c>
      <c r="N415" s="1366" t="str">
        <f t="shared" si="207"/>
        <v>kWh</v>
      </c>
      <c r="O415" s="39"/>
      <c r="P415" s="1369">
        <f>J415*G415/$J$275</f>
        <v>0</v>
      </c>
      <c r="Q415" s="1366" t="s">
        <v>440</v>
      </c>
      <c r="R415" s="39"/>
      <c r="S415" s="1367">
        <f t="shared" si="203"/>
        <v>0</v>
      </c>
      <c r="T415" s="1367">
        <f t="shared" si="204"/>
        <v>0</v>
      </c>
      <c r="U415" s="39"/>
      <c r="V415" s="1379"/>
      <c r="W415" s="1366" t="str">
        <f t="shared" si="205"/>
        <v>kWh</v>
      </c>
      <c r="X415" s="39"/>
      <c r="Y415" s="39"/>
      <c r="Z415" s="39"/>
      <c r="AA415" s="39"/>
      <c r="AB415" s="67"/>
      <c r="AC415" s="995"/>
      <c r="AD415" s="1428"/>
      <c r="AE415" s="1406"/>
      <c r="AF415" s="1406"/>
      <c r="AG415" s="1406"/>
      <c r="AH415" s="1406"/>
      <c r="AI415" s="1406"/>
      <c r="AJ415" s="1406"/>
      <c r="AK415" s="1406"/>
      <c r="AL415" s="1407"/>
      <c r="AM415" s="1407"/>
      <c r="AN415" s="995"/>
      <c r="AO415" s="995"/>
      <c r="AP415" s="995"/>
      <c r="AQ415" s="995"/>
      <c r="AR415" s="995"/>
      <c r="AS415" s="67"/>
      <c r="AT415" s="995"/>
      <c r="AU415" s="12"/>
      <c r="AV415" s="12"/>
      <c r="AW415" s="12"/>
      <c r="AX415" s="12"/>
      <c r="AY415" s="12"/>
      <c r="AZ415" s="12"/>
      <c r="BA415" s="12"/>
      <c r="BB415" s="12"/>
      <c r="BC415" s="12"/>
      <c r="BD415" s="40"/>
      <c r="BE415" s="40"/>
      <c r="BF415" s="13"/>
      <c r="BG415" s="13"/>
      <c r="BH415" s="13"/>
      <c r="BI415" s="14"/>
    </row>
    <row r="416" spans="1:61" collapsed="1">
      <c r="A416" s="212" t="s">
        <v>493</v>
      </c>
      <c r="B416" s="943"/>
      <c r="C416" s="943"/>
      <c r="D416" s="943"/>
      <c r="E416" s="14"/>
      <c r="F416" s="46" t="str">
        <f>J198</f>
        <v>externe warmte</v>
      </c>
      <c r="G416" s="186">
        <f>INDEX(tabellen_EMD!$C$301:$R$306,MATCH($F416,tabellen_EMD!$C$301:$C$306,0),MATCH($P$24,tabellen_EMD!$C$301:$R$301,0))</f>
        <v>5.2314472561842482</v>
      </c>
      <c r="H416" s="1366" t="str">
        <f>INDEX(tabellen_EMD!$C$301:$R$306,MATCH($F416,tabellen_EMD!$C$301:$C$306,0),MATCH($P$24&amp;" | eenheid",tabellen_EMD!$C$301:$R$301,0))</f>
        <v>euro/GJ</v>
      </c>
      <c r="I416" s="12"/>
      <c r="J416" s="1161">
        <f t="shared" ref="J416:K416" si="208">W198</f>
        <v>0</v>
      </c>
      <c r="K416" s="1366" t="str">
        <f t="shared" si="208"/>
        <v>GJ</v>
      </c>
      <c r="L416" s="39"/>
      <c r="M416" s="1161">
        <f t="shared" ref="M416:N416" si="209">M198</f>
        <v>0</v>
      </c>
      <c r="N416" s="1366" t="str">
        <f t="shared" si="209"/>
        <v>kWh</v>
      </c>
      <c r="O416" s="39"/>
      <c r="P416" s="1369">
        <f>J416*G416/$J$275</f>
        <v>0</v>
      </c>
      <c r="Q416" s="1366" t="s">
        <v>440</v>
      </c>
      <c r="R416" s="39"/>
      <c r="S416" s="1367">
        <f t="shared" si="203"/>
        <v>0</v>
      </c>
      <c r="T416" s="1367">
        <f t="shared" si="204"/>
        <v>0</v>
      </c>
      <c r="U416" s="39"/>
      <c r="V416" s="1379">
        <f>30000*35/1000/1.775</f>
        <v>591.54929577464793</v>
      </c>
      <c r="W416" s="1366" t="str">
        <f t="shared" si="205"/>
        <v>GJ</v>
      </c>
      <c r="X416" s="39"/>
      <c r="Y416" s="39"/>
      <c r="Z416" s="39"/>
      <c r="AA416" s="39"/>
      <c r="AB416" s="67"/>
      <c r="AC416" s="995"/>
      <c r="AD416" s="1428"/>
      <c r="AE416" s="1406"/>
      <c r="AF416" s="1406"/>
      <c r="AG416" s="1406"/>
      <c r="AH416" s="1406"/>
      <c r="AI416" s="1406"/>
      <c r="AJ416" s="1406"/>
      <c r="AK416" s="1406"/>
      <c r="AL416" s="1407"/>
      <c r="AM416" s="1407"/>
      <c r="AN416" s="995"/>
      <c r="AO416" s="995"/>
      <c r="AP416" s="995"/>
      <c r="AQ416" s="995"/>
      <c r="AR416" s="995"/>
      <c r="AS416" s="67"/>
      <c r="AT416" s="995"/>
      <c r="AU416" s="12"/>
      <c r="AV416" s="12"/>
      <c r="AW416" s="12"/>
      <c r="AX416" s="12"/>
      <c r="AY416" s="12"/>
      <c r="AZ416" s="12"/>
      <c r="BA416" s="12"/>
      <c r="BB416" s="12"/>
      <c r="BC416" s="12"/>
      <c r="BD416" s="40"/>
      <c r="BE416" s="40"/>
      <c r="BF416" s="13"/>
      <c r="BG416" s="13"/>
      <c r="BH416" s="13"/>
      <c r="BI416" s="14"/>
    </row>
    <row r="417" spans="1:61" collapsed="1">
      <c r="A417" s="212" t="s">
        <v>493</v>
      </c>
      <c r="B417" s="943"/>
      <c r="C417" s="943"/>
      <c r="D417" s="943"/>
      <c r="E417" s="14"/>
      <c r="F417" s="46" t="str">
        <f>J199</f>
        <v>hout / biomassa</v>
      </c>
      <c r="G417" s="186">
        <f>INDEX(tabellen_EMD!$C$301:$R$306,MATCH($F417,tabellen_EMD!$C$301:$C$306,0),MATCH($P$24,tabellen_EMD!$C$301:$R$301,0))</f>
        <v>7.2647999999999992E-3</v>
      </c>
      <c r="H417" s="1366" t="str">
        <f>INDEX(tabellen_EMD!$C$301:$R$306,MATCH($F417,tabellen_EMD!$C$301:$C$306,0),MATCH($P$24&amp;" | eenheid",tabellen_EMD!$C$301:$R$301,0))</f>
        <v>euro/kg</v>
      </c>
      <c r="I417" s="12"/>
      <c r="J417" s="1161">
        <f t="shared" ref="J417:K417" si="210">W199</f>
        <v>0</v>
      </c>
      <c r="K417" s="1366" t="str">
        <f t="shared" si="210"/>
        <v>kWh</v>
      </c>
      <c r="L417" s="39"/>
      <c r="M417" s="1161">
        <f t="shared" ref="M417:N419" si="211">M199</f>
        <v>0</v>
      </c>
      <c r="N417" s="1366" t="str">
        <f t="shared" si="211"/>
        <v>kWh</v>
      </c>
      <c r="O417" s="39"/>
      <c r="P417" s="1369">
        <f>J417*G417/$J$275</f>
        <v>0</v>
      </c>
      <c r="Q417" s="1366" t="s">
        <v>440</v>
      </c>
      <c r="R417" s="39"/>
      <c r="S417" s="1367">
        <f t="shared" si="203"/>
        <v>0</v>
      </c>
      <c r="T417" s="1367">
        <f t="shared" si="204"/>
        <v>0</v>
      </c>
      <c r="U417" s="39"/>
      <c r="V417" s="1379"/>
      <c r="W417" s="1366" t="str">
        <f t="shared" si="205"/>
        <v>kWh</v>
      </c>
      <c r="X417" s="39"/>
      <c r="Y417" s="39"/>
      <c r="Z417" s="39"/>
      <c r="AA417" s="39"/>
      <c r="AB417" s="67"/>
      <c r="AC417" s="995"/>
      <c r="AD417" s="1428"/>
      <c r="AE417" s="1406"/>
      <c r="AF417" s="1406"/>
      <c r="AG417" s="1406"/>
      <c r="AH417" s="1406"/>
      <c r="AI417" s="1406"/>
      <c r="AJ417" s="1406"/>
      <c r="AK417" s="1406"/>
      <c r="AL417" s="1407"/>
      <c r="AM417" s="1407"/>
      <c r="AN417" s="995"/>
      <c r="AO417" s="995"/>
      <c r="AP417" s="995"/>
      <c r="AQ417" s="995"/>
      <c r="AR417" s="995"/>
      <c r="AS417" s="67"/>
      <c r="AT417" s="995"/>
      <c r="AU417" s="12"/>
      <c r="AV417" s="12"/>
      <c r="AW417" s="12"/>
      <c r="AX417" s="12"/>
      <c r="AY417" s="12"/>
      <c r="AZ417" s="12"/>
      <c r="BA417" s="12"/>
      <c r="BB417" s="12"/>
      <c r="BC417" s="12"/>
      <c r="BD417" s="40"/>
      <c r="BE417" s="40"/>
      <c r="BF417" s="13"/>
      <c r="BG417" s="13"/>
      <c r="BH417" s="13"/>
      <c r="BI417" s="14"/>
    </row>
    <row r="418" spans="1:61" collapsed="1">
      <c r="A418" s="212" t="s">
        <v>493</v>
      </c>
      <c r="B418" s="943"/>
      <c r="C418" s="943"/>
      <c r="D418" s="943"/>
      <c r="E418" s="14"/>
      <c r="F418" s="13"/>
      <c r="G418" s="13"/>
      <c r="H418" s="13"/>
      <c r="I418" s="12"/>
      <c r="J418" s="39"/>
      <c r="K418" s="40"/>
      <c r="L418" s="39"/>
      <c r="M418" s="1371">
        <f t="shared" si="211"/>
        <v>0</v>
      </c>
      <c r="N418" s="39" t="str">
        <f t="shared" si="211"/>
        <v>kWh</v>
      </c>
      <c r="O418" s="39"/>
      <c r="P418" s="1370">
        <f>SUM(P413:P417)</f>
        <v>0</v>
      </c>
      <c r="Q418" s="39" t="s">
        <v>440</v>
      </c>
      <c r="R418" s="39"/>
      <c r="S418" s="1372">
        <f>SUM(S413:S417)</f>
        <v>0</v>
      </c>
      <c r="T418" s="1372">
        <f>SUM(T413:T417)</f>
        <v>0</v>
      </c>
      <c r="U418" s="39"/>
      <c r="V418" s="39"/>
      <c r="W418" s="39"/>
      <c r="X418" s="39"/>
      <c r="Y418" s="39"/>
      <c r="Z418" s="39"/>
      <c r="AA418" s="39"/>
      <c r="AB418" s="67"/>
      <c r="AC418" s="995"/>
      <c r="AD418" s="1428"/>
      <c r="AE418" s="1406"/>
      <c r="AF418" s="1406"/>
      <c r="AG418" s="1406"/>
      <c r="AH418" s="1406"/>
      <c r="AI418" s="1406"/>
      <c r="AJ418" s="1406"/>
      <c r="AK418" s="1406"/>
      <c r="AL418" s="1407"/>
      <c r="AM418" s="1407"/>
      <c r="AN418" s="995"/>
      <c r="AO418" s="995"/>
      <c r="AP418" s="995"/>
      <c r="AQ418" s="995"/>
      <c r="AR418" s="995"/>
      <c r="AS418" s="67"/>
      <c r="AT418" s="995"/>
      <c r="AU418" s="12"/>
      <c r="AV418" s="12"/>
      <c r="AW418" s="12"/>
      <c r="AX418" s="12"/>
      <c r="AY418" s="12"/>
      <c r="AZ418" s="12"/>
      <c r="BA418" s="12"/>
      <c r="BB418" s="12"/>
      <c r="BC418" s="12"/>
      <c r="BD418" s="40"/>
      <c r="BE418" s="40"/>
      <c r="BF418" s="13"/>
      <c r="BG418" s="13"/>
      <c r="BH418" s="13"/>
      <c r="BI418" s="14"/>
    </row>
    <row r="419" spans="1:61">
      <c r="A419" s="212" t="s">
        <v>493</v>
      </c>
      <c r="B419" s="943"/>
      <c r="C419" s="943"/>
      <c r="D419" s="943"/>
      <c r="E419" s="14"/>
      <c r="F419" s="13"/>
      <c r="G419" s="13"/>
      <c r="H419" s="13"/>
      <c r="I419" s="12"/>
      <c r="J419" s="39"/>
      <c r="K419" s="40"/>
      <c r="L419" s="39"/>
      <c r="M419" s="980">
        <f t="shared" si="211"/>
        <v>0</v>
      </c>
      <c r="N419" s="909" t="str">
        <f t="shared" si="211"/>
        <v>kWh/m2</v>
      </c>
      <c r="O419" s="39"/>
      <c r="P419" s="1368"/>
      <c r="Q419" s="39"/>
      <c r="R419" s="39"/>
      <c r="S419" s="1372"/>
      <c r="T419" s="1372"/>
      <c r="U419" s="39"/>
      <c r="V419" s="39"/>
      <c r="W419" s="39"/>
      <c r="X419" s="39"/>
      <c r="Y419" s="39"/>
      <c r="Z419" s="39"/>
      <c r="AA419" s="39"/>
      <c r="AB419" s="67"/>
      <c r="AC419" s="995"/>
      <c r="AD419" s="1428"/>
      <c r="AE419" s="1406"/>
      <c r="AF419" s="1406"/>
      <c r="AG419" s="1406"/>
      <c r="AH419" s="1406"/>
      <c r="AI419" s="1406"/>
      <c r="AJ419" s="1406"/>
      <c r="AK419" s="1406"/>
      <c r="AL419" s="1407"/>
      <c r="AM419" s="1407"/>
      <c r="AN419" s="995"/>
      <c r="AO419" s="995"/>
      <c r="AP419" s="995"/>
      <c r="AQ419" s="995"/>
      <c r="AR419" s="995"/>
      <c r="AS419" s="67"/>
      <c r="AT419" s="995"/>
      <c r="AU419" s="12"/>
      <c r="AV419" s="12"/>
      <c r="AW419" s="12"/>
      <c r="AX419" s="12"/>
      <c r="AY419" s="12"/>
      <c r="AZ419" s="12"/>
      <c r="BA419" s="12"/>
      <c r="BB419" s="12"/>
      <c r="BC419" s="12"/>
      <c r="BD419" s="40"/>
      <c r="BE419" s="40"/>
      <c r="BF419" s="13"/>
      <c r="BG419" s="13"/>
      <c r="BH419" s="13"/>
      <c r="BI419" s="14"/>
    </row>
    <row r="420" spans="1:61" collapsed="1">
      <c r="A420" s="212" t="s">
        <v>493</v>
      </c>
      <c r="B420" s="943"/>
      <c r="C420" s="943"/>
      <c r="D420" s="943"/>
      <c r="E420" s="14"/>
      <c r="F420" s="41" t="s">
        <v>1692</v>
      </c>
      <c r="G420" s="13"/>
      <c r="H420" s="13"/>
      <c r="I420" s="12"/>
      <c r="J420" s="39"/>
      <c r="K420" s="40"/>
      <c r="L420" s="39"/>
      <c r="M420" s="980"/>
      <c r="N420" s="909"/>
      <c r="O420" s="39"/>
      <c r="P420" s="39"/>
      <c r="Q420" s="39"/>
      <c r="R420" s="39"/>
      <c r="S420" s="39"/>
      <c r="T420" s="39"/>
      <c r="U420" s="39"/>
      <c r="V420" s="39"/>
      <c r="W420" s="39"/>
      <c r="X420" s="39"/>
      <c r="Y420" s="39"/>
      <c r="Z420" s="39"/>
      <c r="AA420" s="39"/>
      <c r="AB420" s="67"/>
      <c r="AC420" s="995"/>
      <c r="AD420" s="1428"/>
      <c r="AE420" s="1406"/>
      <c r="AF420" s="1406"/>
      <c r="AG420" s="1406"/>
      <c r="AH420" s="1406"/>
      <c r="AI420" s="1406"/>
      <c r="AJ420" s="1406"/>
      <c r="AK420" s="1406"/>
      <c r="AL420" s="1407"/>
      <c r="AM420" s="1407"/>
      <c r="AN420" s="995"/>
      <c r="AO420" s="995"/>
      <c r="AP420" s="995"/>
      <c r="AQ420" s="995"/>
      <c r="AR420" s="995"/>
      <c r="AS420" s="67"/>
      <c r="AT420" s="995"/>
      <c r="AU420" s="12"/>
      <c r="AV420" s="12"/>
      <c r="AW420" s="12"/>
      <c r="AX420" s="12"/>
      <c r="AY420" s="12"/>
      <c r="AZ420" s="12"/>
      <c r="BA420" s="12"/>
      <c r="BB420" s="12"/>
      <c r="BC420" s="12"/>
      <c r="BD420" s="40"/>
      <c r="BE420" s="40"/>
      <c r="BF420" s="13"/>
      <c r="BG420" s="13"/>
      <c r="BH420" s="13"/>
      <c r="BI420" s="14"/>
    </row>
    <row r="421" spans="1:61" collapsed="1">
      <c r="A421" s="212" t="s">
        <v>493</v>
      </c>
      <c r="B421" s="943"/>
      <c r="C421" s="943"/>
      <c r="D421" s="943"/>
      <c r="E421" s="14"/>
      <c r="F421" s="892" t="s">
        <v>434</v>
      </c>
      <c r="G421" s="892"/>
      <c r="H421" s="892"/>
      <c r="I421" s="892"/>
      <c r="J421" s="892"/>
      <c r="K421" s="892"/>
      <c r="L421" s="892"/>
      <c r="M421" s="892" t="s">
        <v>1698</v>
      </c>
      <c r="N421" s="892"/>
      <c r="O421" s="892"/>
      <c r="P421" s="892" t="s">
        <v>1693</v>
      </c>
      <c r="Q421" s="892"/>
      <c r="R421" s="892"/>
      <c r="S421" s="892" t="s">
        <v>1697</v>
      </c>
      <c r="T421" s="892"/>
      <c r="U421" s="39"/>
      <c r="V421" s="39"/>
      <c r="W421" s="39"/>
      <c r="X421" s="39"/>
      <c r="Y421" s="39"/>
      <c r="Z421" s="39"/>
      <c r="AA421" s="39"/>
      <c r="AB421" s="67"/>
      <c r="AC421" s="995"/>
      <c r="AD421" s="1428"/>
      <c r="AE421" s="1406"/>
      <c r="AF421" s="1406"/>
      <c r="AG421" s="1406"/>
      <c r="AH421" s="1406"/>
      <c r="AI421" s="1406"/>
      <c r="AJ421" s="1406"/>
      <c r="AK421" s="1406"/>
      <c r="AL421" s="1407"/>
      <c r="AM421" s="1407"/>
      <c r="AN421" s="995"/>
      <c r="AO421" s="995"/>
      <c r="AP421" s="995"/>
      <c r="AQ421" s="995"/>
      <c r="AR421" s="995"/>
      <c r="AS421" s="67"/>
      <c r="AT421" s="995"/>
      <c r="AU421" s="12"/>
      <c r="AV421" s="12"/>
      <c r="AW421" s="12"/>
      <c r="AX421" s="12"/>
      <c r="AY421" s="12"/>
      <c r="AZ421" s="12"/>
      <c r="BA421" s="12"/>
      <c r="BB421" s="12"/>
      <c r="BC421" s="12"/>
      <c r="BD421" s="40"/>
      <c r="BE421" s="40"/>
      <c r="BF421" s="13"/>
      <c r="BG421" s="13"/>
      <c r="BH421" s="13"/>
      <c r="BI421" s="14"/>
    </row>
    <row r="422" spans="1:61" collapsed="1">
      <c r="A422" s="212" t="s">
        <v>493</v>
      </c>
      <c r="B422" s="943"/>
      <c r="C422" s="943"/>
      <c r="D422" s="943"/>
      <c r="E422" s="14"/>
      <c r="F422" s="46" t="s">
        <v>1696</v>
      </c>
      <c r="G422" s="186"/>
      <c r="H422" s="1366"/>
      <c r="I422" s="12"/>
      <c r="J422" s="186"/>
      <c r="K422" s="218" t="s">
        <v>1699</v>
      </c>
      <c r="L422" s="39"/>
      <c r="M422" s="1369">
        <f>AG35</f>
        <v>8.5588799964651958</v>
      </c>
      <c r="N422" s="1366"/>
      <c r="O422" s="39"/>
      <c r="P422" s="1369">
        <f>P418</f>
        <v>0</v>
      </c>
      <c r="Q422" s="1366" t="s">
        <v>440</v>
      </c>
      <c r="R422" s="39"/>
      <c r="S422" s="1367">
        <f>IFERROR(P422/$P$424,0%)</f>
        <v>0</v>
      </c>
      <c r="T422" s="892"/>
      <c r="U422" s="39"/>
      <c r="V422" s="39"/>
      <c r="W422" s="39"/>
      <c r="X422" s="39"/>
      <c r="Y422" s="39"/>
      <c r="Z422" s="39"/>
      <c r="AA422" s="39"/>
      <c r="AB422" s="67"/>
      <c r="AC422" s="995"/>
      <c r="AD422" s="1428"/>
      <c r="AE422" s="1406"/>
      <c r="AF422" s="1406"/>
      <c r="AG422" s="1406"/>
      <c r="AH422" s="1406"/>
      <c r="AI422" s="1406"/>
      <c r="AJ422" s="1406"/>
      <c r="AK422" s="1406"/>
      <c r="AL422" s="1407"/>
      <c r="AM422" s="1407"/>
      <c r="AN422" s="995"/>
      <c r="AO422" s="995"/>
      <c r="AP422" s="995"/>
      <c r="AQ422" s="995"/>
      <c r="AR422" s="995"/>
      <c r="AS422" s="67"/>
      <c r="AT422" s="995"/>
      <c r="AU422" s="12"/>
      <c r="AV422" s="12"/>
      <c r="AW422" s="12"/>
      <c r="AX422" s="12"/>
      <c r="AY422" s="12"/>
      <c r="AZ422" s="12"/>
      <c r="BA422" s="12"/>
      <c r="BB422" s="12"/>
      <c r="BC422" s="12"/>
      <c r="BD422" s="40"/>
      <c r="BE422" s="40"/>
      <c r="BF422" s="13"/>
      <c r="BG422" s="13"/>
      <c r="BH422" s="13"/>
      <c r="BI422" s="14"/>
    </row>
    <row r="423" spans="1:61" collapsed="1">
      <c r="A423" s="212" t="s">
        <v>493</v>
      </c>
      <c r="B423" s="943"/>
      <c r="C423" s="943"/>
      <c r="D423" s="943"/>
      <c r="E423" s="14"/>
      <c r="F423" s="46" t="s">
        <v>1695</v>
      </c>
      <c r="G423" s="186"/>
      <c r="H423" s="1366"/>
      <c r="I423" s="12"/>
      <c r="J423" s="186"/>
      <c r="K423" s="218" t="s">
        <v>1700</v>
      </c>
      <c r="L423" s="39"/>
      <c r="M423" s="1369">
        <f>AH272</f>
        <v>0</v>
      </c>
      <c r="N423" s="1366"/>
      <c r="O423" s="39"/>
      <c r="P423" s="1369">
        <f>J272</f>
        <v>0</v>
      </c>
      <c r="Q423" s="1366" t="s">
        <v>440</v>
      </c>
      <c r="R423" s="39"/>
      <c r="S423" s="1367">
        <f t="shared" ref="S423:S424" si="212">IFERROR(P423/$P$424,0%)</f>
        <v>0</v>
      </c>
      <c r="T423" s="892"/>
      <c r="U423" s="39"/>
      <c r="V423" s="39"/>
      <c r="W423" s="39"/>
      <c r="X423" s="39"/>
      <c r="Y423" s="39"/>
      <c r="Z423" s="39"/>
      <c r="AA423" s="39"/>
      <c r="AB423" s="67"/>
      <c r="AC423" s="995"/>
      <c r="AD423" s="1428"/>
      <c r="AE423" s="1406"/>
      <c r="AF423" s="1406"/>
      <c r="AG423" s="1406"/>
      <c r="AH423" s="1406"/>
      <c r="AI423" s="1406"/>
      <c r="AJ423" s="1406"/>
      <c r="AK423" s="1406"/>
      <c r="AL423" s="1407"/>
      <c r="AM423" s="1407"/>
      <c r="AN423" s="995"/>
      <c r="AO423" s="995"/>
      <c r="AP423" s="995"/>
      <c r="AQ423" s="995"/>
      <c r="AR423" s="995"/>
      <c r="AS423" s="67"/>
      <c r="AT423" s="995"/>
      <c r="AU423" s="12"/>
      <c r="AV423" s="12"/>
      <c r="AW423" s="12"/>
      <c r="AX423" s="12"/>
      <c r="AY423" s="12"/>
      <c r="AZ423" s="12"/>
      <c r="BA423" s="12"/>
      <c r="BB423" s="12"/>
      <c r="BC423" s="12"/>
      <c r="BD423" s="40"/>
      <c r="BE423" s="40"/>
      <c r="BF423" s="13"/>
      <c r="BG423" s="13"/>
      <c r="BH423" s="13"/>
      <c r="BI423" s="14"/>
    </row>
    <row r="424" spans="1:61" collapsed="1">
      <c r="A424" s="212" t="s">
        <v>493</v>
      </c>
      <c r="B424" s="943"/>
      <c r="C424" s="943"/>
      <c r="D424" s="943"/>
      <c r="E424" s="14"/>
      <c r="F424" s="453" t="s">
        <v>1702</v>
      </c>
      <c r="G424" s="13"/>
      <c r="H424" s="13"/>
      <c r="I424" s="12"/>
      <c r="J424" s="39"/>
      <c r="K424" s="40" t="s">
        <v>1701</v>
      </c>
      <c r="L424" s="39"/>
      <c r="M424" s="1370">
        <f>AG220</f>
        <v>9.9532093528295782</v>
      </c>
      <c r="N424" s="39"/>
      <c r="O424" s="39"/>
      <c r="P424" s="1370">
        <f>SUM(P422:P423)</f>
        <v>0</v>
      </c>
      <c r="Q424" s="39" t="s">
        <v>440</v>
      </c>
      <c r="R424" s="39"/>
      <c r="S424" s="1372">
        <f t="shared" si="212"/>
        <v>0</v>
      </c>
      <c r="T424" s="892"/>
      <c r="U424" s="39"/>
      <c r="V424" s="39"/>
      <c r="W424" s="39"/>
      <c r="X424" s="39"/>
      <c r="Y424" s="39"/>
      <c r="Z424" s="39"/>
      <c r="AA424" s="39"/>
      <c r="AB424" s="67"/>
      <c r="AC424" s="995"/>
      <c r="AD424" s="1428"/>
      <c r="AE424" s="1406"/>
      <c r="AF424" s="1406"/>
      <c r="AG424" s="1406"/>
      <c r="AH424" s="1406"/>
      <c r="AI424" s="1406"/>
      <c r="AJ424" s="1406"/>
      <c r="AK424" s="1406"/>
      <c r="AL424" s="1407"/>
      <c r="AM424" s="1407"/>
      <c r="AN424" s="995"/>
      <c r="AO424" s="995"/>
      <c r="AP424" s="995"/>
      <c r="AQ424" s="995"/>
      <c r="AR424" s="995"/>
      <c r="AS424" s="67"/>
      <c r="AT424" s="995"/>
      <c r="AU424" s="12"/>
      <c r="AV424" s="12"/>
      <c r="AW424" s="12"/>
      <c r="AX424" s="12"/>
      <c r="AY424" s="12"/>
      <c r="AZ424" s="12"/>
      <c r="BA424" s="12"/>
      <c r="BB424" s="12"/>
      <c r="BC424" s="12"/>
      <c r="BD424" s="40"/>
      <c r="BE424" s="40"/>
      <c r="BF424" s="13"/>
      <c r="BG424" s="13"/>
      <c r="BH424" s="13"/>
      <c r="BI424" s="14"/>
    </row>
  </sheetData>
  <sheetProtection sheet="1" objects="1" scenarios="1"/>
  <autoFilter ref="B62:C221" xr:uid="{922B2D3A-1A8F-4D90-80AB-155C85D1CC9C}"/>
  <mergeCells count="105">
    <mergeCell ref="L306:M306"/>
    <mergeCell ref="Y306:Z306"/>
    <mergeCell ref="P27:Q27"/>
    <mergeCell ref="P26:Q26"/>
    <mergeCell ref="P25:Q25"/>
    <mergeCell ref="P24:Q24"/>
    <mergeCell ref="P23:Q23"/>
    <mergeCell ref="P22:Q22"/>
    <mergeCell ref="J198:K198"/>
    <mergeCell ref="J199:K199"/>
    <mergeCell ref="J187:K187"/>
    <mergeCell ref="J188:K188"/>
    <mergeCell ref="J189:K189"/>
    <mergeCell ref="J195:K195"/>
    <mergeCell ref="J196:K196"/>
    <mergeCell ref="J197:K197"/>
    <mergeCell ref="J176:K176"/>
    <mergeCell ref="J177:K177"/>
    <mergeCell ref="J183:K183"/>
    <mergeCell ref="J184:K184"/>
    <mergeCell ref="J185:K185"/>
    <mergeCell ref="J186:K186"/>
    <mergeCell ref="J164:K164"/>
    <mergeCell ref="J165:K165"/>
    <mergeCell ref="J171:K171"/>
    <mergeCell ref="J173:K173"/>
    <mergeCell ref="J174:K174"/>
    <mergeCell ref="J175:K175"/>
    <mergeCell ref="J157:K157"/>
    <mergeCell ref="J158:K158"/>
    <mergeCell ref="J159:K159"/>
    <mergeCell ref="J160:K160"/>
    <mergeCell ref="J161:K161"/>
    <mergeCell ref="J163:K163"/>
    <mergeCell ref="J146:K146"/>
    <mergeCell ref="J147:K147"/>
    <mergeCell ref="J153:K153"/>
    <mergeCell ref="J154:K154"/>
    <mergeCell ref="J155:K155"/>
    <mergeCell ref="J156:K156"/>
    <mergeCell ref="J140:K140"/>
    <mergeCell ref="J141:K141"/>
    <mergeCell ref="J142:K142"/>
    <mergeCell ref="J143:K143"/>
    <mergeCell ref="J144:K144"/>
    <mergeCell ref="J145:K145"/>
    <mergeCell ref="J130:K130"/>
    <mergeCell ref="J131:K131"/>
    <mergeCell ref="J132:K132"/>
    <mergeCell ref="J138:K138"/>
    <mergeCell ref="J139:K139"/>
    <mergeCell ref="J117:K117"/>
    <mergeCell ref="J118:K118"/>
    <mergeCell ref="J119:K119"/>
    <mergeCell ref="J120:K120"/>
    <mergeCell ref="J126:K126"/>
    <mergeCell ref="J128:K128"/>
    <mergeCell ref="AG273:AH273"/>
    <mergeCell ref="J65:K65"/>
    <mergeCell ref="J66:K66"/>
    <mergeCell ref="J67:K67"/>
    <mergeCell ref="J68:K68"/>
    <mergeCell ref="J69:K69"/>
    <mergeCell ref="J92:K92"/>
    <mergeCell ref="J93:K93"/>
    <mergeCell ref="J94:K94"/>
    <mergeCell ref="J95:K95"/>
    <mergeCell ref="J96:K96"/>
    <mergeCell ref="J97:K97"/>
    <mergeCell ref="J81:K81"/>
    <mergeCell ref="J82:K82"/>
    <mergeCell ref="J88:K88"/>
    <mergeCell ref="J89:K89"/>
    <mergeCell ref="J90:K90"/>
    <mergeCell ref="J91:K91"/>
    <mergeCell ref="J111:K111"/>
    <mergeCell ref="J112:K112"/>
    <mergeCell ref="J113:K113"/>
    <mergeCell ref="J114:K114"/>
    <mergeCell ref="J115:K115"/>
    <mergeCell ref="J116:K116"/>
    <mergeCell ref="AE222:AE223"/>
    <mergeCell ref="AG222:AH223"/>
    <mergeCell ref="AJ222:AL223"/>
    <mergeCell ref="AN222:AP223"/>
    <mergeCell ref="G25:K25"/>
    <mergeCell ref="G26:K26"/>
    <mergeCell ref="G27:K27"/>
    <mergeCell ref="E3:F3"/>
    <mergeCell ref="G22:K22"/>
    <mergeCell ref="G23:K23"/>
    <mergeCell ref="G24:K24"/>
    <mergeCell ref="J70:K70"/>
    <mergeCell ref="J71:K71"/>
    <mergeCell ref="J72:K72"/>
    <mergeCell ref="J73:K73"/>
    <mergeCell ref="J74:K74"/>
    <mergeCell ref="J80:K80"/>
    <mergeCell ref="J98:K98"/>
    <mergeCell ref="J100:K100"/>
    <mergeCell ref="J102:K102"/>
    <mergeCell ref="J103:K103"/>
    <mergeCell ref="J109:K109"/>
    <mergeCell ref="J110:K110"/>
    <mergeCell ref="J129:K129"/>
  </mergeCells>
  <conditionalFormatting sqref="A63:AC180 AS4:AS28 AS63:BI180">
    <cfRule type="expression" dxfId="112" priority="49">
      <formula>$B4&lt;&gt;$P$23</formula>
    </cfRule>
  </conditionalFormatting>
  <conditionalFormatting sqref="B33:K34">
    <cfRule type="expression" dxfId="111" priority="44">
      <formula>$C33&lt;&gt;$C$35</formula>
    </cfRule>
  </conditionalFormatting>
  <conditionalFormatting sqref="F36:H36">
    <cfRule type="expression" dxfId="110" priority="1">
      <formula>$C36&lt;&gt;$P$22</formula>
    </cfRule>
  </conditionalFormatting>
  <conditionalFormatting sqref="G209:H220 J209:K220 G236:H247 J236:K247 M236:M247">
    <cfRule type="expression" dxfId="109" priority="55">
      <formula>G209&lt;&gt;""</formula>
    </cfRule>
  </conditionalFormatting>
  <conditionalFormatting sqref="G256:H267 J256:K267 G269:H269 J269:K269">
    <cfRule type="expression" dxfId="108" priority="53">
      <formula>G256&lt;&gt;""</formula>
    </cfRule>
  </conditionalFormatting>
  <conditionalFormatting sqref="J76 M76 X76 Z76 J84 M84 X84 Z84 J105 M105 X105 Z105 J122 M122 X122 Z122 J134 M134 X134 Z134 J149 M149 X149 Z149 J167 M167 X167 Z167 J179 M179 X179 Z179 J191 M191 X191 Z191 J201 M201 X201 Z201">
    <cfRule type="expression" dxfId="107" priority="736">
      <formula>AND(J76=FALSE,$B76=$P$23)</formula>
    </cfRule>
  </conditionalFormatting>
  <conditionalFormatting sqref="J307:J318 P307:P318 S307:S318 AA307:AA318 P320 S320 AA320">
    <cfRule type="expression" dxfId="106" priority="57">
      <formula>J307&lt;&gt;$J$320</formula>
    </cfRule>
  </conditionalFormatting>
  <conditionalFormatting sqref="J329:J340 Q329:Q340">
    <cfRule type="expression" dxfId="105" priority="748">
      <formula>AND($J44&lt;&gt;"",$J44&gt;0)</formula>
    </cfRule>
  </conditionalFormatting>
  <conditionalFormatting sqref="K320:L320">
    <cfRule type="expression" dxfId="104" priority="56">
      <formula>K320&lt;&gt;$J$35</formula>
    </cfRule>
  </conditionalFormatting>
  <conditionalFormatting sqref="M44:M55 P44:P55 S44:S55">
    <cfRule type="expression" dxfId="103" priority="739">
      <formula>AND($J44&lt;&gt;"",$J44&gt;0,M44&lt;&gt;"")</formula>
    </cfRule>
  </conditionalFormatting>
  <conditionalFormatting sqref="M372:M383">
    <cfRule type="expression" dxfId="102" priority="863">
      <formula>M372&lt;&gt;$AG$220</formula>
    </cfRule>
  </conditionalFormatting>
  <conditionalFormatting sqref="M209:N220">
    <cfRule type="expression" dxfId="101" priority="54">
      <formula>M209&lt;&gt;""</formula>
    </cfRule>
  </conditionalFormatting>
  <conditionalFormatting sqref="M256:N267 M269:N269">
    <cfRule type="expression" dxfId="100" priority="52">
      <formula>M256&lt;&gt;""</formula>
    </cfRule>
  </conditionalFormatting>
  <conditionalFormatting sqref="M350:N361">
    <cfRule type="expression" dxfId="99" priority="747">
      <formula>AND($J44&lt;&gt;"",$J44&gt;0)</formula>
    </cfRule>
  </conditionalFormatting>
  <conditionalFormatting sqref="P23">
    <cfRule type="expression" dxfId="98" priority="889">
      <formula>ISERROR(MATCH($P$23,$AV$52:$AV$55,0)=TRUE)</formula>
    </cfRule>
  </conditionalFormatting>
  <conditionalFormatting sqref="P24">
    <cfRule type="expression" dxfId="97" priority="34">
      <formula>ISERROR(MATCH(P24,GPR_Versies,0))=TRUE</formula>
    </cfRule>
  </conditionalFormatting>
  <conditionalFormatting sqref="P25">
    <cfRule type="expression" dxfId="96" priority="37">
      <formula>ISERROR(MATCH(P25,GPR_scope,0))=TRUE</formula>
    </cfRule>
  </conditionalFormatting>
  <conditionalFormatting sqref="P26">
    <cfRule type="expression" dxfId="95" priority="39">
      <formula>AND(P26&lt;&gt;"",ISERROR(MATCH(P26,GPR_scope_W_U,0))=TRUE)</formula>
    </cfRule>
  </conditionalFormatting>
  <conditionalFormatting sqref="P27">
    <cfRule type="expression" dxfId="94" priority="752">
      <formula>ISERROR(MATCH(P27,$AZ$33:$AZ$35,0))=TRUE</formula>
    </cfRule>
  </conditionalFormatting>
  <conditionalFormatting sqref="P65:P67 V65:V67 V82 P88 V88 P90 V90 P92 V92 P109 V109 P111 V111 P113 V113 P130:P132 V130:V132 P139:P141 V139:V141 P153 V153 P155 V155 P157 V157 P175:P177 V176:V177">
    <cfRule type="expression" dxfId="93" priority="3">
      <formula>$BA65&lt;&gt;1</formula>
    </cfRule>
  </conditionalFormatting>
  <conditionalFormatting sqref="P65:P67 V65:V67 V82 P88 V88 P90 V90 P92 V92 P109 V109 P111 V111:V113 P113 P130:P132 V130:V132 P139:P141 V139:V141 P153 V153 P155 V155 P157 V157 P175:P177 V176:V177">
    <cfRule type="expression" dxfId="92" priority="51">
      <formula>$BA65=1</formula>
    </cfRule>
  </conditionalFormatting>
  <conditionalFormatting sqref="P209:Q220 S209:T220">
    <cfRule type="expression" dxfId="91" priority="5">
      <formula>P209&lt;&gt;""</formula>
    </cfRule>
  </conditionalFormatting>
  <conditionalFormatting sqref="R23">
    <cfRule type="expression" dxfId="90" priority="764">
      <formula>ISERROR(MATCH(P23,$AV$52:$AV$55,0))=TRUE</formula>
    </cfRule>
  </conditionalFormatting>
  <conditionalFormatting sqref="R24">
    <cfRule type="expression" dxfId="89" priority="35">
      <formula>ISERROR(MATCH(P24,GPR_Versies,0))=TRUE</formula>
    </cfRule>
  </conditionalFormatting>
  <conditionalFormatting sqref="R27">
    <cfRule type="expression" dxfId="88" priority="753">
      <formula>ISERROR(MATCH(P27,$AZ$33:$AZ$35,0))=TRUE</formula>
    </cfRule>
  </conditionalFormatting>
  <conditionalFormatting sqref="V209:W220">
    <cfRule type="expression" dxfId="87" priority="4">
      <formula>V209&lt;&gt;""</formula>
    </cfRule>
  </conditionalFormatting>
  <conditionalFormatting sqref="AE273:AH274">
    <cfRule type="expression" dxfId="86" priority="43">
      <formula>$P$24=GPR4.3</formula>
    </cfRule>
  </conditionalFormatting>
  <conditionalFormatting sqref="AG273">
    <cfRule type="expression" dxfId="85" priority="48">
      <formula>AND(AG273&lt;&gt;"",ISERROR(MATCH(AG273,Gebruiksfuncties,0))=TRUE)</formula>
    </cfRule>
  </conditionalFormatting>
  <conditionalFormatting sqref="AG43:AH43">
    <cfRule type="expression" dxfId="84" priority="45">
      <formula>$J43=0</formula>
    </cfRule>
  </conditionalFormatting>
  <conditionalFormatting sqref="AJ43">
    <cfRule type="expression" dxfId="83" priority="2">
      <formula>$J43=0</formula>
    </cfRule>
  </conditionalFormatting>
  <conditionalFormatting sqref="AS30:AS56">
    <cfRule type="expression" dxfId="82" priority="7">
      <formula>$B30&lt;&gt;$P$23</formula>
    </cfRule>
  </conditionalFormatting>
  <dataValidations count="47">
    <dataValidation allowBlank="1" showInputMessage="1" showErrorMessage="1" promptTitle="Uniec2, biomassa" prompt="NEN 7120 kent vanaf NEN 7120+C2:2012/A1:2017 onderscheid in soorten biomassa: voldoet aan activiteitenbesluit (CO2 = 0), voldoet aan Bijlage O (CO2 = 0,5*0,109 kg/MJ) en overig (CO2 = 0,109 kg/MJ). De PEF is dan 0 / 0,5 / 1." sqref="A130" xr:uid="{37DAE73C-D5B3-4973-9F5C-CE2A747EF033}"/>
    <dataValidation allowBlank="1" showInputMessage="1" showErrorMessage="1" promptTitle="Uniec2, externe warmtelevering" prompt="Uniec2 rekent voor externe warmtelevering de CO2-uitstoot uit met een PEF van 1, en met 87,7 kg/GJ. Als gegevens van het net bekend zijn, moeten die gebruikt worden." sqref="A131" xr:uid="{33462034-3B8C-4DA8-A9C6-DFDDD1D96BAB}"/>
    <dataValidation allowBlank="1" showInputMessage="1" showErrorMessage="1" promptTitle="Uniec2, externe koudelevering" prompt="Uniec2 geeft geen finaal energiegebruik voor externe koudelevering. Controleer dus goed of deze wel of niet aanwezig is. " sqref="A132" xr:uid="{44F15629-BCAB-4A4C-9603-3A089AA9D579}"/>
    <dataValidation allowBlank="1" showInputMessage="1" showErrorMessage="1" promptTitle="Specifieke energieprestatie" prompt="In NEN 7120 moet de specifieke energieprestatie in MJ/m2 naar boven worden afgerond om hele getallen. _x000a_In NTA 800 naar boven op 0,01 kWh/m2. Dat is hier niet gedaan, waardoor er een klein verschil kan optreden." sqref="A35" xr:uid="{C67E1D0F-9649-4663-BD12-9E2169BDE5AB}"/>
    <dataValidation allowBlank="1" showInputMessage="1" showErrorMessage="1" promptTitle="Eenheid" prompt="Let op de eenheid: Hier in kg/GJ. In Uniec3 gegeven in kg/kWh." sqref="U153" xr:uid="{18410724-B90F-4B36-B472-23367BAA28D5}"/>
    <dataValidation allowBlank="1" showInputMessage="1" showErrorMessage="1" promptTitle="NEN7120, eerste en tweede trap" prompt="Bij warmte: eerste trap is met forfaitair rendement van 100%, tweede trap met werkelijk rendement. Uniec2 laat in 2e trap berekening een extern warmtegebruik zien dat correspondeert met een EOR van 100%." sqref="O109" xr:uid="{F1BE17AD-E2F2-4EAF-A9CB-ABC0A45D5483}"/>
    <dataValidation allowBlank="1" showInputMessage="1" showErrorMessage="1" promptTitle="Specifieke energieprestatie" prompt="In NEN 7120 moet de specifieke energieprestatie in MJ/m2 naar boven worden afgerond om hele getallen. Dat is hier niet gedaan, waardoor er een klein verschil kan optreden." sqref="A105" xr:uid="{91FE1379-D640-479C-A3A0-426DDEA3E7B9}"/>
    <dataValidation type="list" allowBlank="1" showInputMessage="1" showErrorMessage="1" sqref="AG273" xr:uid="{349FC28B-5004-4A7F-BD93-12391EB8BEED}">
      <formula1>Gebruiksfuncties</formula1>
    </dataValidation>
    <dataValidation type="list" allowBlank="1" showInputMessage="1" showErrorMessage="1" sqref="J65:K67 J109:K109 J111:K111 J113:K113 J139:K141 J157:K157 J155:K155 J153:K153 J68:J74 J80:J82 J91 J100 J102:J103 J110 J112 J114:J120 J93:J98 J138 J142:J147 J171 J163:J165 J173:J177 J154:J156 J128:J132 J158:J161 J88:K88 J92:K92 J90:K90 J89 J126 J195:J199" xr:uid="{FDB2371C-D2EF-4EF8-883E-76E1B924261A}">
      <formula1>energiedragers_EP_lijst</formula1>
    </dataValidation>
    <dataValidation allowBlank="1" showInputMessage="1" showErrorMessage="1" promptTitle="Reductie van CO2-emissie" prompt="Reductie wordt berekend ten opzichte van het referntieniveau dat correspondeert met de nieuwbouweisen 2006. In GPR Gebouw geeft dat een score van 6,0. _x000a_Let op: een negatief geatl hier betekent een reductie van CO2-emissie." sqref="A40" xr:uid="{8FE391ED-1EC7-45CA-83C1-2CF7AA46DE4C}"/>
    <dataValidation allowBlank="1" showInputMessage="1" showErrorMessage="1" promptTitle="CO2-emissie" prompt="Neem de berekende CO2-emissie uit de energieprestatieberekening hier over. Let op: Er is geen automatische koppeling met de hieronder in te voeren niet-primaire gebruiken / meterstanden tbv de DPG/Klimaatmonitor._x000a_" sqref="A39" xr:uid="{CD313FF5-B731-44C5-9C0A-D0FE00A7602A}"/>
    <dataValidation allowBlank="1" showInputMessage="1" showErrorMessage="1" promptTitle="VABI maatwerkrapportage" prompt="Let op: Getallen uit een VABI-rapportage (word- of pdf-document) hebben meestal betrekking op een maatwerkadvies. Omdat daarbij is gerekend met niet-standaard uitgangspunten kunnen deze getallen niet gebruikt worden voor GPR Gebouw." sqref="A63 A107" xr:uid="{33B7EE12-D750-466C-B9F1-E5DCF36EA085}"/>
    <dataValidation type="list" allowBlank="1" showInputMessage="1" showErrorMessage="1" sqref="P22" xr:uid="{4F76EFB7-8DD8-4752-9200-917661430FF5}">
      <formula1>EP_methode</formula1>
    </dataValidation>
    <dataValidation allowBlank="1" showInputMessage="1" showErrorMessage="1" error="_x000a__x000a_" sqref="J39 J33:J34 J275:K275 J272:K272 M273 J274:J275" xr:uid="{363E0C59-D997-4DC8-876F-A5320CFA1107}"/>
    <dataValidation allowBlank="1" showInputMessage="1" showErrorMessage="1" promptTitle="Reductie" prompt="Reductie wordt berekend tov de grenswaarde. Negatieve reductie betekent een hogere emissie dan de grenswaarde (gebouwen die slechter scoren dan nieuwbouw 2006)." sqref="AD209 AD256 AD274" xr:uid="{2CBDA650-648F-4B89-9203-BC487D238D03}"/>
    <dataValidation allowBlank="1" showInputMessage="1" showErrorMessage="1" promptTitle="Grenswaarde" prompt="Grenswaarde wordt bepaald door het energiegebruik bij GPR score van 6 en de emissiekentallen uit NTA8800." sqref="AD39 AD208 AD272 AD233:AR255 AD225:AE225 AD227:AR230" xr:uid="{370AD970-D6AA-4C82-B832-6B97A8F81C44}"/>
    <dataValidation allowBlank="1" showInputMessage="1" showErrorMessage="1" promptTitle="CO2-emissiereductie" prompt="Hier wordt de CO2-emissiereductie berekend die in subthema 1.2 moet worden aangevinkt. In het invoerveld 'totale CO2-emissie (kg/jaar)' bij het overnemen van resultaten uit een externe berekening moet '0' worden ingevuld." sqref="AD207 AD224:AE224" xr:uid="{DAD50C78-CCC9-447B-AA10-2DC063EBC3C6}"/>
    <dataValidation allowBlank="1" showErrorMessage="1" sqref="L25:L26" xr:uid="{668A8F8B-EE2C-4879-A0B8-54579FFC7DB7}"/>
    <dataValidation allowBlank="1" showInputMessage="1" showErrorMessage="1" promptTitle="Bepalingsmethode - doel" prompt="Kies hier de uitvoer van dit rekensheet. Afhankelijk van de versie van GPR Gebouw zijn één of meer EP-methoden te kiezen. Deze keuze heeft geen gevolgen voor de score in GPR Gebouw." sqref="L27" xr:uid="{682B0DEA-7E81-4811-B601-603FBF45B0C5}"/>
    <dataValidation allowBlank="1" showInputMessage="1" showErrorMessage="1" promptTitle="Softwarepakket" prompt="Kies hier met welk software pakket de EP-berekening is gemaakt. De invoer sluit zo goed mogelijk aan bij het gekozen pakket. De keuze voor het pakket heeft geen gevolgen voor de GPR-score. " sqref="L23" xr:uid="{F5C920F2-7E79-4AA5-A83E-DC2D6CE5BCF9}"/>
    <dataValidation allowBlank="1" showInputMessage="1" showErrorMessage="1" promptTitle="Finaal energiegebruik" prompt="Het finaal energiegebruik / 'meterstanden' wordt gebruikt voor het berekenen van de DPG. Hier worden de milieueffecten van het energiegebruik in meegenomen._x000a__x000a_Dit invoerblok is alleen nodig als er een DPG berekend moet worden. " sqref="A64 A73" xr:uid="{DB650E49-9134-479D-ACF5-5944C3A40135}"/>
    <dataValidation allowBlank="1" showInputMessage="1" showErrorMessage="1" promptTitle="Geen DPG" prompt="Deze functie komt niet voor in GPR Gebouw. Er is geen MPG-referentie voor beschikbaar en er kan daarom geen DPG-score van worden bepaald. " sqref="A55 A50:A51" xr:uid="{0DC9FC9B-6ED7-4640-9B04-90A8D6AF5B90}"/>
    <dataValidation allowBlank="1" showInputMessage="1" showErrorMessage="1" promptTitle="Score op subthema 1.1" prompt="Dit is de resulterende score op subthema 1.1. _x000a__x000a_Als onderstaande energiegebruiken en gebruiksoppervlakten worden overgenomen voor de desbetreffende functie, volgt in GPR Gebouw deze score. " sqref="AD35:AD36" xr:uid="{E36617AA-8306-48DE-BC47-E5E309133976}"/>
    <dataValidation allowBlank="1" showInputMessage="1" showErrorMessage="1" promptTitle="Grenswaarde bij GPR = 6" prompt="Deze grenswaarde is het naar gebruiksoppervlakte gewogen gemiddelde van de grenswaarde bij GPR = 6 voor de verschillende gebruiksfuncties. Waarde wordt bepaald door niveau nieuwbouw 2006 (GPR 4.3 en GPR 4.4)." sqref="AD33" xr:uid="{DDABCB66-AAA2-4370-BE65-976B1A152AB8}"/>
    <dataValidation allowBlank="1" showInputMessage="1" showErrorMessage="1" promptTitle="Grenswaarde bij GPR = 10" prompt="Deze grenswaarde is het naar gebruiksoppervlakte gewogen gemiddelde van de grenswaarde bij GPR = 10 voor de verschillende gebruiksfuncties. In GPR 4.3 is dat EP2=0, in GPR 4.4 niveau nul-op-de-meter." sqref="AD34" xr:uid="{953121D8-88AB-4CB7-AD14-F148A4E3EB34}"/>
    <dataValidation type="decimal" allowBlank="1" showInputMessage="1" showErrorMessage="1" sqref="M155:M156 J44:J56 M70 M114" xr:uid="{CCC0F056-D7C8-495B-8391-89A105E8EBBE}">
      <formula1>0</formula1>
      <formula2>1000000</formula2>
    </dataValidation>
    <dataValidation allowBlank="1" showInputMessage="1" showErrorMessage="1" promptTitle="Zon, WKK of wind" prompt="Het onderscheid tussen opgewekte stroom door PV, wind of WKK is niet eenvoudig uit de berekeningen te halen en daarom samengevoegd bij: opwekking pv / wkk." sqref="J204:J207 J224 J226:K229 S204:S207" xr:uid="{E62AB52E-09D2-41F9-B2F5-D8BA4D0AEF59}"/>
    <dataValidation allowBlank="1" showInputMessage="1" showErrorMessage="1" promptTitle="Bronmethode" prompt="Bronmethode legt de grenzen van de inijking vast. _x000a_GPR 4.3: nieuwbouw 2006 en EPC/EP2=0_x000a_GPR 4.4: nieuwbouw 2006 en NOM_x000a_" sqref="E303" xr:uid="{005CB682-9647-4B9C-B2D2-E472CE9EBE60}"/>
    <dataValidation allowBlank="1" showInputMessage="1" showErrorMessage="1" promptTitle="Niet-gebouwgebonden" prompt="Het energiegebruik voor niet-gebouwgebonden elektrische installaties (televisie, beeldschermen e.d.) wordt in het Bouwbesluit en in GPR Gebouw buiten beschouwing gelaten." sqref="A66" xr:uid="{6C001E26-E317-4A06-963A-8E749B05B99A}"/>
    <dataValidation allowBlank="1" showInputMessage="1" showErrorMessage="1" promptTitle="Milieuprestatie Gebouw (MPG)" prompt="Voor een correcte berekening van de DPG-score moet de MPG van het gebouw worden ingevuld. _x000a_Daaronder wordt ook de score uitgerekend op subthema '2.1 Milieuprestatie (MPG)' voor GPR Gebouw 4.3 / subthema '2.1.1 Bescherming milieu' voor GPR Gebouw 4.4" sqref="A271" xr:uid="{248B9A2C-6037-4649-B2BA-78805F9E3F04}"/>
    <dataValidation allowBlank="1" showInputMessage="1" showErrorMessage="1" promptTitle="DPG-score" prompt="Dit is de resulterende DPG-score." sqref="AD220 AD267 AD269" xr:uid="{A33044A7-4502-49B0-A2E6-C45F796216F3}"/>
    <dataValidation allowBlank="1" showInputMessage="1" showErrorMessage="1" promptTitle="Grenswaarde DPG = 6" prompt="Grenswaarde wordt bepaald door het energie- en materiaalgebruik bij GPR score van 6 op de subthema's energieprestatie en materiaalprestatie." sqref="AD213 AD260" xr:uid="{8B223D27-FE5F-4A79-9F35-86DEACFDFF65}"/>
    <dataValidation allowBlank="1" showInputMessage="1" showErrorMessage="1" promptTitle="Grenswaarde DPG = 10" prompt="Grenswaarde wordt bepaald door het energie- en materiaalgebruik bij GPR score van 10 op de subthema's energieprestatie en materiaalprestatie." sqref="AD214 AD261" xr:uid="{B8A06113-88D8-4A87-B03D-EA33096B0997}"/>
    <dataValidation allowBlank="1" showInputMessage="1" showErrorMessage="1" promptTitle="DPG-index" prompt="De DPG-index is de som van de mileu-effecten (in euro/m2 BVO) van energie-gebruik (EP2*) en materiaal-gebruik (MPG)." sqref="AD218 AD265" xr:uid="{6C97F9EA-6F8B-4472-8975-00EC806C45A2}"/>
    <dataValidation allowBlank="1" showInputMessage="1" showErrorMessage="1" promptTitle="Duurzaamheidsprestatie Gebouw" prompt="De DuurzaamheidsPrestatie Gebouw (DPG) is een integrale evaluatie van de energieprestatie (subthema 1.1) en milieuprestatie (subthema 2.1/2.1.1). Hiertoe zijn op zowel het energie- als het materiaalgebruik de levensloopbeoordeling (LCA) toegepast." sqref="AD212 AD259" xr:uid="{E89360AF-5DF8-4A2E-A811-0687AE4C0C73}"/>
    <dataValidation allowBlank="1" showInputMessage="1" showErrorMessage="1" promptTitle="MPG - klimaatverandering" prompt="Resultaat van het milieueffect 'klimaatverandering'/ 'global warming potential' overnemen uit een MPG-berekening. " sqref="A274:A275" xr:uid="{5552B7D4-4602-475B-B8BE-B46C23003DF5}"/>
    <dataValidation allowBlank="1" showInputMessage="1" showErrorMessage="1" promptTitle="Oppervlakte" prompt="Voor EP2 en CO2 is dit gebruiksoppervlakte (Ag of GO), voor MPG en DPG is dit bruto vloeroppervlakte (BVO)" sqref="AD39 AD233:AD256 AD208:AD209 AE233:AR255 AD225:AE225 AD274 AD272 AD227:AR230" xr:uid="{7E038509-BB96-454B-9ECF-0F39BF0422D3}"/>
    <dataValidation allowBlank="1" showInputMessage="1" showErrorMessage="1" promptTitle="Primair energiegebruik" prompt="Neem het berekend primair energiegebruik uit de energieprestatieberekening hier over. Let op: Er is geen automatische koppeling met de hieronder in te voeren niet-primaire gebruiken / meterstanden tbv de DPG/Klimaatmonitor._x000a_" sqref="A33" xr:uid="{9E52AFA2-00E4-40AE-9AE2-A8CB5D708ECB}"/>
    <dataValidation type="list" allowBlank="1" showInputMessage="1" showErrorMessage="1" sqref="P27:Q27" xr:uid="{4321A2AE-26BE-4719-A786-A11F02C73FCF}">
      <formula1>_xlfn.ANCHORARRAY($AZ$33)</formula1>
    </dataValidation>
    <dataValidation type="list" allowBlank="1" showInputMessage="1" showErrorMessage="1" sqref="P23:Q23" xr:uid="{BF4F10AF-F49F-4CBD-9554-4E5FAFBB352B}">
      <formula1>_xlfn.ANCHORARRAY($AV$52)</formula1>
    </dataValidation>
    <dataValidation allowBlank="1" showInputMessage="1" showErrorMessage="1" promptTitle="Bepalingsmethode" prompt="Kies hier met welke bepalingsmethode de EP-berekening is gemaakt. Keuze voor de methode heeft gevolgen voor de inijking van de score (het verband tussen berekend energiegebruik en de score in GPR Gebouw). " sqref="L22" xr:uid="{62CD68C9-64B2-485B-8F4E-D516771E739C}"/>
    <dataValidation allowBlank="1" showInputMessage="1" showErrorMessage="1" promptTitle="Versie GPR Gebouw" prompt="Kies een versie van GPR Gebouw. De keuze heeft gevolgen voor de inijking (verband tussen berekend energiegebruik en score in GPR ). Ook wordt hiermee bepaald wat de mogelijke 'uitvoer' is van deze rekensheet, aansluitend bij de mogelijkheden in GPR Gebouw" sqref="L24" xr:uid="{2681BFA5-1098-4A9A-BBF2-18791ABB9F43}"/>
    <dataValidation type="list" allowBlank="1" showInputMessage="1" showErrorMessage="1" sqref="P24:Q24" xr:uid="{CCE32DAD-4F1C-44C7-97E6-C3A26ED89844}">
      <formula1>_xlfn.ANCHORARRAY(GPR_versie_keuzelijst)</formula1>
    </dataValidation>
    <dataValidation type="list" allowBlank="1" showInputMessage="1" showErrorMessage="1" sqref="P25:Q25" xr:uid="{05156980-C11C-48A9-9F96-468E48017758}">
      <formula1>_xlfn.ANCHORARRAY(GPR_scope_keuzelijst)</formula1>
    </dataValidation>
    <dataValidation type="list" allowBlank="1" showInputMessage="1" showErrorMessage="1" sqref="P26:Q26" xr:uid="{1BFBAEA0-654B-41E3-80ED-383A0CBB04E6}">
      <formula1>_xlfn.ANCHORARRAY(GPR_scope_W_U_keuzelijst)</formula1>
    </dataValidation>
    <dataValidation allowBlank="1" showInputMessage="1" showErrorMessage="1" promptTitle="EP2-eisen Bbl" prompt="Zie https://wetten.overheid.nl/BWBR0041297/2024-01-01/0#Hoofdstuk4_Afdeling4.4_Paragraaf4.4.1" sqref="AK43" xr:uid="{8AE5E5B8-BF9A-4305-B972-E7372E376B24}"/>
    <dataValidation allowBlank="1" showInputMessage="1" showErrorMessage="1" promptTitle="EP2-eisen Bbl" prompt="EP2-eisen gelden per 1-1-2021 en per gebruiksfunctie. Voor een gebouw is de eis het naar gebruiksoppervlakte gewogen gemiddelde van de eis per functie._x000a__x000a_https://wetten.overheid.nl/BWBR0041297/2024-01-01/0#Hoofdstuk4_Afdeling4.4_Paragraaf4.4.1. _x000a_" sqref="A36" xr:uid="{0A96733F-3D8E-4C53-BC63-0AB657912C12}"/>
  </dataValidations>
  <hyperlinks>
    <hyperlink ref="A1" location="'Overzicht GPR Hulpmiddelen'!A1" tooltip="naar startscherm" display="&lt;" xr:uid="{3653328B-D459-4325-A269-2BBA34DF55B9}"/>
  </hyperlinks>
  <printOptions horizontalCentered="1"/>
  <pageMargins left="0.70866141732283472" right="0.70866141732283472" top="0.74803149606299213" bottom="0.74803149606299213" header="0.31496062992125984" footer="0.31496062992125984"/>
  <pageSetup paperSize="9" scale="21" orientation="portrait" horizontalDpi="4294967293" r:id="rId1"/>
  <headerFooter>
    <oddFooter>&amp;L&amp;Z&amp;F&amp;RDatum afdruk &amp;D &amp;T</oddFooter>
  </headerFooter>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DEC9BBBA-B40B-48E1-9738-42CA55413C90}">
          <x14:formula1>
            <xm:f>tabellen_EMD!$C$252:$C$256</xm:f>
          </x14:formula1>
          <xm:sqref>J183:K189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1ADB4-59E7-43F8-BD0F-2F076B74D495}">
  <sheetPr codeName="Blad16">
    <tabColor rgb="FFFF0000"/>
  </sheetPr>
  <dimension ref="A1:N39"/>
  <sheetViews>
    <sheetView showGridLines="0" showRowColHeaders="0" zoomScaleNormal="100" workbookViewId="0">
      <pane xSplit="1" ySplit="3" topLeftCell="B4" activePane="bottomRight" state="frozen"/>
      <selection pane="topRight" activeCell="B1" sqref="B1"/>
      <selection pane="bottomLeft" activeCell="A4" sqref="A4"/>
      <selection pane="bottomRight" activeCell="D15" sqref="D15"/>
    </sheetView>
  </sheetViews>
  <sheetFormatPr defaultColWidth="9.1796875" defaultRowHeight="11" outlineLevelRow="1"/>
  <cols>
    <col min="1" max="1" width="9.1796875" style="187"/>
    <col min="2" max="2" width="2.7265625" style="187" customWidth="1"/>
    <col min="3" max="3" width="33.453125" style="187" customWidth="1"/>
    <col min="4" max="6" width="12.26953125" style="188" customWidth="1"/>
    <col min="7" max="7" width="7.54296875" style="188" customWidth="1"/>
    <col min="8" max="8" width="2.453125" style="188" customWidth="1"/>
    <col min="9" max="9" width="12.26953125" style="188" customWidth="1"/>
    <col min="10" max="11" width="12.26953125" style="187" customWidth="1"/>
    <col min="12" max="12" width="12.26953125" style="189" customWidth="1"/>
    <col min="13" max="13" width="2.7265625" style="187" customWidth="1"/>
    <col min="14" max="20" width="9.1796875" style="187" customWidth="1"/>
    <col min="21" max="16384" width="9.1796875" style="187"/>
  </cols>
  <sheetData>
    <row r="1" spans="1:14" s="18" customFormat="1" ht="32.5">
      <c r="A1" s="192" t="s">
        <v>12</v>
      </c>
      <c r="B1" s="193"/>
      <c r="C1" s="194"/>
      <c r="D1" s="31"/>
      <c r="E1" s="31"/>
      <c r="F1" s="31"/>
      <c r="G1" s="21"/>
      <c r="H1" s="21"/>
      <c r="K1" s="157"/>
    </row>
    <row r="2" spans="1:14" s="172" customFormat="1" ht="21">
      <c r="A2" s="33"/>
      <c r="B2" s="28" t="s">
        <v>557</v>
      </c>
      <c r="C2" s="32"/>
      <c r="D2" s="32"/>
      <c r="E2" s="32"/>
      <c r="F2" s="32"/>
      <c r="G2" s="32"/>
      <c r="H2" s="32"/>
      <c r="I2" s="32"/>
      <c r="J2" s="195"/>
      <c r="K2" s="196"/>
      <c r="L2" s="195"/>
      <c r="M2" s="195"/>
    </row>
    <row r="3" spans="1:14" s="29" customFormat="1" ht="17.5">
      <c r="B3" s="1687">
        <v>45170</v>
      </c>
      <c r="C3" s="1688"/>
    </row>
    <row r="4" spans="1:14" s="18" customFormat="1" ht="17.5">
      <c r="A4" s="29"/>
      <c r="B4" s="14"/>
      <c r="C4" s="67"/>
      <c r="D4" s="67"/>
      <c r="E4" s="67"/>
      <c r="F4" s="14"/>
      <c r="G4" s="14"/>
      <c r="H4" s="14"/>
      <c r="I4" s="14"/>
      <c r="J4" s="14"/>
      <c r="K4" s="14"/>
      <c r="L4" s="14"/>
      <c r="M4" s="14"/>
    </row>
    <row r="5" spans="1:14" s="19" customFormat="1" ht="17.5">
      <c r="A5" s="29"/>
      <c r="B5" s="14"/>
      <c r="C5" s="68" t="s">
        <v>3</v>
      </c>
      <c r="D5" s="68"/>
      <c r="E5" s="68"/>
      <c r="F5" s="14"/>
      <c r="G5" s="15" t="s">
        <v>485</v>
      </c>
      <c r="H5" s="15"/>
      <c r="I5" s="14"/>
      <c r="J5" s="14"/>
      <c r="K5" s="14"/>
      <c r="L5" s="14"/>
      <c r="M5" s="14"/>
      <c r="N5" s="18"/>
    </row>
    <row r="6" spans="1:14" s="19" customFormat="1" ht="17.25" customHeight="1">
      <c r="A6" s="29"/>
      <c r="B6" s="14"/>
      <c r="C6" s="22" t="s">
        <v>4</v>
      </c>
      <c r="D6" s="1691"/>
      <c r="E6" s="1691"/>
      <c r="F6" s="208"/>
      <c r="G6" s="14"/>
      <c r="H6" s="14"/>
      <c r="I6" s="14"/>
      <c r="J6" s="14"/>
      <c r="K6" s="14"/>
      <c r="L6" s="14"/>
      <c r="M6" s="14"/>
      <c r="N6" s="18"/>
    </row>
    <row r="7" spans="1:14" s="19" customFormat="1" ht="17.5">
      <c r="A7" s="29"/>
      <c r="B7" s="14"/>
      <c r="C7" s="22" t="s">
        <v>5</v>
      </c>
      <c r="D7" s="1691"/>
      <c r="E7" s="1691"/>
      <c r="F7" s="14"/>
      <c r="G7" s="14"/>
      <c r="H7" s="14"/>
      <c r="I7" s="14"/>
      <c r="J7" s="14"/>
      <c r="K7" s="14"/>
      <c r="L7" s="14"/>
      <c r="M7" s="14"/>
      <c r="N7" s="18"/>
    </row>
    <row r="8" spans="1:14" s="19" customFormat="1" ht="17.5">
      <c r="A8" s="29"/>
      <c r="B8" s="14"/>
      <c r="C8" s="22" t="s">
        <v>6</v>
      </c>
      <c r="D8" s="1691"/>
      <c r="E8" s="1691"/>
      <c r="F8" s="14"/>
      <c r="G8" s="14"/>
      <c r="H8" s="14"/>
      <c r="I8" s="14"/>
      <c r="J8" s="14"/>
      <c r="K8" s="14"/>
      <c r="L8" s="14"/>
      <c r="M8" s="14"/>
      <c r="N8" s="18"/>
    </row>
    <row r="9" spans="1:14" s="19" customFormat="1" ht="17.5">
      <c r="A9" s="29"/>
      <c r="B9" s="14"/>
      <c r="C9" s="22" t="s">
        <v>7</v>
      </c>
      <c r="D9" s="1699"/>
      <c r="E9" s="1699"/>
      <c r="F9" s="14"/>
      <c r="G9" s="14"/>
      <c r="H9" s="14"/>
      <c r="I9" s="14"/>
      <c r="J9" s="14"/>
      <c r="K9" s="14"/>
      <c r="L9" s="14"/>
      <c r="M9" s="14"/>
      <c r="N9" s="18"/>
    </row>
    <row r="10" spans="1:14" s="19" customFormat="1" ht="17.5">
      <c r="A10" s="29"/>
      <c r="B10" s="14"/>
      <c r="C10" s="22" t="s">
        <v>488</v>
      </c>
      <c r="D10" s="1685"/>
      <c r="E10" s="1685"/>
      <c r="F10" s="14"/>
      <c r="G10" s="14"/>
      <c r="H10" s="14"/>
      <c r="I10" s="14"/>
      <c r="J10" s="14"/>
      <c r="K10" s="14"/>
      <c r="L10" s="14"/>
      <c r="M10" s="14"/>
      <c r="N10" s="18"/>
    </row>
    <row r="11" spans="1:14" s="18" customFormat="1" ht="17.5">
      <c r="A11" s="29"/>
      <c r="B11" s="14"/>
      <c r="C11" s="14"/>
      <c r="D11" s="14"/>
      <c r="E11" s="14"/>
      <c r="F11" s="14"/>
      <c r="G11" s="14"/>
      <c r="H11" s="14"/>
      <c r="I11" s="14"/>
      <c r="J11" s="14"/>
      <c r="K11" s="14"/>
      <c r="L11" s="14"/>
      <c r="M11" s="35"/>
    </row>
    <row r="12" spans="1:14" ht="17.5">
      <c r="A12" s="29"/>
      <c r="B12" s="14"/>
      <c r="C12" s="22" t="s">
        <v>558</v>
      </c>
      <c r="D12" s="1685" t="s">
        <v>297</v>
      </c>
      <c r="E12" s="1698"/>
      <c r="F12" s="14"/>
      <c r="G12" s="14"/>
      <c r="H12" s="14"/>
      <c r="I12" s="14"/>
      <c r="J12" s="14"/>
      <c r="K12" s="14"/>
      <c r="L12" s="14"/>
      <c r="M12" s="14"/>
      <c r="N12" s="18"/>
    </row>
    <row r="13" spans="1:14" ht="17.5">
      <c r="A13" s="29"/>
      <c r="B13" s="14"/>
      <c r="C13" s="22" t="s">
        <v>559</v>
      </c>
      <c r="D13" s="1685" t="s">
        <v>401</v>
      </c>
      <c r="E13" s="1698"/>
      <c r="F13" s="14"/>
      <c r="G13" s="14"/>
      <c r="H13" s="14"/>
      <c r="I13" s="14"/>
      <c r="J13" s="14"/>
      <c r="K13" s="14"/>
      <c r="L13" s="14"/>
      <c r="M13" s="14"/>
      <c r="N13" s="18"/>
    </row>
    <row r="14" spans="1:14" s="18" customFormat="1" ht="17.5">
      <c r="A14" s="29"/>
      <c r="B14" s="14"/>
      <c r="C14" s="22" t="s">
        <v>560</v>
      </c>
      <c r="D14" s="142">
        <f>INDEX(CO2_GPR_score_6,MATCH($D$12,Gebruiksfuncties,0),MATCH($D$13,EP_methode,0))</f>
        <v>22.434521484374997</v>
      </c>
      <c r="E14" s="47" t="s">
        <v>427</v>
      </c>
      <c r="F14" s="14"/>
      <c r="G14" s="14"/>
      <c r="H14" s="14"/>
      <c r="I14" s="14"/>
      <c r="J14" s="14"/>
      <c r="K14" s="14"/>
      <c r="L14" s="14"/>
      <c r="M14" s="35"/>
    </row>
    <row r="15" spans="1:14" s="18" customFormat="1" ht="17.5">
      <c r="A15" s="29"/>
      <c r="B15" s="14"/>
      <c r="C15" s="424" t="s">
        <v>561</v>
      </c>
      <c r="D15" s="433"/>
      <c r="E15" s="319" t="s">
        <v>562</v>
      </c>
      <c r="F15" s="14"/>
      <c r="G15" s="14"/>
      <c r="H15" s="14"/>
      <c r="I15" s="14"/>
      <c r="J15" s="14"/>
      <c r="K15" s="14"/>
      <c r="L15" s="14"/>
      <c r="M15" s="14"/>
    </row>
    <row r="16" spans="1:14" s="18" customFormat="1" ht="17.5" outlineLevel="1">
      <c r="A16" s="29"/>
      <c r="B16" s="14"/>
      <c r="C16" s="14"/>
      <c r="D16" s="14"/>
      <c r="E16" s="14"/>
      <c r="F16" s="14"/>
      <c r="G16" s="14"/>
      <c r="H16" s="14"/>
      <c r="I16" s="35"/>
      <c r="J16" s="35"/>
      <c r="K16" s="35"/>
      <c r="L16" s="35"/>
      <c r="M16" s="35"/>
    </row>
    <row r="17" spans="1:14" s="19" customFormat="1" ht="17.5" outlineLevel="1">
      <c r="A17" s="29"/>
      <c r="B17" s="184" t="s">
        <v>396</v>
      </c>
      <c r="C17" s="68" t="s">
        <v>563</v>
      </c>
      <c r="D17" s="68"/>
      <c r="E17" s="68"/>
      <c r="F17" s="14"/>
      <c r="G17" s="15"/>
      <c r="H17" s="14"/>
      <c r="I17" s="41"/>
      <c r="J17" s="14"/>
      <c r="K17" s="14"/>
      <c r="L17" s="14"/>
      <c r="M17" s="14"/>
      <c r="N17" s="18"/>
    </row>
    <row r="18" spans="1:14" s="449" customFormat="1" ht="17.5" outlineLevel="1">
      <c r="A18" s="448"/>
      <c r="B18" s="450"/>
      <c r="C18" s="451" t="s">
        <v>564</v>
      </c>
      <c r="D18" s="451"/>
      <c r="E18" s="451"/>
      <c r="F18" s="450"/>
      <c r="G18" s="452"/>
      <c r="H18" s="450"/>
      <c r="I18" s="453" t="s">
        <v>565</v>
      </c>
      <c r="J18" s="450"/>
      <c r="K18" s="450"/>
      <c r="L18" s="450"/>
      <c r="M18" s="450"/>
      <c r="N18" s="346"/>
    </row>
    <row r="19" spans="1:14" s="190" customFormat="1" ht="17.5" outlineLevel="1">
      <c r="A19" s="29"/>
      <c r="B19" s="165"/>
      <c r="C19" s="319" t="s">
        <v>566</v>
      </c>
      <c r="D19" s="25"/>
      <c r="E19" s="319" t="s">
        <v>464</v>
      </c>
      <c r="F19" s="59" cm="1">
        <f t="array" ref="F19">INDEX(energiedragers_EP_CO2,MATCH($C19,energiedragers_EP_CO2_lijst,0)+1,MATCH($D$13,energiedragers_EP_CO2_titel,0))</f>
        <v>0.183</v>
      </c>
      <c r="G19" s="319" t="s">
        <v>567</v>
      </c>
      <c r="H19" s="14"/>
      <c r="I19" s="434"/>
      <c r="J19" s="434"/>
      <c r="K19" s="434"/>
      <c r="L19" s="434"/>
      <c r="M19" s="14"/>
      <c r="N19" s="18"/>
    </row>
    <row r="20" spans="1:14" s="190" customFormat="1" ht="17.5" outlineLevel="1">
      <c r="A20" s="29"/>
      <c r="B20" s="165"/>
      <c r="C20" s="319" t="s">
        <v>568</v>
      </c>
      <c r="D20" s="25"/>
      <c r="E20" s="319" t="s">
        <v>406</v>
      </c>
      <c r="F20" s="59" cm="1">
        <f t="array" ref="F20">INDEX(energiedragers_EP_CO2,MATCH($C20,energiedragers_EP_CO2_lijst,0)+1,MATCH($D$13,energiedragers_EP_CO2_titel,0))</f>
        <v>0.34</v>
      </c>
      <c r="G20" s="319" t="s">
        <v>569</v>
      </c>
      <c r="H20" s="14"/>
      <c r="I20" s="434"/>
      <c r="J20" s="435"/>
      <c r="K20" s="436"/>
      <c r="L20" s="434"/>
      <c r="M20" s="14"/>
      <c r="N20" s="18"/>
    </row>
    <row r="21" spans="1:14" s="190" customFormat="1" ht="17.5" outlineLevel="1">
      <c r="A21" s="29"/>
      <c r="B21" s="165"/>
      <c r="C21" s="319" t="s">
        <v>1720</v>
      </c>
      <c r="D21" s="433"/>
      <c r="E21" s="319" t="s">
        <v>469</v>
      </c>
      <c r="F21" s="142" cm="1">
        <f t="array" ref="F21">INDEX(energiedragers_EP_CO2,MATCH($C21,energiedragers_EP_CO2_lijst,0)+1,MATCH($D$13,energiedragers_EP_CO2_titel,0))</f>
        <v>0.17</v>
      </c>
      <c r="G21" s="319" t="s">
        <v>570</v>
      </c>
      <c r="H21" s="14"/>
      <c r="I21" s="434"/>
      <c r="J21" s="435"/>
      <c r="K21" s="436"/>
      <c r="L21" s="434"/>
      <c r="M21" s="14"/>
      <c r="N21" s="18"/>
    </row>
    <row r="22" spans="1:14" s="190" customFormat="1" ht="17.5" outlineLevel="1">
      <c r="A22" s="29"/>
      <c r="B22" s="165"/>
      <c r="C22" s="319" t="s">
        <v>571</v>
      </c>
      <c r="D22" s="24">
        <f>SUMPRODUCT(D19:D21,F19:F21)</f>
        <v>0</v>
      </c>
      <c r="E22" s="319" t="s">
        <v>468</v>
      </c>
      <c r="F22" s="142">
        <f>IFERROR(D22/$D$15,0)</f>
        <v>0</v>
      </c>
      <c r="G22" s="319" t="s">
        <v>552</v>
      </c>
      <c r="H22" s="14"/>
      <c r="I22" s="25"/>
      <c r="J22" s="319" t="s">
        <v>468</v>
      </c>
      <c r="K22" s="142">
        <f>IFERROR(I22/$D$15,0)</f>
        <v>0</v>
      </c>
      <c r="L22" s="319" t="s">
        <v>552</v>
      </c>
      <c r="M22" s="14"/>
      <c r="N22" s="18"/>
    </row>
    <row r="23" spans="1:14" s="190" customFormat="1" ht="17.5" outlineLevel="1">
      <c r="A23" s="29"/>
      <c r="B23" s="165"/>
      <c r="C23" s="319" t="s">
        <v>572</v>
      </c>
      <c r="D23" s="319"/>
      <c r="E23" s="319"/>
      <c r="F23" s="319"/>
      <c r="G23" s="319"/>
      <c r="H23" s="14"/>
      <c r="I23" s="434"/>
      <c r="J23" s="435"/>
      <c r="K23" s="436"/>
      <c r="L23" s="434"/>
      <c r="M23" s="14"/>
      <c r="N23" s="18"/>
    </row>
    <row r="24" spans="1:14" s="190" customFormat="1" ht="17.5" outlineLevel="1">
      <c r="A24" s="29"/>
      <c r="B24" s="184" t="s">
        <v>396</v>
      </c>
      <c r="C24" s="319" t="s">
        <v>573</v>
      </c>
      <c r="D24" s="142">
        <f>D21</f>
        <v>0</v>
      </c>
      <c r="E24" s="319" t="s">
        <v>469</v>
      </c>
      <c r="F24" s="25"/>
      <c r="G24" s="319" t="s">
        <v>570</v>
      </c>
      <c r="H24" s="14"/>
      <c r="I24" s="142">
        <f>D24</f>
        <v>0</v>
      </c>
      <c r="J24" s="319" t="s">
        <v>469</v>
      </c>
      <c r="K24" s="142">
        <f>F24</f>
        <v>0</v>
      </c>
      <c r="L24" s="319" t="s">
        <v>570</v>
      </c>
      <c r="M24" s="14"/>
      <c r="N24" s="18"/>
    </row>
    <row r="25" spans="1:14" s="190" customFormat="1" ht="17.5" outlineLevel="1">
      <c r="A25" s="29"/>
      <c r="B25" s="165"/>
      <c r="C25" s="319" t="s">
        <v>574</v>
      </c>
      <c r="D25" s="24">
        <f>D22-D24*($F$21-F24)</f>
        <v>0</v>
      </c>
      <c r="E25" s="319" t="s">
        <v>468</v>
      </c>
      <c r="F25" s="142">
        <f>IFERROR(D25/$D$15,0)</f>
        <v>0</v>
      </c>
      <c r="G25" s="319" t="s">
        <v>552</v>
      </c>
      <c r="H25" s="14"/>
      <c r="I25" s="24">
        <f>I22-I24*($F$21-K24)</f>
        <v>0</v>
      </c>
      <c r="J25" s="319" t="s">
        <v>468</v>
      </c>
      <c r="K25" s="142">
        <f>IFERROR(I25/$D$15,0)</f>
        <v>0</v>
      </c>
      <c r="L25" s="319" t="s">
        <v>552</v>
      </c>
      <c r="M25" s="14"/>
      <c r="N25" s="18"/>
    </row>
    <row r="26" spans="1:14" s="190" customFormat="1" ht="17.5" outlineLevel="1">
      <c r="A26" s="29"/>
      <c r="B26" s="165"/>
      <c r="C26" s="319" t="s">
        <v>572</v>
      </c>
      <c r="D26" s="88"/>
      <c r="E26" s="437"/>
      <c r="F26" s="144">
        <f>IF(D14=0,"",1-F25/D14)</f>
        <v>1</v>
      </c>
      <c r="G26" s="319"/>
      <c r="H26" s="14"/>
      <c r="I26" s="319"/>
      <c r="J26" s="319"/>
      <c r="K26" s="144">
        <f>IF(D14=0,"",1-K25/D14)</f>
        <v>1</v>
      </c>
      <c r="L26" s="319"/>
      <c r="M26" s="14"/>
      <c r="N26" s="18"/>
    </row>
    <row r="27" spans="1:14" s="18" customFormat="1" ht="17.5">
      <c r="A27" s="29"/>
      <c r="B27" s="14"/>
      <c r="C27" s="14"/>
      <c r="D27" s="14"/>
      <c r="E27" s="14"/>
      <c r="F27" s="14"/>
      <c r="G27" s="14"/>
      <c r="H27" s="14"/>
      <c r="I27" s="35"/>
      <c r="J27" s="35"/>
      <c r="K27" s="35"/>
      <c r="L27" s="35"/>
      <c r="M27" s="35"/>
    </row>
    <row r="28" spans="1:14" s="19" customFormat="1" ht="17.5" outlineLevel="1">
      <c r="A28" s="29"/>
      <c r="B28" s="184" t="s">
        <v>396</v>
      </c>
      <c r="C28" s="68" t="s">
        <v>575</v>
      </c>
      <c r="D28" s="68"/>
      <c r="E28" s="68"/>
      <c r="F28" s="14"/>
      <c r="G28" s="15"/>
      <c r="H28" s="14"/>
      <c r="I28" s="41"/>
      <c r="J28" s="14"/>
      <c r="K28" s="14"/>
      <c r="L28" s="14"/>
      <c r="M28" s="14"/>
      <c r="N28" s="18"/>
    </row>
    <row r="29" spans="1:14" s="449" customFormat="1" ht="17.5" outlineLevel="1">
      <c r="A29" s="448"/>
      <c r="B29" s="450"/>
      <c r="C29" s="451" t="s">
        <v>564</v>
      </c>
      <c r="D29" s="451"/>
      <c r="E29" s="451"/>
      <c r="F29" s="450"/>
      <c r="G29" s="452"/>
      <c r="H29" s="450"/>
      <c r="I29" s="453" t="s">
        <v>565</v>
      </c>
      <c r="J29" s="450"/>
      <c r="K29" s="450"/>
      <c r="L29" s="450"/>
      <c r="M29" s="450"/>
      <c r="N29" s="346"/>
    </row>
    <row r="30" spans="1:14" s="190" customFormat="1" ht="17.5" outlineLevel="1">
      <c r="A30" s="29"/>
      <c r="B30" s="165"/>
      <c r="C30" s="319" t="s">
        <v>566</v>
      </c>
      <c r="D30" s="433"/>
      <c r="E30" s="319" t="s">
        <v>576</v>
      </c>
      <c r="F30" s="59" cm="1">
        <f t="array" ref="F30">INDEX(energiedragers_EP_CO2,MATCH($C30,energiedragers_EP_CO2_lijst,0)+1,MATCH($D$13,energiedragers_EP_CO2_titel,0))</f>
        <v>0.183</v>
      </c>
      <c r="G30" s="319" t="s">
        <v>567</v>
      </c>
      <c r="H30" s="14"/>
      <c r="I30" s="434"/>
      <c r="J30" s="435"/>
      <c r="K30" s="436"/>
      <c r="L30" s="434"/>
      <c r="M30" s="14"/>
      <c r="N30" s="18"/>
    </row>
    <row r="31" spans="1:14" s="190" customFormat="1" ht="17.5" outlineLevel="1">
      <c r="A31" s="29"/>
      <c r="B31" s="165"/>
      <c r="C31" s="319" t="s">
        <v>568</v>
      </c>
      <c r="D31" s="433"/>
      <c r="E31" s="319" t="s">
        <v>330</v>
      </c>
      <c r="F31" s="59" cm="1">
        <f t="array" ref="F31">INDEX(energiedragers_EP_CO2,MATCH($C31,energiedragers_EP_CO2_lijst,0)+1,MATCH($D$13,energiedragers_EP_CO2_titel,0))</f>
        <v>0.34</v>
      </c>
      <c r="G31" s="319" t="s">
        <v>569</v>
      </c>
      <c r="H31" s="14"/>
      <c r="I31" s="434"/>
      <c r="J31" s="435"/>
      <c r="K31" s="436"/>
      <c r="L31" s="434"/>
      <c r="M31" s="14"/>
      <c r="N31" s="18"/>
    </row>
    <row r="32" spans="1:14" s="190" customFormat="1" ht="17.5" outlineLevel="1">
      <c r="A32" s="29"/>
      <c r="B32" s="165"/>
      <c r="C32" s="319" t="s">
        <v>1720</v>
      </c>
      <c r="D32" s="433"/>
      <c r="E32" s="319" t="s">
        <v>577</v>
      </c>
      <c r="F32" s="142" cm="1">
        <f t="array" ref="F32">INDEX(energiedragers_EP_CO2,MATCH($C32,energiedragers_EP_CO2_lijst,0)+1,MATCH($D$13,energiedragers_EP_CO2_titel,0))</f>
        <v>0.17</v>
      </c>
      <c r="G32" s="319" t="s">
        <v>570</v>
      </c>
      <c r="H32" s="14"/>
      <c r="I32" s="434"/>
      <c r="J32" s="435"/>
      <c r="K32" s="436"/>
      <c r="L32" s="434"/>
      <c r="M32" s="14"/>
      <c r="N32" s="18"/>
    </row>
    <row r="33" spans="1:14" s="190" customFormat="1" ht="17.5" outlineLevel="1">
      <c r="A33" s="29"/>
      <c r="B33" s="165"/>
      <c r="C33" s="319" t="s">
        <v>571</v>
      </c>
      <c r="D33" s="24">
        <f>SUMPRODUCT(D30:D32,F30:F32)*D15</f>
        <v>0</v>
      </c>
      <c r="E33" s="319" t="s">
        <v>468</v>
      </c>
      <c r="F33" s="142">
        <f>IFERROR(D33/$D$15,0)</f>
        <v>0</v>
      </c>
      <c r="G33" s="319" t="s">
        <v>552</v>
      </c>
      <c r="H33" s="14"/>
      <c r="I33" s="142">
        <f>K33*D15</f>
        <v>0</v>
      </c>
      <c r="J33" s="319" t="s">
        <v>468</v>
      </c>
      <c r="K33" s="433"/>
      <c r="L33" s="319" t="s">
        <v>552</v>
      </c>
      <c r="M33" s="14"/>
      <c r="N33" s="18"/>
    </row>
    <row r="34" spans="1:14" s="190" customFormat="1" ht="17.5" outlineLevel="1">
      <c r="A34" s="29"/>
      <c r="B34" s="165"/>
      <c r="C34" s="319" t="s">
        <v>572</v>
      </c>
      <c r="D34" s="319"/>
      <c r="E34" s="319"/>
      <c r="F34" s="319"/>
      <c r="G34" s="319"/>
      <c r="H34" s="14"/>
      <c r="I34" s="434"/>
      <c r="J34" s="435"/>
      <c r="K34" s="436"/>
      <c r="L34" s="434"/>
      <c r="M34" s="14"/>
      <c r="N34" s="18"/>
    </row>
    <row r="35" spans="1:14" s="190" customFormat="1" ht="17.5" outlineLevel="1">
      <c r="A35" s="29"/>
      <c r="B35" s="184" t="s">
        <v>396</v>
      </c>
      <c r="C35" s="319" t="s">
        <v>573</v>
      </c>
      <c r="D35" s="142">
        <f>D32</f>
        <v>0</v>
      </c>
      <c r="E35" s="319" t="s">
        <v>577</v>
      </c>
      <c r="F35" s="25"/>
      <c r="G35" s="319" t="s">
        <v>570</v>
      </c>
      <c r="H35" s="14"/>
      <c r="I35" s="142">
        <f>D35</f>
        <v>0</v>
      </c>
      <c r="J35" s="319" t="s">
        <v>469</v>
      </c>
      <c r="K35" s="142">
        <f>F35</f>
        <v>0</v>
      </c>
      <c r="L35" s="319" t="s">
        <v>570</v>
      </c>
      <c r="M35" s="14"/>
      <c r="N35" s="18"/>
    </row>
    <row r="36" spans="1:14" s="190" customFormat="1" ht="17.5" outlineLevel="1">
      <c r="A36" s="29"/>
      <c r="B36" s="165"/>
      <c r="C36" s="319" t="s">
        <v>574</v>
      </c>
      <c r="D36" s="24">
        <f>(D33-D35*$D$15*($F$32-F35))</f>
        <v>0</v>
      </c>
      <c r="E36" s="319" t="s">
        <v>468</v>
      </c>
      <c r="F36" s="142">
        <f>IFERROR(D36/$D$15,0)</f>
        <v>0</v>
      </c>
      <c r="G36" s="319" t="s">
        <v>552</v>
      </c>
      <c r="H36" s="14"/>
      <c r="I36" s="24">
        <f>(I33-I35*$D$15*($F$32-K35))</f>
        <v>0</v>
      </c>
      <c r="J36" s="319" t="s">
        <v>468</v>
      </c>
      <c r="K36" s="142">
        <f>IFERROR(I36/$D$15,0)</f>
        <v>0</v>
      </c>
      <c r="L36" s="319" t="s">
        <v>552</v>
      </c>
      <c r="M36" s="14"/>
      <c r="N36" s="18"/>
    </row>
    <row r="37" spans="1:14" s="190" customFormat="1" ht="17.5" outlineLevel="1">
      <c r="A37" s="29"/>
      <c r="B37" s="165"/>
      <c r="C37" s="319" t="s">
        <v>572</v>
      </c>
      <c r="D37" s="14"/>
      <c r="E37" s="14"/>
      <c r="F37" s="144">
        <f>IF(D14=0,"",1-F36/D14)</f>
        <v>1</v>
      </c>
      <c r="G37" s="319"/>
      <c r="H37" s="14"/>
      <c r="I37" s="319"/>
      <c r="J37" s="319"/>
      <c r="K37" s="144">
        <f>IF(D14=0,"",1-K36/D14)</f>
        <v>1</v>
      </c>
      <c r="L37" s="319"/>
      <c r="M37" s="14"/>
      <c r="N37" s="18"/>
    </row>
    <row r="38" spans="1:14" ht="17.5">
      <c r="A38" s="29"/>
      <c r="B38" s="14"/>
      <c r="C38" s="14"/>
      <c r="D38" s="14"/>
      <c r="E38" s="14"/>
      <c r="F38" s="14"/>
      <c r="G38" s="14"/>
      <c r="H38" s="14"/>
      <c r="I38" s="14"/>
      <c r="J38" s="35"/>
      <c r="K38" s="14"/>
      <c r="L38" s="14"/>
      <c r="M38" s="14"/>
      <c r="N38" s="18"/>
    </row>
    <row r="39" spans="1:14" s="29" customFormat="1" ht="17.5">
      <c r="B39" s="141" t="str">
        <f>"© W/E adviseurs, Utrecht/Eindhoven, versie rekenhulpmiddelen "&amp;TEXT(Wijzigingsblad!$B$3,"d mmmm jjjj")</f>
        <v>© W/E adviseurs, Utrecht/Eindhoven, versie rekenhulpmiddelen 17 april 2024</v>
      </c>
      <c r="C39" s="30"/>
      <c r="G39" s="30"/>
      <c r="H39" s="30"/>
    </row>
  </sheetData>
  <sheetProtection sheet="1" objects="1" scenarios="1" formatRows="0"/>
  <mergeCells count="8">
    <mergeCell ref="B3:C3"/>
    <mergeCell ref="D12:E12"/>
    <mergeCell ref="D13:E13"/>
    <mergeCell ref="D6:E6"/>
    <mergeCell ref="D7:E7"/>
    <mergeCell ref="D8:E8"/>
    <mergeCell ref="D9:E9"/>
    <mergeCell ref="D10:E10"/>
  </mergeCells>
  <dataValidations disablePrompts="1" count="8">
    <dataValidation type="list" allowBlank="1" showInputMessage="1" showErrorMessage="1" sqref="D12" xr:uid="{C0497953-4377-4069-9899-5B02612ABE3E}">
      <formula1>Gebruiksfuncties</formula1>
    </dataValidation>
    <dataValidation type="list" allowBlank="1" showInputMessage="1" showErrorMessage="1" sqref="D13" xr:uid="{F6E79497-C617-4827-8F30-5D9795DAB013}">
      <formula1>EP_methode</formula1>
    </dataValidation>
    <dataValidation allowBlank="1" showInputMessage="1" showErrorMessage="1" promptTitle="Doel rekenblad" prompt="Het rekenblad combineert de resultaten van maximaal 10 GPR berekeningen tot één gewogen resultaat. Dit is toepasbaar in de volgende situaties:         _x000a_1 Een gebouw bevat meerdere gebruiksfuncties. " sqref="F7" xr:uid="{A64BE5B1-4447-4DB6-B35B-F1E7142B7C11}"/>
    <dataValidation operator="greaterThanOrEqual" allowBlank="1" showInputMessage="1" showErrorMessage="1" sqref="I22:L22 I33:L33 F36:F37 I35:L37 I24:L26 F25:F26 G30:G37 F30:F34 D31 G19:G26 F19:F23 C30:C37 E30:E37 D33:D37 C19:C26 E19:E26 D22:D26 D20" xr:uid="{E75722AA-19DE-4722-AE94-22B3FF8FFEBC}"/>
    <dataValidation allowBlank="1" showInputMessage="1" showErrorMessage="1" promptTitle="Per vierkante meter" prompt="Het energielabel voor utiliteitsgebouwen vermeldt de finale energiegebruiken (meterstanden) voor gas, elektriciteit en warmte per vierkante meter gebruiksoppervlakte. " sqref="B28" xr:uid="{A33A1C87-26A6-4CAF-A946-9E26FED92593}"/>
    <dataValidation allowBlank="1" showInputMessage="1" showErrorMessage="1" promptTitle="Per gebouw" prompt="Deze sectie is te gebruiken als de finale energiegebruiken (meterstanden) bekend zijn voor het gebouw als geheel. " sqref="B17" xr:uid="{6E593F18-54A3-4BFF-913A-299D676D59E9}"/>
    <dataValidation allowBlank="1" showInputMessage="1" showErrorMessage="1" promptTitle="Eigen kental warmtelevering" prompt="Als voor een specifiek warmtenet bekend is wat de CO2-emissie is per geleverde eenheid warmte, kan dat kental hier ingevuld worden. Let op: kentallen zijn soms per GJ, soms per kWh. Invoer hier is per GJ._x000a_Zie www.bcrg.nl voor kwaliteitsverklaringen." sqref="B24 B35" xr:uid="{E6184500-46C8-40DC-90B1-D0FC0FBD75B0}"/>
    <dataValidation type="decimal" operator="greaterThanOrEqual" allowBlank="1" showInputMessage="1" showErrorMessage="1" sqref="F24 F35 D19 D21 D30 D32" xr:uid="{67FC8A73-17FE-467C-B0AC-C549328D0319}">
      <formula1>0</formula1>
    </dataValidation>
  </dataValidations>
  <hyperlinks>
    <hyperlink ref="A1" location="'Overzicht GPR Hulpmiddelen'!A1" tooltip="naar startscherm" display="&lt;" xr:uid="{64E8F776-068B-484B-8602-B21DB91CD7B5}"/>
  </hyperlinks>
  <pageMargins left="0.7" right="0.7" top="0.75" bottom="0.75" header="0.3" footer="0.3"/>
  <pageSetup paperSize="9" scale="54" orientation="portrait" horizontalDpi="4294967293"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62EFA-40B1-46AE-8045-C8A5F9D93902}">
  <sheetPr codeName="Blad25"/>
  <dimension ref="A1:S96"/>
  <sheetViews>
    <sheetView showGridLines="0" showRowColHeaders="0" zoomScaleNormal="100" workbookViewId="0">
      <pane xSplit="1" ySplit="3" topLeftCell="B4" activePane="bottomRight" state="frozen"/>
      <selection pane="topRight" activeCell="B1" sqref="B1"/>
      <selection pane="bottomLeft" activeCell="A4" sqref="A4"/>
      <selection pane="bottomRight" activeCell="D6" sqref="D6:E6"/>
    </sheetView>
  </sheetViews>
  <sheetFormatPr defaultColWidth="8.81640625" defaultRowHeight="19.5" outlineLevelRow="1"/>
  <cols>
    <col min="1" max="1" width="5.7265625" style="1596" customWidth="1"/>
    <col min="2" max="2" width="1.26953125" style="1535" customWidth="1"/>
    <col min="3" max="3" width="38.26953125" style="1535" customWidth="1"/>
    <col min="4" max="4" width="16.7265625" style="1535" customWidth="1"/>
    <col min="5" max="5" width="16.7265625" style="1645" customWidth="1"/>
    <col min="6" max="6" width="14.7265625" style="1535" customWidth="1"/>
    <col min="7" max="8" width="12.7265625" style="1535" customWidth="1"/>
    <col min="9" max="9" width="1.26953125" style="1535" customWidth="1"/>
    <col min="10" max="10" width="2.7265625" style="1535" customWidth="1"/>
    <col min="11" max="11" width="8.81640625" style="1535"/>
    <col min="12" max="16" width="6.26953125" style="1535" customWidth="1"/>
    <col min="17" max="17" width="1.7265625" style="1535" customWidth="1"/>
    <col min="18" max="19" width="8.81640625" style="1535"/>
    <col min="20" max="20" width="5.7265625" style="1535" customWidth="1"/>
    <col min="21" max="16384" width="8.81640625" style="1535"/>
  </cols>
  <sheetData>
    <row r="1" spans="1:16" s="18" customFormat="1" ht="32.25" customHeight="1">
      <c r="A1" s="192" t="s">
        <v>12</v>
      </c>
      <c r="B1" s="193"/>
      <c r="C1" s="194"/>
      <c r="D1" s="31"/>
      <c r="E1" s="31"/>
      <c r="F1" s="31"/>
      <c r="G1" s="21"/>
      <c r="H1" s="21"/>
      <c r="K1" s="157"/>
    </row>
    <row r="2" spans="1:16" s="172" customFormat="1" ht="21">
      <c r="A2" s="33"/>
      <c r="B2" s="28" t="s">
        <v>1845</v>
      </c>
      <c r="C2" s="32"/>
      <c r="D2" s="32"/>
      <c r="E2" s="32"/>
      <c r="F2" s="32"/>
      <c r="G2" s="32"/>
      <c r="H2" s="32"/>
      <c r="I2" s="32"/>
      <c r="J2" s="195"/>
      <c r="K2" s="196"/>
      <c r="L2" s="195"/>
      <c r="M2" s="195"/>
    </row>
    <row r="3" spans="1:16">
      <c r="B3" s="1537"/>
      <c r="C3" s="1537" t="s">
        <v>1792</v>
      </c>
      <c r="D3" s="1537"/>
      <c r="E3" s="1538"/>
      <c r="G3" s="1536"/>
      <c r="H3" s="1536"/>
      <c r="I3" s="1537"/>
    </row>
    <row r="4" spans="1:16">
      <c r="B4" s="1539"/>
      <c r="C4" s="1539" t="s">
        <v>1793</v>
      </c>
      <c r="D4" s="1539"/>
      <c r="E4" s="1540"/>
      <c r="F4" s="1541" t="s">
        <v>1794</v>
      </c>
      <c r="G4" s="1541" t="s">
        <v>1795</v>
      </c>
      <c r="H4" s="1541" t="s">
        <v>1391</v>
      </c>
      <c r="I4" s="1539"/>
    </row>
    <row r="5" spans="1:16" s="1547" customFormat="1" ht="4.5">
      <c r="B5" s="1542"/>
      <c r="C5" s="1543"/>
      <c r="D5" s="1543"/>
      <c r="E5" s="1544"/>
      <c r="F5" s="1545"/>
      <c r="G5" s="1545"/>
      <c r="H5" s="1545"/>
      <c r="I5" s="1546"/>
    </row>
    <row r="6" spans="1:16">
      <c r="B6" s="1548"/>
      <c r="C6" s="1549" t="s">
        <v>1796</v>
      </c>
      <c r="D6" s="1708">
        <v>2025</v>
      </c>
      <c r="E6" s="1708"/>
      <c r="F6" s="1550"/>
      <c r="G6" s="1550"/>
      <c r="H6" s="1550"/>
      <c r="I6" s="1551"/>
    </row>
    <row r="7" spans="1:16">
      <c r="B7" s="1548"/>
      <c r="C7" s="1549" t="s">
        <v>1797</v>
      </c>
      <c r="D7" s="1708" t="s">
        <v>1798</v>
      </c>
      <c r="E7" s="1708"/>
      <c r="F7" s="1550"/>
      <c r="G7" s="1550"/>
      <c r="H7" s="1550"/>
      <c r="I7" s="1551"/>
    </row>
    <row r="8" spans="1:16">
      <c r="B8" s="1548"/>
      <c r="C8" s="1549" t="s">
        <v>1799</v>
      </c>
      <c r="D8" s="1552">
        <v>87</v>
      </c>
      <c r="E8" s="1553">
        <v>99</v>
      </c>
      <c r="F8" s="1550"/>
      <c r="G8" s="1550"/>
      <c r="H8" s="1550"/>
      <c r="I8" s="1551"/>
    </row>
    <row r="9" spans="1:16">
      <c r="B9" s="1548"/>
      <c r="C9" s="1549" t="s">
        <v>1800</v>
      </c>
      <c r="D9" s="1709">
        <v>99</v>
      </c>
      <c r="E9" s="1709"/>
      <c r="F9" s="1550"/>
      <c r="G9" s="1550"/>
      <c r="H9" s="1550"/>
      <c r="I9" s="1551"/>
    </row>
    <row r="10" spans="1:16" s="1547" customFormat="1" ht="4.5">
      <c r="B10" s="1554"/>
      <c r="C10" s="1555"/>
      <c r="D10" s="1555"/>
      <c r="E10" s="1556"/>
      <c r="F10" s="1557"/>
      <c r="G10" s="1557"/>
      <c r="H10" s="1557"/>
      <c r="I10" s="1558"/>
    </row>
    <row r="11" spans="1:16" s="1562" customFormat="1" ht="9.5">
      <c r="B11" s="1559"/>
      <c r="C11" s="1559"/>
      <c r="D11" s="1559"/>
      <c r="E11" s="1560"/>
      <c r="F11" s="1561"/>
      <c r="G11" s="1561"/>
      <c r="H11" s="1561"/>
      <c r="I11" s="1559"/>
    </row>
    <row r="12" spans="1:16">
      <c r="B12" s="1563"/>
      <c r="C12" s="1563" t="s">
        <v>432</v>
      </c>
      <c r="D12" s="1563"/>
      <c r="E12" s="1564" t="s">
        <v>1801</v>
      </c>
      <c r="F12" s="1565">
        <f>H12/$D$8</f>
        <v>139.9655172413793</v>
      </c>
      <c r="G12" s="1566">
        <f>G15</f>
        <v>123</v>
      </c>
      <c r="H12" s="1566">
        <f>G15*E8</f>
        <v>12177</v>
      </c>
      <c r="I12" s="1563"/>
    </row>
    <row r="13" spans="1:16" s="1547" customFormat="1" ht="4.5">
      <c r="B13" s="1567"/>
      <c r="C13" s="1568"/>
      <c r="D13" s="1568"/>
      <c r="E13" s="1569"/>
      <c r="F13" s="1570"/>
      <c r="G13" s="1570"/>
      <c r="H13" s="1570"/>
      <c r="I13" s="1571"/>
    </row>
    <row r="14" spans="1:16">
      <c r="B14" s="1572"/>
      <c r="C14" s="1573" t="s">
        <v>1802</v>
      </c>
      <c r="D14" s="1573"/>
      <c r="E14" s="1574" t="s">
        <v>1801</v>
      </c>
      <c r="F14" s="1575">
        <f>H14/$D$8</f>
        <v>185.37038793103449</v>
      </c>
      <c r="G14" s="1575">
        <f>INDEX($F$91:$F$92,MATCH(D$7,$C$91:$C$92,0))*(1-$F$94)^($D$6-$F$93)</f>
        <v>162.90125</v>
      </c>
      <c r="H14" s="1575">
        <f>G14*$E$8</f>
        <v>16127.223750000001</v>
      </c>
      <c r="I14" s="1576"/>
      <c r="J14" s="1577"/>
      <c r="L14" s="1578" t="s">
        <v>1803</v>
      </c>
      <c r="M14" s="1579" t="s">
        <v>1804</v>
      </c>
      <c r="N14" s="1580" t="s">
        <v>1805</v>
      </c>
      <c r="O14" s="1581"/>
      <c r="P14" s="1582" t="s">
        <v>1806</v>
      </c>
    </row>
    <row r="15" spans="1:16">
      <c r="B15" s="1572"/>
      <c r="C15" s="1573" t="s">
        <v>1807</v>
      </c>
      <c r="D15" s="1573"/>
      <c r="E15" s="1574" t="s">
        <v>1801</v>
      </c>
      <c r="F15" s="1575">
        <f>H15/$D$8</f>
        <v>139.9655172413793</v>
      </c>
      <c r="G15" s="1583">
        <v>123</v>
      </c>
      <c r="H15" s="1575">
        <f>G15*$E$8</f>
        <v>12177</v>
      </c>
      <c r="I15" s="1576"/>
      <c r="J15" s="1577"/>
      <c r="L15" s="1584">
        <f>F15</f>
        <v>139.9655172413793</v>
      </c>
      <c r="M15" s="1585">
        <f ca="1">F18</f>
        <v>35.024904214559371</v>
      </c>
      <c r="N15" s="1586">
        <f ca="1">L15+M15</f>
        <v>174.99042145593867</v>
      </c>
      <c r="O15" s="1587"/>
      <c r="P15" s="1588">
        <f>F27</f>
        <v>-4.3356321839080456</v>
      </c>
    </row>
    <row r="16" spans="1:16" s="1547" customFormat="1" ht="4.5">
      <c r="B16" s="1589"/>
      <c r="C16" s="1590"/>
      <c r="D16" s="1590"/>
      <c r="E16" s="1591"/>
      <c r="F16" s="1592"/>
      <c r="G16" s="1592"/>
      <c r="H16" s="1592"/>
      <c r="I16" s="1593"/>
    </row>
    <row r="17" spans="1:19" s="1562" customFormat="1" ht="9.5">
      <c r="A17" s="1559"/>
      <c r="B17" s="1559"/>
      <c r="C17" s="1559"/>
      <c r="D17" s="1559"/>
      <c r="E17" s="1594"/>
      <c r="F17" s="1595"/>
      <c r="G17" s="1595"/>
      <c r="H17" s="1595"/>
      <c r="I17" s="1559"/>
    </row>
    <row r="18" spans="1:19">
      <c r="B18" s="1597"/>
      <c r="C18" s="1597" t="s">
        <v>8</v>
      </c>
      <c r="D18" s="1597"/>
      <c r="E18" s="1598" t="s">
        <v>1808</v>
      </c>
      <c r="F18" s="1599">
        <f ca="1">IFERROR(H18/$D$8,0)</f>
        <v>35.024904214559371</v>
      </c>
      <c r="G18" s="1600">
        <f ca="1">IFERROR($H18/$E$8,0)</f>
        <v>30.779461279461263</v>
      </c>
      <c r="H18" s="1600">
        <f ca="1">IFERROR($H$22*SUM(OFFSET($F$58,MATCH(D6,$C$58:$C$88,0)-1,0,15,1)),0)</f>
        <v>3047.1666666666652</v>
      </c>
      <c r="I18" s="1597"/>
    </row>
    <row r="19" spans="1:19" s="1547" customFormat="1" ht="4.5">
      <c r="B19" s="1601"/>
      <c r="C19" s="1602"/>
      <c r="D19" s="1602"/>
      <c r="E19" s="1603"/>
      <c r="F19" s="1604"/>
      <c r="G19" s="1604"/>
      <c r="H19" s="1604"/>
      <c r="I19" s="1605"/>
    </row>
    <row r="20" spans="1:19">
      <c r="B20" s="1606"/>
      <c r="C20" s="1607" t="s">
        <v>1809</v>
      </c>
      <c r="D20" s="1607"/>
      <c r="E20" s="1608" t="s">
        <v>1810</v>
      </c>
      <c r="F20" s="1609">
        <f>INDEX($E$91:$E$92,MATCH(D$7,$C$91:$C$92,0))*(1-$E$94)^($D$6-$E$93)</f>
        <v>30</v>
      </c>
      <c r="G20" s="1609">
        <f>H20/$E$8</f>
        <v>26.363636363636363</v>
      </c>
      <c r="H20" s="1609">
        <f>F20*$D$8</f>
        <v>2610</v>
      </c>
      <c r="I20" s="1610"/>
    </row>
    <row r="21" spans="1:19">
      <c r="B21" s="1606"/>
      <c r="C21" s="1607" t="s">
        <v>1811</v>
      </c>
      <c r="D21" s="1607"/>
      <c r="E21" s="1608" t="s">
        <v>1810</v>
      </c>
      <c r="F21" s="1611">
        <v>25</v>
      </c>
      <c r="G21" s="1609">
        <f t="shared" ref="G21:G22" si="0">H21/$E$8</f>
        <v>21.969696969696969</v>
      </c>
      <c r="H21" s="1609">
        <f>F21*$D$8</f>
        <v>2175</v>
      </c>
      <c r="I21" s="1610"/>
    </row>
    <row r="22" spans="1:19">
      <c r="B22" s="1606"/>
      <c r="C22" s="1607" t="s">
        <v>1812</v>
      </c>
      <c r="D22" s="1607"/>
      <c r="E22" s="1608" t="s">
        <v>1810</v>
      </c>
      <c r="F22" s="1609">
        <f>F21/$F$48</f>
        <v>17.241379310344829</v>
      </c>
      <c r="G22" s="1609">
        <f t="shared" si="0"/>
        <v>15.151515151515152</v>
      </c>
      <c r="H22" s="1609">
        <f t="shared" ref="H22" si="1">H21/$F$48</f>
        <v>1500</v>
      </c>
      <c r="I22" s="1610"/>
    </row>
    <row r="23" spans="1:19" s="1547" customFormat="1" ht="4.5">
      <c r="B23" s="1612"/>
      <c r="C23" s="1613"/>
      <c r="D23" s="1613"/>
      <c r="E23" s="1614"/>
      <c r="F23" s="1615"/>
      <c r="G23" s="1615"/>
      <c r="H23" s="1615"/>
      <c r="I23" s="1616"/>
    </row>
    <row r="24" spans="1:19" s="1562" customFormat="1" ht="9.5">
      <c r="A24" s="1559"/>
      <c r="B24" s="1559"/>
      <c r="C24" s="1559"/>
      <c r="D24" s="1559"/>
      <c r="E24" s="1594"/>
      <c r="F24" s="1595"/>
      <c r="G24" s="1595"/>
      <c r="H24" s="1595"/>
      <c r="I24" s="1559"/>
    </row>
    <row r="25" spans="1:19" ht="21" customHeight="1">
      <c r="B25" s="1617"/>
      <c r="C25" s="1617" t="s">
        <v>1813</v>
      </c>
      <c r="D25" s="1617"/>
      <c r="E25" s="1618" t="s">
        <v>1808</v>
      </c>
      <c r="F25" s="1619">
        <f ca="1">F12+F18</f>
        <v>174.99042145593867</v>
      </c>
      <c r="G25" s="1620">
        <f ca="1">G12+G18</f>
        <v>153.77946127946126</v>
      </c>
      <c r="H25" s="1620">
        <f ca="1">H12+H18</f>
        <v>15224.166666666664</v>
      </c>
      <c r="I25" s="1617"/>
      <c r="K25" s="1710"/>
      <c r="L25" s="1710"/>
      <c r="M25" s="1538"/>
      <c r="N25" s="1538"/>
      <c r="O25" s="1538"/>
      <c r="P25" s="1538"/>
      <c r="Q25" s="1538"/>
      <c r="R25" s="1538"/>
      <c r="S25" s="1538"/>
    </row>
    <row r="26" spans="1:19" s="1562" customFormat="1" ht="9.5">
      <c r="A26" s="1559"/>
      <c r="B26" s="1559"/>
      <c r="C26" s="1559"/>
      <c r="D26" s="1559"/>
      <c r="E26" s="1594"/>
      <c r="F26" s="1595"/>
      <c r="G26" s="1595"/>
      <c r="H26" s="1595"/>
      <c r="I26" s="1559"/>
      <c r="K26" s="1710"/>
      <c r="L26" s="1710"/>
      <c r="M26" s="1621"/>
      <c r="N26" s="1621"/>
      <c r="O26" s="1621"/>
      <c r="P26" s="1621"/>
      <c r="Q26" s="1621"/>
      <c r="R26" s="1621"/>
      <c r="S26" s="1621"/>
    </row>
    <row r="27" spans="1:19" s="1536" customFormat="1">
      <c r="A27" s="1596"/>
      <c r="B27" s="1622"/>
      <c r="C27" s="1622" t="s">
        <v>1814</v>
      </c>
      <c r="D27" s="1622"/>
      <c r="E27" s="1623" t="s">
        <v>1801</v>
      </c>
      <c r="F27" s="1624">
        <f>H27/$D$8</f>
        <v>-4.3356321839080456</v>
      </c>
      <c r="G27" s="1625">
        <f>IFERROR(H27/$E$8,0)</f>
        <v>-3.8101010101010098</v>
      </c>
      <c r="H27" s="1625">
        <f>-SUMPRODUCT($H$29:$H$31,$F$43:$F$45)*$F$54</f>
        <v>-377.2</v>
      </c>
      <c r="I27" s="1622"/>
      <c r="J27" s="1535"/>
      <c r="K27" s="1710"/>
      <c r="L27" s="1710"/>
      <c r="M27" s="1538"/>
      <c r="N27" s="1538"/>
      <c r="O27" s="1538"/>
      <c r="P27" s="1538"/>
      <c r="Q27" s="1538"/>
      <c r="R27" s="1538"/>
      <c r="S27" s="1538"/>
    </row>
    <row r="28" spans="1:19" s="1547" customFormat="1" ht="4.5">
      <c r="B28" s="1626"/>
      <c r="C28" s="1627"/>
      <c r="D28" s="1627"/>
      <c r="E28" s="1628"/>
      <c r="F28" s="1629"/>
      <c r="G28" s="1629"/>
      <c r="H28" s="1629"/>
      <c r="I28" s="1630"/>
      <c r="K28" s="1710"/>
      <c r="L28" s="1710"/>
    </row>
    <row r="29" spans="1:19" s="1536" customFormat="1">
      <c r="A29" s="1631"/>
      <c r="B29" s="1632"/>
      <c r="C29" s="1633" t="s">
        <v>1815</v>
      </c>
      <c r="D29" s="1634"/>
      <c r="E29" s="1635" t="s">
        <v>1816</v>
      </c>
      <c r="F29" s="1636"/>
      <c r="G29" s="1637"/>
      <c r="H29" s="1638">
        <v>100</v>
      </c>
      <c r="I29" s="1639"/>
    </row>
    <row r="30" spans="1:19" s="1536" customFormat="1">
      <c r="A30" s="1631"/>
      <c r="B30" s="1632"/>
      <c r="C30" s="1633" t="s">
        <v>1817</v>
      </c>
      <c r="D30" s="1634"/>
      <c r="E30" s="1635" t="s">
        <v>1816</v>
      </c>
      <c r="F30" s="1636"/>
      <c r="G30" s="1637"/>
      <c r="H30" s="1638">
        <v>100</v>
      </c>
      <c r="I30" s="1639"/>
    </row>
    <row r="31" spans="1:19" s="1536" customFormat="1">
      <c r="A31" s="1631"/>
      <c r="B31" s="1632"/>
      <c r="C31" s="1633" t="s">
        <v>1818</v>
      </c>
      <c r="D31" s="1634"/>
      <c r="E31" s="1635" t="s">
        <v>1816</v>
      </c>
      <c r="F31" s="1636"/>
      <c r="G31" s="1637"/>
      <c r="H31" s="1638">
        <v>100</v>
      </c>
      <c r="I31" s="1639"/>
    </row>
    <row r="32" spans="1:19" s="1547" customFormat="1" ht="4.5">
      <c r="B32" s="1640"/>
      <c r="C32" s="1641"/>
      <c r="D32" s="1641"/>
      <c r="E32" s="1642"/>
      <c r="F32" s="1643"/>
      <c r="G32" s="1643"/>
      <c r="H32" s="1643"/>
      <c r="I32" s="1644"/>
    </row>
    <row r="33" spans="1:14">
      <c r="L33" s="1536"/>
      <c r="M33" s="1536"/>
      <c r="N33" s="1536"/>
    </row>
    <row r="34" spans="1:14" s="1536" customFormat="1" ht="14.5">
      <c r="C34" s="1706" t="s">
        <v>1846</v>
      </c>
      <c r="D34" s="1707"/>
      <c r="E34" s="1707"/>
      <c r="F34" s="1707"/>
      <c r="G34" s="1707"/>
      <c r="H34" s="1707"/>
    </row>
    <row r="35" spans="1:14" s="1536" customFormat="1" ht="26">
      <c r="A35" s="1646"/>
      <c r="B35" s="1646"/>
      <c r="C35" s="1646"/>
    </row>
    <row r="36" spans="1:14" s="1536" customFormat="1" ht="26" hidden="1">
      <c r="A36" s="1646"/>
      <c r="B36" s="1646"/>
      <c r="C36" s="1646"/>
    </row>
    <row r="37" spans="1:14" hidden="1" outlineLevel="1">
      <c r="B37" s="1647"/>
      <c r="C37" s="1647" t="s">
        <v>1819</v>
      </c>
      <c r="D37" s="1647"/>
      <c r="I37" s="1647"/>
    </row>
    <row r="38" spans="1:14" hidden="1" outlineLevel="1">
      <c r="B38" s="1648"/>
      <c r="C38" s="1648" t="s">
        <v>1820</v>
      </c>
      <c r="D38" s="1648"/>
      <c r="I38" s="1648"/>
    </row>
    <row r="39" spans="1:14" hidden="1" outlineLevel="1">
      <c r="B39" s="1648"/>
      <c r="C39" s="1648" t="s">
        <v>1821</v>
      </c>
      <c r="D39" s="1648"/>
      <c r="I39" s="1648"/>
    </row>
    <row r="40" spans="1:14" hidden="1" outlineLevel="1">
      <c r="B40" s="1648"/>
      <c r="C40" s="1648" t="s">
        <v>1822</v>
      </c>
      <c r="D40" s="1648"/>
      <c r="I40" s="1648"/>
    </row>
    <row r="41" spans="1:14" hidden="1" outlineLevel="1"/>
    <row r="42" spans="1:14" s="1536" customFormat="1" hidden="1" outlineLevel="1">
      <c r="A42" s="1631"/>
      <c r="C42" s="1536" t="s">
        <v>1823</v>
      </c>
      <c r="E42" s="1538"/>
    </row>
    <row r="43" spans="1:14" s="1536" customFormat="1" hidden="1" outlineLevel="1">
      <c r="A43" s="1631"/>
      <c r="B43" s="1649"/>
      <c r="C43" s="1649" t="s">
        <v>1824</v>
      </c>
      <c r="D43" s="1649"/>
      <c r="E43" s="1650"/>
      <c r="F43" s="1651">
        <v>1</v>
      </c>
      <c r="G43" s="1652"/>
    </row>
    <row r="44" spans="1:14" s="1536" customFormat="1" hidden="1" outlineLevel="1">
      <c r="A44" s="1631"/>
      <c r="B44" s="1653"/>
      <c r="C44" s="1653" t="s">
        <v>1825</v>
      </c>
      <c r="D44" s="1653"/>
      <c r="E44" s="1654"/>
      <c r="F44" s="1651">
        <v>1</v>
      </c>
      <c r="G44" s="1652"/>
    </row>
    <row r="45" spans="1:14" s="1536" customFormat="1" hidden="1" outlineLevel="1">
      <c r="A45" s="1631"/>
      <c r="B45" s="1649"/>
      <c r="C45" s="1649" t="s">
        <v>1826</v>
      </c>
      <c r="D45" s="1649"/>
      <c r="E45" s="1650"/>
      <c r="F45" s="1651">
        <v>0.3</v>
      </c>
      <c r="G45" s="1652"/>
    </row>
    <row r="46" spans="1:14" s="1536" customFormat="1" hidden="1" outlineLevel="1">
      <c r="A46" s="1631"/>
      <c r="E46" s="1538"/>
    </row>
    <row r="47" spans="1:14" s="1536" customFormat="1" hidden="1" outlineLevel="1">
      <c r="A47" s="1631"/>
      <c r="C47" s="1536" t="s">
        <v>1827</v>
      </c>
      <c r="E47" s="1538"/>
    </row>
    <row r="48" spans="1:14" s="1536" customFormat="1" hidden="1" outlineLevel="1">
      <c r="A48" s="1631"/>
      <c r="B48" s="1649"/>
      <c r="C48" s="1649" t="s">
        <v>1828</v>
      </c>
      <c r="D48" s="1649"/>
      <c r="E48" s="1650"/>
      <c r="F48" s="1651">
        <v>1.45</v>
      </c>
    </row>
    <row r="49" spans="1:17" s="1536" customFormat="1" hidden="1" outlineLevel="1">
      <c r="A49" s="1631"/>
      <c r="E49" s="1538"/>
    </row>
    <row r="50" spans="1:17" s="1536" customFormat="1" hidden="1" outlineLevel="1">
      <c r="A50" s="1631"/>
      <c r="C50" s="1536" t="s">
        <v>1829</v>
      </c>
      <c r="E50" s="1538"/>
    </row>
    <row r="51" spans="1:17" s="1536" customFormat="1" hidden="1" outlineLevel="1">
      <c r="A51" s="1631"/>
    </row>
    <row r="52" spans="1:17" s="1536" customFormat="1" hidden="1" outlineLevel="1">
      <c r="A52" s="1631"/>
      <c r="E52" s="1538"/>
    </row>
    <row r="53" spans="1:17" s="1536" customFormat="1" hidden="1" outlineLevel="1">
      <c r="A53" s="1631"/>
      <c r="C53" s="1536" t="s">
        <v>1830</v>
      </c>
      <c r="E53" s="1538"/>
    </row>
    <row r="54" spans="1:17" s="1536" customFormat="1" hidden="1" outlineLevel="1">
      <c r="A54" s="1631"/>
      <c r="B54" s="1649"/>
      <c r="C54" s="1649" t="s">
        <v>1831</v>
      </c>
      <c r="D54" s="1649"/>
      <c r="E54" s="1650"/>
      <c r="F54" s="1651">
        <v>1.64</v>
      </c>
      <c r="M54" s="1655"/>
      <c r="N54" s="1655"/>
      <c r="O54" s="1656"/>
      <c r="P54" s="1655"/>
    </row>
    <row r="55" spans="1:17" hidden="1" outlineLevel="1">
      <c r="L55" s="1657"/>
      <c r="M55" s="1657"/>
      <c r="N55" s="1657"/>
      <c r="O55" s="1657"/>
      <c r="P55" s="1657"/>
      <c r="Q55" s="1658"/>
    </row>
    <row r="56" spans="1:17" hidden="1" outlineLevel="1">
      <c r="C56" s="1535" t="s">
        <v>1832</v>
      </c>
      <c r="Q56" s="1657"/>
    </row>
    <row r="57" spans="1:17" hidden="1" outlineLevel="1">
      <c r="B57" s="1659"/>
      <c r="C57" s="1660" t="s">
        <v>1833</v>
      </c>
      <c r="D57" s="1661" t="s">
        <v>1834</v>
      </c>
      <c r="E57" s="1662"/>
      <c r="F57" s="1663" t="s">
        <v>1835</v>
      </c>
      <c r="I57" s="1659"/>
    </row>
    <row r="58" spans="1:17" hidden="1" outlineLevel="1">
      <c r="B58" s="1659"/>
      <c r="C58" s="1659" t="s">
        <v>1836</v>
      </c>
      <c r="D58" s="1664" t="s">
        <v>1837</v>
      </c>
      <c r="E58" s="1664" t="s">
        <v>1838</v>
      </c>
      <c r="F58" s="1664" t="s">
        <v>1839</v>
      </c>
      <c r="I58" s="1659"/>
    </row>
    <row r="59" spans="1:17" hidden="1" outlineLevel="1">
      <c r="B59" s="1665"/>
      <c r="C59" s="1665">
        <v>2021</v>
      </c>
      <c r="D59" s="1666">
        <v>0.27</v>
      </c>
      <c r="E59" s="1667">
        <f>D59/$D$59</f>
        <v>1</v>
      </c>
      <c r="F59" s="1668">
        <v>0.38900000000000001</v>
      </c>
      <c r="I59" s="1665"/>
    </row>
    <row r="60" spans="1:17" hidden="1" outlineLevel="1">
      <c r="B60" s="1652"/>
      <c r="C60" s="1652">
        <v>2022</v>
      </c>
      <c r="D60" s="1655">
        <v>0.25</v>
      </c>
      <c r="E60" s="1669">
        <f t="shared" ref="E60:E88" si="2">D60/$D$59</f>
        <v>0.92592592592592582</v>
      </c>
      <c r="F60" s="1670">
        <f>E60*F$59</f>
        <v>0.36018518518518516</v>
      </c>
      <c r="I60" s="1652"/>
    </row>
    <row r="61" spans="1:17" hidden="1" outlineLevel="1">
      <c r="B61" s="1652"/>
      <c r="C61" s="1652">
        <v>2023</v>
      </c>
      <c r="D61" s="1655">
        <v>0.23</v>
      </c>
      <c r="E61" s="1669">
        <f t="shared" si="2"/>
        <v>0.85185185185185186</v>
      </c>
      <c r="F61" s="1670">
        <f t="shared" ref="F61:F88" si="3">E61*F$59</f>
        <v>0.33137037037037037</v>
      </c>
      <c r="I61" s="1652"/>
    </row>
    <row r="62" spans="1:17" hidden="1" outlineLevel="1">
      <c r="B62" s="1652"/>
      <c r="C62" s="1652">
        <v>2024</v>
      </c>
      <c r="D62" s="1655">
        <v>0.21</v>
      </c>
      <c r="E62" s="1669">
        <f t="shared" si="2"/>
        <v>0.77777777777777768</v>
      </c>
      <c r="F62" s="1670">
        <f t="shared" si="3"/>
        <v>0.30255555555555552</v>
      </c>
      <c r="I62" s="1652"/>
    </row>
    <row r="63" spans="1:17" hidden="1" outlineLevel="1">
      <c r="B63" s="1652"/>
      <c r="C63" s="1671">
        <v>2025</v>
      </c>
      <c r="D63" s="1672">
        <v>0.19</v>
      </c>
      <c r="E63" s="1673">
        <f t="shared" si="2"/>
        <v>0.70370370370370372</v>
      </c>
      <c r="F63" s="1674">
        <f t="shared" si="3"/>
        <v>0.27374074074074073</v>
      </c>
      <c r="I63" s="1652"/>
    </row>
    <row r="64" spans="1:17" hidden="1" outlineLevel="1">
      <c r="B64" s="1652"/>
      <c r="C64" s="1652">
        <v>2026</v>
      </c>
      <c r="D64" s="1655">
        <v>0.17</v>
      </c>
      <c r="E64" s="1673">
        <f t="shared" si="2"/>
        <v>0.62962962962962965</v>
      </c>
      <c r="F64" s="1674">
        <f t="shared" si="3"/>
        <v>0.24492592592592594</v>
      </c>
      <c r="I64" s="1652"/>
    </row>
    <row r="65" spans="2:9" hidden="1" outlineLevel="1">
      <c r="B65" s="1652"/>
      <c r="C65" s="1652">
        <v>2027</v>
      </c>
      <c r="D65" s="1655">
        <v>0.14000000000000001</v>
      </c>
      <c r="E65" s="1673">
        <f t="shared" si="2"/>
        <v>0.51851851851851849</v>
      </c>
      <c r="F65" s="1674">
        <f t="shared" si="3"/>
        <v>0.20170370370370369</v>
      </c>
      <c r="I65" s="1652"/>
    </row>
    <row r="66" spans="2:9" hidden="1" outlineLevel="1">
      <c r="B66" s="1652"/>
      <c r="C66" s="1652">
        <v>2028</v>
      </c>
      <c r="D66" s="1655">
        <v>0.12</v>
      </c>
      <c r="E66" s="1673">
        <f t="shared" si="2"/>
        <v>0.44444444444444442</v>
      </c>
      <c r="F66" s="1674">
        <f t="shared" si="3"/>
        <v>0.1728888888888889</v>
      </c>
      <c r="I66" s="1652"/>
    </row>
    <row r="67" spans="2:9" hidden="1" outlineLevel="1">
      <c r="B67" s="1652"/>
      <c r="C67" s="1652">
        <v>2029</v>
      </c>
      <c r="D67" s="1655">
        <v>0.09</v>
      </c>
      <c r="E67" s="1673">
        <f t="shared" si="2"/>
        <v>0.33333333333333331</v>
      </c>
      <c r="F67" s="1674">
        <f t="shared" si="3"/>
        <v>0.12966666666666665</v>
      </c>
      <c r="I67" s="1652"/>
    </row>
    <row r="68" spans="2:9" hidden="1" outlineLevel="1">
      <c r="B68" s="1652"/>
      <c r="C68" s="1671">
        <v>2030</v>
      </c>
      <c r="D68" s="1672">
        <v>7.0000000000000007E-2</v>
      </c>
      <c r="E68" s="1673">
        <f t="shared" si="2"/>
        <v>0.25925925925925924</v>
      </c>
      <c r="F68" s="1674">
        <f t="shared" si="3"/>
        <v>0.10085185185185185</v>
      </c>
      <c r="I68" s="1652"/>
    </row>
    <row r="69" spans="2:9" hidden="1" outlineLevel="1">
      <c r="B69" s="1652"/>
      <c r="C69" s="1652">
        <v>2031</v>
      </c>
      <c r="D69" s="1655">
        <v>7.0000000000000007E-2</v>
      </c>
      <c r="E69" s="1673">
        <f t="shared" si="2"/>
        <v>0.25925925925925924</v>
      </c>
      <c r="F69" s="1674">
        <f t="shared" si="3"/>
        <v>0.10085185185185185</v>
      </c>
      <c r="I69" s="1652"/>
    </row>
    <row r="70" spans="2:9" hidden="1" outlineLevel="1">
      <c r="B70" s="1652"/>
      <c r="C70" s="1652">
        <v>2032</v>
      </c>
      <c r="D70" s="1655">
        <v>7.0000000000000007E-2</v>
      </c>
      <c r="E70" s="1673">
        <f t="shared" si="2"/>
        <v>0.25925925925925924</v>
      </c>
      <c r="F70" s="1674">
        <f t="shared" si="3"/>
        <v>0.10085185185185185</v>
      </c>
      <c r="I70" s="1652"/>
    </row>
    <row r="71" spans="2:9" hidden="1" outlineLevel="1">
      <c r="B71" s="1652"/>
      <c r="C71" s="1652">
        <v>2033</v>
      </c>
      <c r="D71" s="1655">
        <v>7.0000000000000007E-2</v>
      </c>
      <c r="E71" s="1673">
        <f t="shared" si="2"/>
        <v>0.25925925925925924</v>
      </c>
      <c r="F71" s="1674">
        <f t="shared" si="3"/>
        <v>0.10085185185185185</v>
      </c>
      <c r="I71" s="1652"/>
    </row>
    <row r="72" spans="2:9" hidden="1" outlineLevel="1">
      <c r="B72" s="1652"/>
      <c r="C72" s="1652">
        <v>2034</v>
      </c>
      <c r="D72" s="1655">
        <v>7.0000000000000007E-2</v>
      </c>
      <c r="E72" s="1673">
        <f t="shared" si="2"/>
        <v>0.25925925925925924</v>
      </c>
      <c r="F72" s="1674">
        <f t="shared" si="3"/>
        <v>0.10085185185185185</v>
      </c>
      <c r="I72" s="1652"/>
    </row>
    <row r="73" spans="2:9" hidden="1" outlineLevel="1">
      <c r="B73" s="1652"/>
      <c r="C73" s="1652">
        <v>2035</v>
      </c>
      <c r="D73" s="1655">
        <v>7.0000000000000007E-2</v>
      </c>
      <c r="E73" s="1673">
        <f t="shared" si="2"/>
        <v>0.25925925925925924</v>
      </c>
      <c r="F73" s="1674">
        <f t="shared" si="3"/>
        <v>0.10085185185185185</v>
      </c>
      <c r="I73" s="1652"/>
    </row>
    <row r="74" spans="2:9" hidden="1" outlineLevel="1">
      <c r="B74" s="1652"/>
      <c r="C74" s="1652">
        <v>2036</v>
      </c>
      <c r="D74" s="1655">
        <v>7.0000000000000007E-2</v>
      </c>
      <c r="E74" s="1673">
        <f t="shared" si="2"/>
        <v>0.25925925925925924</v>
      </c>
      <c r="F74" s="1674">
        <f t="shared" si="3"/>
        <v>0.10085185185185185</v>
      </c>
      <c r="I74" s="1652"/>
    </row>
    <row r="75" spans="2:9" hidden="1" outlineLevel="1">
      <c r="B75" s="1652"/>
      <c r="C75" s="1652">
        <v>2037</v>
      </c>
      <c r="D75" s="1655">
        <v>7.0000000000000007E-2</v>
      </c>
      <c r="E75" s="1673">
        <f t="shared" si="2"/>
        <v>0.25925925925925924</v>
      </c>
      <c r="F75" s="1674">
        <f t="shared" si="3"/>
        <v>0.10085185185185185</v>
      </c>
      <c r="I75" s="1652"/>
    </row>
    <row r="76" spans="2:9" hidden="1" outlineLevel="1">
      <c r="B76" s="1652"/>
      <c r="C76" s="1652">
        <v>2038</v>
      </c>
      <c r="D76" s="1655">
        <v>7.0000000000000007E-2</v>
      </c>
      <c r="E76" s="1673">
        <f t="shared" si="2"/>
        <v>0.25925925925925924</v>
      </c>
      <c r="F76" s="1674">
        <f t="shared" si="3"/>
        <v>0.10085185185185185</v>
      </c>
      <c r="I76" s="1652"/>
    </row>
    <row r="77" spans="2:9" hidden="1" outlineLevel="1">
      <c r="B77" s="1652"/>
      <c r="C77" s="1652">
        <v>2039</v>
      </c>
      <c r="D77" s="1655">
        <v>7.0000000000000007E-2</v>
      </c>
      <c r="E77" s="1673">
        <f t="shared" si="2"/>
        <v>0.25925925925925924</v>
      </c>
      <c r="F77" s="1674">
        <f t="shared" si="3"/>
        <v>0.10085185185185185</v>
      </c>
      <c r="I77" s="1652"/>
    </row>
    <row r="78" spans="2:9" hidden="1" outlineLevel="1">
      <c r="B78" s="1652"/>
      <c r="C78" s="1671">
        <v>2040</v>
      </c>
      <c r="D78" s="1672">
        <v>7.0000000000000007E-2</v>
      </c>
      <c r="E78" s="1673">
        <f t="shared" si="2"/>
        <v>0.25925925925925924</v>
      </c>
      <c r="F78" s="1674">
        <f t="shared" si="3"/>
        <v>0.10085185185185185</v>
      </c>
      <c r="I78" s="1652"/>
    </row>
    <row r="79" spans="2:9" hidden="1" outlineLevel="1">
      <c r="B79" s="1652"/>
      <c r="C79" s="1652">
        <v>2041</v>
      </c>
      <c r="D79" s="1655">
        <v>7.0000000000000007E-2</v>
      </c>
      <c r="E79" s="1669">
        <f t="shared" si="2"/>
        <v>0.25925925925925924</v>
      </c>
      <c r="F79" s="1670">
        <f t="shared" si="3"/>
        <v>0.10085185185185185</v>
      </c>
      <c r="I79" s="1652"/>
    </row>
    <row r="80" spans="2:9" hidden="1" outlineLevel="1">
      <c r="B80" s="1652"/>
      <c r="C80" s="1652">
        <v>2042</v>
      </c>
      <c r="D80" s="1655">
        <v>7.0000000000000007E-2</v>
      </c>
      <c r="E80" s="1669">
        <f t="shared" si="2"/>
        <v>0.25925925925925924</v>
      </c>
      <c r="F80" s="1670">
        <f t="shared" si="3"/>
        <v>0.10085185185185185</v>
      </c>
      <c r="I80" s="1652"/>
    </row>
    <row r="81" spans="2:9" hidden="1" outlineLevel="1">
      <c r="B81" s="1652"/>
      <c r="C81" s="1652">
        <v>2043</v>
      </c>
      <c r="D81" s="1655">
        <v>7.0000000000000007E-2</v>
      </c>
      <c r="E81" s="1669">
        <f t="shared" si="2"/>
        <v>0.25925925925925924</v>
      </c>
      <c r="F81" s="1670">
        <f t="shared" si="3"/>
        <v>0.10085185185185185</v>
      </c>
      <c r="I81" s="1652"/>
    </row>
    <row r="82" spans="2:9" hidden="1" outlineLevel="1">
      <c r="B82" s="1652"/>
      <c r="C82" s="1652">
        <v>2044</v>
      </c>
      <c r="D82" s="1655">
        <v>7.0000000000000007E-2</v>
      </c>
      <c r="E82" s="1669">
        <f t="shared" si="2"/>
        <v>0.25925925925925924</v>
      </c>
      <c r="F82" s="1670">
        <f t="shared" si="3"/>
        <v>0.10085185185185185</v>
      </c>
      <c r="I82" s="1652"/>
    </row>
    <row r="83" spans="2:9" hidden="1" outlineLevel="1">
      <c r="B83" s="1652"/>
      <c r="C83" s="1652">
        <v>2045</v>
      </c>
      <c r="D83" s="1655">
        <v>7.0000000000000007E-2</v>
      </c>
      <c r="E83" s="1669">
        <f t="shared" si="2"/>
        <v>0.25925925925925924</v>
      </c>
      <c r="F83" s="1670">
        <f t="shared" si="3"/>
        <v>0.10085185185185185</v>
      </c>
      <c r="I83" s="1652"/>
    </row>
    <row r="84" spans="2:9" hidden="1" outlineLevel="1">
      <c r="B84" s="1652"/>
      <c r="C84" s="1652">
        <v>2046</v>
      </c>
      <c r="D84" s="1655">
        <v>7.0000000000000007E-2</v>
      </c>
      <c r="E84" s="1669">
        <f t="shared" si="2"/>
        <v>0.25925925925925924</v>
      </c>
      <c r="F84" s="1670">
        <f t="shared" si="3"/>
        <v>0.10085185185185185</v>
      </c>
      <c r="I84" s="1652"/>
    </row>
    <row r="85" spans="2:9" hidden="1" outlineLevel="1">
      <c r="B85" s="1652"/>
      <c r="C85" s="1652">
        <v>2047</v>
      </c>
      <c r="D85" s="1655">
        <v>7.0000000000000007E-2</v>
      </c>
      <c r="E85" s="1669">
        <f t="shared" si="2"/>
        <v>0.25925925925925924</v>
      </c>
      <c r="F85" s="1670">
        <f t="shared" si="3"/>
        <v>0.10085185185185185</v>
      </c>
      <c r="I85" s="1652"/>
    </row>
    <row r="86" spans="2:9" hidden="1" outlineLevel="1">
      <c r="B86" s="1652"/>
      <c r="C86" s="1652">
        <v>2048</v>
      </c>
      <c r="D86" s="1655">
        <v>7.0000000000000007E-2</v>
      </c>
      <c r="E86" s="1669">
        <f t="shared" si="2"/>
        <v>0.25925925925925924</v>
      </c>
      <c r="F86" s="1670">
        <f t="shared" si="3"/>
        <v>0.10085185185185185</v>
      </c>
      <c r="I86" s="1652"/>
    </row>
    <row r="87" spans="2:9" hidden="1" outlineLevel="1">
      <c r="B87" s="1652"/>
      <c r="C87" s="1652">
        <v>2049</v>
      </c>
      <c r="D87" s="1655">
        <v>7.0000000000000007E-2</v>
      </c>
      <c r="E87" s="1669">
        <f t="shared" si="2"/>
        <v>0.25925925925925924</v>
      </c>
      <c r="F87" s="1670">
        <f t="shared" si="3"/>
        <v>0.10085185185185185</v>
      </c>
      <c r="I87" s="1652"/>
    </row>
    <row r="88" spans="2:9" hidden="1" outlineLevel="1">
      <c r="B88" s="1675"/>
      <c r="C88" s="1675">
        <v>2050</v>
      </c>
      <c r="D88" s="1676">
        <v>7.0000000000000007E-2</v>
      </c>
      <c r="E88" s="1677">
        <f t="shared" si="2"/>
        <v>0.25925925925925924</v>
      </c>
      <c r="F88" s="1678">
        <f t="shared" si="3"/>
        <v>0.10085185185185185</v>
      </c>
    </row>
    <row r="89" spans="2:9" hidden="1" outlineLevel="1"/>
    <row r="90" spans="2:9" hidden="1" outlineLevel="1">
      <c r="C90" s="1535" t="s">
        <v>1823</v>
      </c>
      <c r="E90" s="1679" t="s">
        <v>1840</v>
      </c>
      <c r="F90" s="1679" t="s">
        <v>1841</v>
      </c>
      <c r="G90" s="1679"/>
    </row>
    <row r="91" spans="2:9" hidden="1" outlineLevel="1">
      <c r="B91" s="1680"/>
      <c r="C91" s="1680" t="s">
        <v>1798</v>
      </c>
      <c r="D91" s="1680"/>
      <c r="E91" s="1681">
        <v>30</v>
      </c>
      <c r="F91" s="1681">
        <v>200</v>
      </c>
      <c r="G91" s="1682"/>
    </row>
    <row r="92" spans="2:9" hidden="1" outlineLevel="1">
      <c r="B92" s="1683"/>
      <c r="C92" s="1683" t="s">
        <v>1842</v>
      </c>
      <c r="D92" s="1683"/>
      <c r="E92" s="1681">
        <v>50</v>
      </c>
      <c r="F92" s="1681">
        <v>220</v>
      </c>
      <c r="G92" s="1682"/>
    </row>
    <row r="93" spans="2:9" hidden="1" outlineLevel="1">
      <c r="B93" s="1683"/>
      <c r="C93" s="1683" t="s">
        <v>1843</v>
      </c>
      <c r="D93" s="1683"/>
      <c r="E93" s="1681">
        <v>2021</v>
      </c>
      <c r="F93" s="1681">
        <v>2021</v>
      </c>
    </row>
    <row r="94" spans="2:9" hidden="1" outlineLevel="1">
      <c r="B94" s="1680"/>
      <c r="C94" s="1680" t="s">
        <v>1844</v>
      </c>
      <c r="D94" s="1680"/>
      <c r="E94" s="1684">
        <v>0</v>
      </c>
      <c r="F94" s="1684">
        <v>0.05</v>
      </c>
    </row>
    <row r="95" spans="2:9" hidden="1" collapsed="1"/>
    <row r="96" spans="2:9" hidden="1"/>
  </sheetData>
  <sheetProtection sheet="1" objects="1" scenarios="1" formatRows="0"/>
  <mergeCells count="6">
    <mergeCell ref="C34:H34"/>
    <mergeCell ref="D6:E6"/>
    <mergeCell ref="D7:E7"/>
    <mergeCell ref="D9:E9"/>
    <mergeCell ref="K25:L26"/>
    <mergeCell ref="K27:L28"/>
  </mergeCells>
  <dataValidations count="2">
    <dataValidation type="whole" allowBlank="1" showInputMessage="1" showErrorMessage="1" sqref="D6" xr:uid="{BBF3093F-B544-4B90-AB55-2BD77F766FED}">
      <formula1>2021</formula1>
      <formula2>2035</formula2>
    </dataValidation>
    <dataValidation type="list" allowBlank="1" showInputMessage="1" showErrorMessage="1" sqref="D7" xr:uid="{48395BC3-18B6-413D-89D9-42A25205E909}">
      <formula1>$C$91:$C$92</formula1>
    </dataValidation>
  </dataValidations>
  <hyperlinks>
    <hyperlink ref="C38" r:id="rId1" display="https://weadviseurs.sharepoint.com/:w:/r/sites/WE-TeamCOPI/Gedeelde documenten/2. MPG/Implementatie/32357 Reductiepaden nieuwbouw tot 2035/32357-Fase 1 Sturing op CO2-uitstoot/Paris Proof Integraal - versie 0.9_rWE (19dec2023).docx?d=w4afee0342a76450e8f4c55ae08c1a878&amp;csf=1&amp;web=1&amp;e=mcnk9r" xr:uid="{9117EC7A-D025-446C-8A37-94263B52311B}"/>
    <hyperlink ref="C39" r:id="rId2" display="../../../../../../../:w:/r/sites/WE-TeamCOPI/Gedeelde documenten/2. MPG/Implementatie/32357 Reductiepaden nieuwbouw tot 2035/32357-Fase 1 Sturing op CO2-uitstoot/Protocol Paris Proof Integraal.docx?d=weba79577550241e19ba7f11c0578e5c9&amp;csf=1&amp;web=1&amp;e=B4OUoS" xr:uid="{EB879CB4-487C-4300-A004-7B2A369E7914}"/>
    <hyperlink ref="C40" r:id="rId3" display="../../../../../../../:p:/r/sites/WEKennisInnovatie/Gedeelde documenten/WE Academie/WE academie/2023 12 18 Paris Proof/WE lunchlezing 18dec2023 Sturen op CO2 (nieuwbouw).pptx?d=w8cc9a399af1349b5836b79b88de01473&amp;csf=1&amp;web=1&amp;e=JjLUfV" xr:uid="{E36BE0A9-DA16-4D9A-A079-29818E38FE7E}"/>
    <hyperlink ref="A1" location="'Overzicht GPR Hulpmiddelen'!A1" tooltip="naar startscherm" display="&lt;" xr:uid="{BE7A4B32-E682-48D7-AC1A-23BD7BDDAADA}"/>
    <hyperlink ref="C34" r:id="rId4" xr:uid="{A40273C0-DA7E-498A-9B9F-E1746D53C3D8}"/>
  </hyperlinks>
  <pageMargins left="0.7" right="0.7" top="0.75" bottom="0.75" header="0.3" footer="0.3"/>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38E47-49AC-4394-9A2E-79821DF02182}">
  <sheetPr codeName="Blad4">
    <tabColor theme="9"/>
  </sheetPr>
  <dimension ref="A1:W43"/>
  <sheetViews>
    <sheetView showGridLines="0" showRowColHeaders="0" tabSelected="1" zoomScaleNormal="100" workbookViewId="0">
      <pane xSplit="1" ySplit="3" topLeftCell="B15" activePane="bottomRight" state="frozen"/>
      <selection pane="topRight" activeCell="B1" sqref="B1"/>
      <selection pane="bottomLeft" activeCell="A4" sqref="A4"/>
      <selection pane="bottomRight" activeCell="D19" sqref="D19"/>
    </sheetView>
  </sheetViews>
  <sheetFormatPr defaultColWidth="9.1796875" defaultRowHeight="11"/>
  <cols>
    <col min="1" max="1" width="9.1796875" style="187"/>
    <col min="2" max="2" width="2.7265625" style="187" customWidth="1"/>
    <col min="3" max="3" width="33.453125" style="187" customWidth="1"/>
    <col min="4" max="4" width="12.26953125" style="188" bestFit="1" customWidth="1"/>
    <col min="5" max="8" width="11" style="188" customWidth="1"/>
    <col min="9" max="10" width="9.1796875" style="187"/>
    <col min="11" max="11" width="13.453125" style="189" customWidth="1"/>
    <col min="12" max="12" width="16.81640625" style="189" customWidth="1"/>
    <col min="13" max="13" width="9.1796875" style="187" customWidth="1"/>
    <col min="14" max="14" width="3.81640625" style="187" customWidth="1"/>
    <col min="15" max="15" width="16.54296875" style="188" hidden="1" customWidth="1"/>
    <col min="16" max="16" width="16.81640625" style="188" hidden="1" customWidth="1"/>
    <col min="17" max="23" width="9.1796875" style="187" hidden="1" customWidth="1"/>
    <col min="24" max="24" width="9.1796875" style="187" customWidth="1"/>
    <col min="25" max="16384" width="9.1796875" style="187"/>
  </cols>
  <sheetData>
    <row r="1" spans="1:18" s="18" customFormat="1" ht="32.5">
      <c r="A1" s="192" t="s">
        <v>12</v>
      </c>
      <c r="B1" s="193"/>
      <c r="C1" s="194"/>
      <c r="D1" s="31"/>
      <c r="E1" s="31"/>
      <c r="F1" s="31"/>
      <c r="G1" s="21"/>
      <c r="J1" s="157"/>
      <c r="O1" s="21"/>
      <c r="P1" s="21"/>
    </row>
    <row r="2" spans="1:18" s="172" customFormat="1" ht="21">
      <c r="A2" s="33"/>
      <c r="B2" s="28" t="s">
        <v>578</v>
      </c>
      <c r="C2" s="32"/>
      <c r="D2" s="32"/>
      <c r="E2" s="32"/>
      <c r="F2" s="32"/>
      <c r="G2" s="32"/>
      <c r="H2" s="32"/>
      <c r="I2" s="195"/>
      <c r="J2" s="196"/>
      <c r="K2" s="195"/>
      <c r="L2" s="195"/>
      <c r="M2" s="195"/>
      <c r="N2" s="195"/>
      <c r="O2" s="219"/>
      <c r="P2" s="219"/>
      <c r="Q2" s="195"/>
    </row>
    <row r="3" spans="1:18" s="29" customFormat="1" ht="17.5">
      <c r="B3" s="1687">
        <v>45170</v>
      </c>
      <c r="C3" s="1688"/>
      <c r="O3" s="37"/>
      <c r="P3" s="37"/>
    </row>
    <row r="4" spans="1:18" s="18" customFormat="1" ht="17.5">
      <c r="A4" s="29"/>
      <c r="B4" s="14"/>
      <c r="C4" s="67"/>
      <c r="D4" s="67"/>
      <c r="E4" s="67"/>
      <c r="F4" s="14"/>
      <c r="G4" s="14"/>
      <c r="H4" s="14"/>
      <c r="I4" s="14"/>
      <c r="J4" s="14"/>
      <c r="K4" s="14"/>
      <c r="L4" s="14"/>
      <c r="M4" s="14"/>
      <c r="N4" s="14"/>
      <c r="O4" s="14"/>
      <c r="P4" s="14"/>
      <c r="Q4" s="14"/>
    </row>
    <row r="5" spans="1:18" s="19" customFormat="1" ht="17.5">
      <c r="A5" s="29"/>
      <c r="B5" s="14"/>
      <c r="C5" s="68" t="s">
        <v>3</v>
      </c>
      <c r="D5" s="68"/>
      <c r="E5" s="68"/>
      <c r="F5" s="14"/>
      <c r="G5" s="41" t="s">
        <v>485</v>
      </c>
      <c r="H5" s="14"/>
      <c r="I5" s="14"/>
      <c r="J5" s="14"/>
      <c r="K5" s="14"/>
      <c r="L5" s="14"/>
      <c r="M5" s="14"/>
      <c r="N5" s="14"/>
      <c r="O5" s="14"/>
      <c r="P5" s="14"/>
      <c r="Q5" s="14"/>
      <c r="R5" s="18"/>
    </row>
    <row r="6" spans="1:18" s="19" customFormat="1" ht="17.25" customHeight="1">
      <c r="A6" s="29"/>
      <c r="B6" s="14"/>
      <c r="C6" s="22" t="s">
        <v>4</v>
      </c>
      <c r="D6" s="1691"/>
      <c r="E6" s="1691"/>
      <c r="F6" s="208"/>
      <c r="G6" s="14"/>
      <c r="H6" s="14"/>
      <c r="I6" s="14"/>
      <c r="J6" s="14"/>
      <c r="K6" s="14"/>
      <c r="L6" s="14"/>
      <c r="M6" s="14"/>
      <c r="N6" s="14"/>
      <c r="O6" s="220" t="s">
        <v>579</v>
      </c>
      <c r="P6" s="14"/>
      <c r="Q6" s="14"/>
      <c r="R6" s="18"/>
    </row>
    <row r="7" spans="1:18" s="19" customFormat="1" ht="17.5">
      <c r="A7" s="29"/>
      <c r="B7" s="14"/>
      <c r="C7" s="22" t="s">
        <v>5</v>
      </c>
      <c r="D7" s="1691"/>
      <c r="E7" s="1691"/>
      <c r="F7" s="14"/>
      <c r="G7" s="14"/>
      <c r="H7" s="14"/>
      <c r="I7" s="14"/>
      <c r="J7" s="14"/>
      <c r="K7" s="14"/>
      <c r="L7" s="14"/>
      <c r="M7" s="14"/>
      <c r="N7" s="14"/>
      <c r="O7" s="220" t="s">
        <v>120</v>
      </c>
      <c r="P7" s="14"/>
      <c r="Q7" s="14"/>
      <c r="R7" s="18"/>
    </row>
    <row r="8" spans="1:18" s="19" customFormat="1" ht="17.5">
      <c r="A8" s="29"/>
      <c r="B8" s="14"/>
      <c r="C8" s="22" t="s">
        <v>6</v>
      </c>
      <c r="D8" s="1691"/>
      <c r="E8" s="1691"/>
      <c r="F8" s="14"/>
      <c r="G8" s="14"/>
      <c r="H8" s="14"/>
      <c r="I8" s="14"/>
      <c r="J8" s="14"/>
      <c r="K8" s="14"/>
      <c r="L8" s="14"/>
      <c r="M8" s="14"/>
      <c r="N8" s="14"/>
      <c r="O8" s="220" t="s">
        <v>580</v>
      </c>
      <c r="P8" s="14"/>
      <c r="Q8" s="14"/>
      <c r="R8" s="18"/>
    </row>
    <row r="9" spans="1:18" s="19" customFormat="1" ht="17.5">
      <c r="A9" s="29"/>
      <c r="B9" s="14"/>
      <c r="C9" s="22" t="s">
        <v>7</v>
      </c>
      <c r="D9" s="1699"/>
      <c r="E9" s="1699"/>
      <c r="F9" s="14"/>
      <c r="G9" s="14"/>
      <c r="H9" s="14"/>
      <c r="I9" s="14"/>
      <c r="J9" s="14"/>
      <c r="K9" s="14"/>
      <c r="L9" s="14"/>
      <c r="M9" s="14"/>
      <c r="N9" s="14"/>
      <c r="O9" s="14"/>
      <c r="P9" s="14"/>
      <c r="Q9" s="14"/>
      <c r="R9" s="18"/>
    </row>
    <row r="10" spans="1:18" s="19" customFormat="1" ht="17.5">
      <c r="A10" s="29"/>
      <c r="B10" s="14"/>
      <c r="C10" s="22" t="s">
        <v>488</v>
      </c>
      <c r="D10" s="1685"/>
      <c r="E10" s="1685"/>
      <c r="F10" s="14"/>
      <c r="G10" s="14"/>
      <c r="H10" s="14"/>
      <c r="I10" s="14"/>
      <c r="J10" s="14"/>
      <c r="K10" s="14"/>
      <c r="L10" s="14"/>
      <c r="M10" s="14"/>
      <c r="N10" s="14"/>
      <c r="O10" s="220" t="s">
        <v>581</v>
      </c>
      <c r="P10" s="220">
        <v>1</v>
      </c>
      <c r="Q10" s="14"/>
      <c r="R10" s="18"/>
    </row>
    <row r="11" spans="1:18" s="18" customFormat="1" ht="17.5">
      <c r="A11" s="29"/>
      <c r="B11" s="14"/>
      <c r="C11" s="14"/>
      <c r="D11" s="14"/>
      <c r="E11" s="14"/>
      <c r="F11" s="14"/>
      <c r="G11" s="14"/>
      <c r="H11" s="35"/>
      <c r="I11" s="35"/>
      <c r="J11" s="35"/>
      <c r="K11" s="35"/>
      <c r="L11" s="35"/>
      <c r="M11" s="35"/>
      <c r="N11" s="35"/>
      <c r="O11" s="135"/>
      <c r="P11" s="135"/>
      <c r="Q11" s="35"/>
    </row>
    <row r="12" spans="1:18" ht="17.5">
      <c r="A12" s="29"/>
      <c r="B12" s="14"/>
      <c r="C12" s="22" t="s">
        <v>558</v>
      </c>
      <c r="D12" s="1685" t="s">
        <v>582</v>
      </c>
      <c r="E12" s="1685"/>
      <c r="F12" s="14"/>
      <c r="G12" s="14"/>
      <c r="H12" s="14"/>
      <c r="I12" s="467"/>
      <c r="J12" s="14"/>
      <c r="K12" s="14"/>
      <c r="L12" s="14"/>
      <c r="M12" s="14"/>
      <c r="N12" s="14"/>
      <c r="O12" s="220" t="s">
        <v>582</v>
      </c>
      <c r="P12" s="220" t="s">
        <v>583</v>
      </c>
      <c r="Q12" s="14"/>
      <c r="R12" s="18"/>
    </row>
    <row r="13" spans="1:18" s="18" customFormat="1" ht="17.5">
      <c r="A13" s="29"/>
      <c r="B13" s="14"/>
      <c r="C13" s="14"/>
      <c r="D13" s="14"/>
      <c r="E13" s="14"/>
      <c r="F13" s="14"/>
      <c r="G13" s="14"/>
      <c r="H13" s="35"/>
      <c r="I13" s="35"/>
      <c r="J13" s="14"/>
      <c r="K13" s="14"/>
      <c r="L13" s="14"/>
      <c r="M13" s="14"/>
      <c r="N13" s="35"/>
      <c r="O13" s="135"/>
      <c r="P13" s="135"/>
      <c r="Q13" s="35"/>
    </row>
    <row r="14" spans="1:18" s="190" customFormat="1" ht="17.5">
      <c r="A14" s="29"/>
      <c r="B14" s="14"/>
      <c r="C14" s="15" t="s">
        <v>584</v>
      </c>
      <c r="D14" s="15"/>
      <c r="E14" s="15"/>
      <c r="F14" s="15"/>
      <c r="G14" s="15"/>
      <c r="H14" s="15"/>
      <c r="I14" s="35"/>
      <c r="J14" s="14"/>
      <c r="K14" s="14"/>
      <c r="L14" s="14"/>
      <c r="M14" s="14"/>
      <c r="N14" s="35"/>
      <c r="O14" s="135"/>
      <c r="P14" s="135"/>
      <c r="Q14" s="35"/>
      <c r="R14" s="18"/>
    </row>
    <row r="15" spans="1:18" s="18" customFormat="1" ht="17.5">
      <c r="A15" s="29"/>
      <c r="B15" s="14"/>
      <c r="C15" s="14"/>
      <c r="D15" s="14"/>
      <c r="E15" s="14"/>
      <c r="F15" s="14"/>
      <c r="G15" s="14"/>
      <c r="H15" s="35"/>
      <c r="I15" s="35"/>
      <c r="J15" s="14"/>
      <c r="K15" s="14"/>
      <c r="L15" s="14"/>
      <c r="M15" s="14"/>
      <c r="N15" s="35"/>
      <c r="O15" s="135"/>
      <c r="P15" s="135"/>
      <c r="Q15" s="35"/>
    </row>
    <row r="16" spans="1:18" s="190" customFormat="1" ht="17.5">
      <c r="A16" s="29"/>
      <c r="B16" s="14"/>
      <c r="C16" s="57" t="s">
        <v>585</v>
      </c>
      <c r="D16" s="26" t="s">
        <v>586</v>
      </c>
      <c r="E16" s="26" t="s">
        <v>81</v>
      </c>
      <c r="F16" s="26" t="s">
        <v>587</v>
      </c>
      <c r="G16" s="26" t="s">
        <v>588</v>
      </c>
      <c r="H16" s="26" t="s">
        <v>589</v>
      </c>
      <c r="I16" s="57" t="s">
        <v>1727</v>
      </c>
      <c r="J16" s="57"/>
      <c r="K16" s="57"/>
      <c r="L16" s="57"/>
      <c r="M16" s="57"/>
      <c r="N16" s="14"/>
      <c r="O16" s="220"/>
      <c r="P16" s="220"/>
      <c r="Q16" s="14"/>
      <c r="R16" s="18"/>
    </row>
    <row r="17" spans="1:18" s="190" customFormat="1" ht="17.5">
      <c r="A17" s="29"/>
      <c r="B17" s="14"/>
      <c r="C17" s="202" t="s">
        <v>590</v>
      </c>
      <c r="D17" s="26"/>
      <c r="E17" s="26"/>
      <c r="F17" s="199">
        <f t="shared" ref="F17:F23" si="0">INDEX($O17:$P17,MATCH($D$12,$O$12:$P$12,0))</f>
        <v>0.5</v>
      </c>
      <c r="G17" s="26"/>
      <c r="H17" s="200">
        <f>SUM(H18+H21)</f>
        <v>0</v>
      </c>
      <c r="I17" s="35"/>
      <c r="J17" s="14"/>
      <c r="K17" s="14"/>
      <c r="L17" s="14"/>
      <c r="M17" s="14"/>
      <c r="N17" s="14"/>
      <c r="O17" s="221">
        <v>0.5</v>
      </c>
      <c r="P17" s="221">
        <v>0.5</v>
      </c>
      <c r="Q17" s="14"/>
      <c r="R17" s="18"/>
    </row>
    <row r="18" spans="1:18" s="190" customFormat="1" ht="17.5">
      <c r="A18" s="29"/>
      <c r="B18" s="14"/>
      <c r="C18" s="204" t="s">
        <v>591</v>
      </c>
      <c r="D18" s="26"/>
      <c r="E18" s="26"/>
      <c r="F18" s="199">
        <f t="shared" si="0"/>
        <v>0.6</v>
      </c>
      <c r="G18" s="26"/>
      <c r="H18" s="200">
        <f>SUM(H19:H20)</f>
        <v>0</v>
      </c>
      <c r="I18" s="35"/>
      <c r="J18" s="14"/>
      <c r="K18" s="14"/>
      <c r="L18" s="14"/>
      <c r="M18" s="14"/>
      <c r="N18" s="14"/>
      <c r="O18" s="221">
        <v>0.6</v>
      </c>
      <c r="P18" s="221">
        <v>0.5</v>
      </c>
      <c r="Q18" s="14"/>
      <c r="R18" s="18"/>
    </row>
    <row r="19" spans="1:18" s="190" customFormat="1" ht="17.5">
      <c r="A19" s="29"/>
      <c r="B19" s="14"/>
      <c r="C19" s="22" t="s">
        <v>592</v>
      </c>
      <c r="D19" s="201"/>
      <c r="E19" s="198">
        <f>IF(D19="uitmuntend",3,IF(D19="goed",1,0))</f>
        <v>0</v>
      </c>
      <c r="F19" s="197">
        <f t="shared" si="0"/>
        <v>0.7</v>
      </c>
      <c r="G19" s="197">
        <f>F19*$F$18*$F$17</f>
        <v>0.21</v>
      </c>
      <c r="H19" s="203">
        <f>E19/3*G19*$P$10</f>
        <v>0</v>
      </c>
      <c r="I19" s="1711"/>
      <c r="J19" s="1712"/>
      <c r="K19" s="1712"/>
      <c r="L19" s="1712"/>
      <c r="M19" s="1712"/>
      <c r="N19" s="14"/>
      <c r="O19" s="221">
        <v>0.7</v>
      </c>
      <c r="P19" s="221">
        <v>0.7</v>
      </c>
      <c r="Q19" s="14"/>
      <c r="R19" s="18"/>
    </row>
    <row r="20" spans="1:18" s="190" customFormat="1" ht="17.5">
      <c r="A20" s="29"/>
      <c r="B20" s="14"/>
      <c r="C20" s="22" t="s">
        <v>593</v>
      </c>
      <c r="D20" s="201"/>
      <c r="E20" s="198">
        <f>IF(D20="uitmuntend",3,IF(D20="goed",1,0))</f>
        <v>0</v>
      </c>
      <c r="F20" s="197">
        <f t="shared" si="0"/>
        <v>0.3</v>
      </c>
      <c r="G20" s="197">
        <f>F20*$F$18*$F$17</f>
        <v>0.09</v>
      </c>
      <c r="H20" s="203">
        <f>E20/3*G20*$P$10</f>
        <v>0</v>
      </c>
      <c r="I20" s="1711"/>
      <c r="J20" s="1712"/>
      <c r="K20" s="1712"/>
      <c r="L20" s="1712"/>
      <c r="M20" s="1712"/>
      <c r="N20" s="14"/>
      <c r="O20" s="221">
        <v>0.3</v>
      </c>
      <c r="P20" s="221">
        <v>0.3</v>
      </c>
      <c r="Q20" s="14"/>
      <c r="R20" s="18"/>
    </row>
    <row r="21" spans="1:18" ht="17.5">
      <c r="A21" s="29"/>
      <c r="B21" s="14"/>
      <c r="C21" s="204" t="s">
        <v>594</v>
      </c>
      <c r="D21" s="26"/>
      <c r="E21" s="26"/>
      <c r="F21" s="199">
        <f t="shared" si="0"/>
        <v>0.4</v>
      </c>
      <c r="G21" s="26"/>
      <c r="H21" s="200">
        <f>SUM(H22:H23)</f>
        <v>0</v>
      </c>
      <c r="I21" s="1470"/>
      <c r="J21" s="1471"/>
      <c r="K21" s="1471"/>
      <c r="L21" s="1471"/>
      <c r="M21" s="1471"/>
      <c r="N21" s="14"/>
      <c r="O21" s="221">
        <v>0.4</v>
      </c>
      <c r="P21" s="221">
        <v>0.5</v>
      </c>
      <c r="Q21" s="14"/>
      <c r="R21" s="18"/>
    </row>
    <row r="22" spans="1:18" s="190" customFormat="1" ht="17.5">
      <c r="A22" s="29"/>
      <c r="B22" s="14"/>
      <c r="C22" s="22" t="s">
        <v>595</v>
      </c>
      <c r="D22" s="201"/>
      <c r="E22" s="198">
        <f>IF(D22="uitmuntend",3,IF(D22="goed",1,0))</f>
        <v>0</v>
      </c>
      <c r="F22" s="197">
        <f t="shared" si="0"/>
        <v>0.8</v>
      </c>
      <c r="G22" s="197">
        <f>F22*$F$21*$F$17</f>
        <v>0.16000000000000003</v>
      </c>
      <c r="H22" s="203">
        <f>E22/3*G22*$P$10</f>
        <v>0</v>
      </c>
      <c r="I22" s="1711"/>
      <c r="J22" s="1712"/>
      <c r="K22" s="1712"/>
      <c r="L22" s="1712"/>
      <c r="M22" s="1712"/>
      <c r="N22" s="14"/>
      <c r="O22" s="221">
        <v>0.8</v>
      </c>
      <c r="P22" s="221">
        <v>0.5</v>
      </c>
      <c r="Q22" s="14"/>
      <c r="R22" s="18"/>
    </row>
    <row r="23" spans="1:18" s="190" customFormat="1" ht="17.5">
      <c r="A23" s="29"/>
      <c r="B23" s="14"/>
      <c r="C23" s="22" t="s">
        <v>596</v>
      </c>
      <c r="D23" s="201"/>
      <c r="E23" s="198">
        <f>IF(D23="uitmuntend",3,IF(D23="goed",1,0))</f>
        <v>0</v>
      </c>
      <c r="F23" s="197">
        <f t="shared" si="0"/>
        <v>0.2</v>
      </c>
      <c r="G23" s="197">
        <f>F23*$F$21*$F$17</f>
        <v>4.0000000000000008E-2</v>
      </c>
      <c r="H23" s="203">
        <f>E23/3*G23*$P$10</f>
        <v>0</v>
      </c>
      <c r="I23" s="1711"/>
      <c r="J23" s="1712"/>
      <c r="K23" s="1712"/>
      <c r="L23" s="1712"/>
      <c r="M23" s="1712"/>
      <c r="N23" s="14"/>
      <c r="O23" s="221">
        <v>0.2</v>
      </c>
      <c r="P23" s="221">
        <v>0.5</v>
      </c>
      <c r="Q23" s="14"/>
      <c r="R23" s="18"/>
    </row>
    <row r="24" spans="1:18" s="190" customFormat="1" ht="17.5">
      <c r="A24" s="29"/>
      <c r="B24" s="14"/>
      <c r="C24" s="202" t="s">
        <v>24</v>
      </c>
      <c r="D24" s="26"/>
      <c r="E24" s="26"/>
      <c r="F24" s="199">
        <f>1-F17</f>
        <v>0.5</v>
      </c>
      <c r="G24" s="26"/>
      <c r="H24" s="200">
        <f>SUM(H25+H29+H32)</f>
        <v>0</v>
      </c>
      <c r="I24" s="1470"/>
      <c r="J24" s="1471"/>
      <c r="K24" s="1471"/>
      <c r="L24" s="1471"/>
      <c r="M24" s="1471"/>
      <c r="N24" s="14"/>
      <c r="O24" s="221">
        <v>0.5</v>
      </c>
      <c r="P24" s="221">
        <v>0.5</v>
      </c>
      <c r="Q24" s="14"/>
      <c r="R24" s="18"/>
    </row>
    <row r="25" spans="1:18" ht="17.5">
      <c r="A25" s="29"/>
      <c r="B25" s="14"/>
      <c r="C25" s="204" t="s">
        <v>597</v>
      </c>
      <c r="D25" s="26"/>
      <c r="E25" s="26"/>
      <c r="F25" s="199">
        <f t="shared" ref="F25:F34" si="1">INDEX($O25:$P25,MATCH($D$12,$O$12:$P$12,0))</f>
        <v>0.2</v>
      </c>
      <c r="G25" s="26"/>
      <c r="H25" s="200">
        <f>SUM(H26:H28)</f>
        <v>0</v>
      </c>
      <c r="I25" s="1470"/>
      <c r="J25" s="1471"/>
      <c r="K25" s="1471"/>
      <c r="L25" s="1471"/>
      <c r="M25" s="1471"/>
      <c r="N25" s="14"/>
      <c r="O25" s="221">
        <v>0.2</v>
      </c>
      <c r="P25" s="221">
        <v>0.3</v>
      </c>
      <c r="Q25" s="14"/>
      <c r="R25" s="18"/>
    </row>
    <row r="26" spans="1:18" ht="17.5">
      <c r="A26" s="29"/>
      <c r="B26" s="14"/>
      <c r="C26" s="22" t="s">
        <v>598</v>
      </c>
      <c r="D26" s="201"/>
      <c r="E26" s="198">
        <f>IF(D26="uitmuntend",3,IF(D26="goed",1,0))</f>
        <v>0</v>
      </c>
      <c r="F26" s="197">
        <f t="shared" si="1"/>
        <v>0.8</v>
      </c>
      <c r="G26" s="197">
        <f>F26*$F$25*$F$24</f>
        <v>8.0000000000000016E-2</v>
      </c>
      <c r="H26" s="203">
        <f>E26/3*G26*$P$10</f>
        <v>0</v>
      </c>
      <c r="I26" s="1711"/>
      <c r="J26" s="1712"/>
      <c r="K26" s="1712"/>
      <c r="L26" s="1712"/>
      <c r="M26" s="1712"/>
      <c r="N26" s="14"/>
      <c r="O26" s="221">
        <v>0.8</v>
      </c>
      <c r="P26" s="221">
        <v>0.5</v>
      </c>
      <c r="Q26" s="14"/>
      <c r="R26" s="18"/>
    </row>
    <row r="27" spans="1:18" s="191" customFormat="1" ht="17.5">
      <c r="A27" s="29"/>
      <c r="B27" s="14"/>
      <c r="C27" s="22" t="s">
        <v>599</v>
      </c>
      <c r="D27" s="201"/>
      <c r="E27" s="198">
        <f>IF(D27="uitmuntend",3,IF(D27="goed",1,0))</f>
        <v>0</v>
      </c>
      <c r="F27" s="197">
        <f t="shared" si="1"/>
        <v>0.1</v>
      </c>
      <c r="G27" s="197">
        <f>F27*$F$25*$F$24</f>
        <v>1.0000000000000002E-2</v>
      </c>
      <c r="H27" s="203">
        <f>E27/3*G27*$P$10</f>
        <v>0</v>
      </c>
      <c r="I27" s="1711"/>
      <c r="J27" s="1712"/>
      <c r="K27" s="1712"/>
      <c r="L27" s="1712"/>
      <c r="M27" s="1712"/>
      <c r="N27" s="14"/>
      <c r="O27" s="221">
        <v>0.1</v>
      </c>
      <c r="P27" s="221">
        <v>0.4</v>
      </c>
      <c r="Q27" s="14"/>
      <c r="R27" s="18"/>
    </row>
    <row r="28" spans="1:18" ht="17.5">
      <c r="A28" s="29"/>
      <c r="B28" s="14"/>
      <c r="C28" s="22" t="s">
        <v>600</v>
      </c>
      <c r="D28" s="201"/>
      <c r="E28" s="198">
        <f>IF(D28="uitmuntend",3,IF(D28="goed",1,0))</f>
        <v>0</v>
      </c>
      <c r="F28" s="197">
        <f t="shared" si="1"/>
        <v>0.1</v>
      </c>
      <c r="G28" s="197">
        <f>F28*$F$25*$F$24</f>
        <v>1.0000000000000002E-2</v>
      </c>
      <c r="H28" s="203">
        <f>E28/3*G28*$P$10</f>
        <v>0</v>
      </c>
      <c r="I28" s="1711"/>
      <c r="J28" s="1712"/>
      <c r="K28" s="1712"/>
      <c r="L28" s="1712"/>
      <c r="M28" s="1712"/>
      <c r="N28" s="14"/>
      <c r="O28" s="221">
        <v>0.1</v>
      </c>
      <c r="P28" s="221">
        <v>0.1</v>
      </c>
      <c r="Q28" s="14"/>
      <c r="R28" s="18"/>
    </row>
    <row r="29" spans="1:18" ht="17.5">
      <c r="A29" s="29"/>
      <c r="B29" s="14"/>
      <c r="C29" s="204" t="s">
        <v>601</v>
      </c>
      <c r="D29" s="26"/>
      <c r="E29" s="26"/>
      <c r="F29" s="199">
        <f t="shared" si="1"/>
        <v>0.4</v>
      </c>
      <c r="G29" s="26"/>
      <c r="H29" s="200">
        <f>SUM(H30:H31)</f>
        <v>0</v>
      </c>
      <c r="I29" s="1470"/>
      <c r="J29" s="1471"/>
      <c r="K29" s="1471"/>
      <c r="L29" s="1471"/>
      <c r="M29" s="1471"/>
      <c r="N29" s="14"/>
      <c r="O29" s="221">
        <v>0.4</v>
      </c>
      <c r="P29" s="221">
        <v>0.4</v>
      </c>
      <c r="Q29" s="14"/>
      <c r="R29" s="18"/>
    </row>
    <row r="30" spans="1:18" ht="17.5">
      <c r="A30" s="29"/>
      <c r="B30" s="14"/>
      <c r="C30" s="22" t="s">
        <v>602</v>
      </c>
      <c r="D30" s="201"/>
      <c r="E30" s="198">
        <f>IF(D30="uitmuntend",3,IF(D30="goed",1,0))</f>
        <v>0</v>
      </c>
      <c r="F30" s="197">
        <f t="shared" si="1"/>
        <v>0.4</v>
      </c>
      <c r="G30" s="197">
        <f>F30*$F$29*$F$24</f>
        <v>8.0000000000000016E-2</v>
      </c>
      <c r="H30" s="203">
        <f>E30/3*G30*$P$10</f>
        <v>0</v>
      </c>
      <c r="I30" s="1711"/>
      <c r="J30" s="1712"/>
      <c r="K30" s="1712"/>
      <c r="L30" s="1712"/>
      <c r="M30" s="1712"/>
      <c r="N30" s="14"/>
      <c r="O30" s="221">
        <v>0.4</v>
      </c>
      <c r="P30" s="221">
        <v>0.5</v>
      </c>
      <c r="Q30" s="14"/>
      <c r="R30" s="18"/>
    </row>
    <row r="31" spans="1:18" ht="17.5">
      <c r="A31" s="29"/>
      <c r="B31" s="14"/>
      <c r="C31" s="22" t="s">
        <v>603</v>
      </c>
      <c r="D31" s="201"/>
      <c r="E31" s="198">
        <f>IF(D31="uitmuntend",3,IF(D31="goed",1,0))</f>
        <v>0</v>
      </c>
      <c r="F31" s="197">
        <f t="shared" si="1"/>
        <v>0.6</v>
      </c>
      <c r="G31" s="197">
        <f>F31*$F$29*$F$24</f>
        <v>0.12</v>
      </c>
      <c r="H31" s="203">
        <f>E31/3*G31*$P$10</f>
        <v>0</v>
      </c>
      <c r="I31" s="1711"/>
      <c r="J31" s="1712"/>
      <c r="K31" s="1712"/>
      <c r="L31" s="1712"/>
      <c r="M31" s="1712"/>
      <c r="N31" s="14"/>
      <c r="O31" s="221">
        <v>0.6</v>
      </c>
      <c r="P31" s="221">
        <v>0.5</v>
      </c>
      <c r="Q31" s="14"/>
      <c r="R31" s="18"/>
    </row>
    <row r="32" spans="1:18" ht="17.5">
      <c r="A32" s="29"/>
      <c r="B32" s="14"/>
      <c r="C32" s="204" t="s">
        <v>604</v>
      </c>
      <c r="D32" s="26"/>
      <c r="E32" s="26"/>
      <c r="F32" s="199">
        <f t="shared" si="1"/>
        <v>0.4</v>
      </c>
      <c r="G32" s="26"/>
      <c r="H32" s="200">
        <f>SUM(H33:H34)</f>
        <v>0</v>
      </c>
      <c r="I32" s="1470"/>
      <c r="J32" s="1471"/>
      <c r="K32" s="1471"/>
      <c r="L32" s="1471"/>
      <c r="M32" s="1471"/>
      <c r="N32" s="14"/>
      <c r="O32" s="221">
        <v>0.4</v>
      </c>
      <c r="P32" s="221">
        <v>0.3</v>
      </c>
      <c r="Q32" s="14"/>
      <c r="R32" s="18"/>
    </row>
    <row r="33" spans="1:18" ht="17.5">
      <c r="A33" s="29"/>
      <c r="B33" s="14"/>
      <c r="C33" s="22" t="s">
        <v>605</v>
      </c>
      <c r="D33" s="201"/>
      <c r="E33" s="198">
        <f>IF(D33="uitmuntend",3,IF(D33="goed",1,0))</f>
        <v>0</v>
      </c>
      <c r="F33" s="197">
        <f t="shared" si="1"/>
        <v>0.7</v>
      </c>
      <c r="G33" s="197">
        <f>F33*$F$32*$F$24</f>
        <v>0.13999999999999999</v>
      </c>
      <c r="H33" s="203">
        <f>E33/3*G33*$P$10</f>
        <v>0</v>
      </c>
      <c r="I33" s="1711"/>
      <c r="J33" s="1712"/>
      <c r="K33" s="1712"/>
      <c r="L33" s="1712"/>
      <c r="M33" s="1712"/>
      <c r="N33" s="14"/>
      <c r="O33" s="221">
        <v>0.7</v>
      </c>
      <c r="P33" s="221">
        <v>0.5</v>
      </c>
      <c r="Q33" s="14"/>
      <c r="R33" s="18"/>
    </row>
    <row r="34" spans="1:18" ht="17.5">
      <c r="A34" s="29"/>
      <c r="B34" s="14"/>
      <c r="C34" s="22" t="s">
        <v>606</v>
      </c>
      <c r="D34" s="201"/>
      <c r="E34" s="198">
        <f>IF(D34="uitmuntend",3,IF(D34="goed",1,0))</f>
        <v>0</v>
      </c>
      <c r="F34" s="197">
        <f t="shared" si="1"/>
        <v>0.3</v>
      </c>
      <c r="G34" s="197">
        <f>F34*$F$32*$F$24</f>
        <v>0.06</v>
      </c>
      <c r="H34" s="203">
        <f>E34/3*G34*$P$10</f>
        <v>0</v>
      </c>
      <c r="I34" s="1711"/>
      <c r="J34" s="1712"/>
      <c r="K34" s="1712"/>
      <c r="L34" s="1712"/>
      <c r="M34" s="1712"/>
      <c r="N34" s="14"/>
      <c r="O34" s="221">
        <v>0.3</v>
      </c>
      <c r="P34" s="221">
        <v>0.5</v>
      </c>
      <c r="Q34" s="14"/>
      <c r="R34" s="18"/>
    </row>
    <row r="35" spans="1:18" ht="17.5">
      <c r="A35" s="29"/>
      <c r="B35" s="14"/>
      <c r="C35" s="202" t="s">
        <v>607</v>
      </c>
      <c r="D35" s="26"/>
      <c r="E35" s="26"/>
      <c r="F35" s="199"/>
      <c r="G35" s="421" t="s">
        <v>608</v>
      </c>
      <c r="H35" s="200">
        <f>H17+H24</f>
        <v>0</v>
      </c>
      <c r="I35" s="35"/>
      <c r="J35" s="14"/>
      <c r="K35" s="14"/>
      <c r="L35" s="14"/>
      <c r="M35" s="14"/>
      <c r="N35" s="14"/>
      <c r="O35" s="14"/>
      <c r="P35" s="14"/>
      <c r="Q35" s="14"/>
      <c r="R35" s="18"/>
    </row>
    <row r="36" spans="1:18" s="18" customFormat="1" ht="17.5">
      <c r="A36" s="29"/>
      <c r="B36" s="14"/>
      <c r="C36" s="14"/>
      <c r="D36" s="14"/>
      <c r="E36" s="14"/>
      <c r="F36" s="14"/>
      <c r="G36" s="14"/>
      <c r="H36" s="35"/>
      <c r="I36" s="35"/>
      <c r="J36" s="14"/>
      <c r="K36" s="14"/>
      <c r="L36" s="14"/>
      <c r="M36" s="14"/>
      <c r="N36" s="14"/>
      <c r="O36" s="14"/>
      <c r="P36" s="14"/>
      <c r="Q36" s="14"/>
    </row>
    <row r="37" spans="1:18" s="190" customFormat="1" ht="17.5">
      <c r="A37" s="29"/>
      <c r="B37" s="14"/>
      <c r="C37" s="15" t="s">
        <v>609</v>
      </c>
      <c r="D37" s="15"/>
      <c r="E37" s="15"/>
      <c r="F37" s="15"/>
      <c r="G37" s="15"/>
      <c r="H37" s="15"/>
      <c r="I37" s="205"/>
      <c r="J37" s="14"/>
      <c r="K37" s="14"/>
      <c r="L37" s="14"/>
      <c r="M37" s="14"/>
      <c r="N37" s="14"/>
      <c r="O37" s="14"/>
      <c r="P37" s="14"/>
      <c r="Q37" s="14"/>
      <c r="R37" s="18"/>
    </row>
    <row r="38" spans="1:18" s="18" customFormat="1" ht="17.5">
      <c r="A38" s="29"/>
      <c r="B38" s="14"/>
      <c r="C38" s="14"/>
      <c r="D38" s="14"/>
      <c r="E38" s="14"/>
      <c r="F38" s="14"/>
      <c r="G38" s="14"/>
      <c r="H38" s="35"/>
      <c r="I38" s="35"/>
      <c r="J38" s="14"/>
      <c r="K38" s="14"/>
      <c r="L38" s="14"/>
      <c r="M38" s="14"/>
      <c r="N38" s="14"/>
      <c r="O38" s="14"/>
      <c r="P38" s="14"/>
      <c r="Q38" s="14"/>
    </row>
    <row r="39" spans="1:18" ht="17.5">
      <c r="A39" s="29"/>
      <c r="B39" s="14"/>
      <c r="C39" s="22" t="s">
        <v>610</v>
      </c>
      <c r="D39" s="198">
        <f>IF(D12=O12,75,50)</f>
        <v>75</v>
      </c>
      <c r="E39" s="209" t="s">
        <v>611</v>
      </c>
      <c r="F39" s="22"/>
      <c r="G39" s="22"/>
      <c r="H39" s="22"/>
      <c r="I39" s="35"/>
      <c r="J39" s="14"/>
      <c r="K39" s="14"/>
      <c r="L39" s="14"/>
      <c r="M39" s="14"/>
      <c r="N39" s="14"/>
      <c r="O39" s="14"/>
      <c r="P39" s="14"/>
      <c r="Q39" s="14"/>
      <c r="R39" s="18"/>
    </row>
    <row r="40" spans="1:18" ht="17.5">
      <c r="A40" s="29"/>
      <c r="B40" s="14"/>
      <c r="C40" s="22" t="s">
        <v>612</v>
      </c>
      <c r="D40" s="206">
        <f>ROUND(H35,2)</f>
        <v>0</v>
      </c>
      <c r="E40" s="209" t="s">
        <v>613</v>
      </c>
      <c r="F40" s="22"/>
      <c r="G40" s="22"/>
      <c r="H40" s="22"/>
      <c r="I40" s="35"/>
      <c r="J40" s="14"/>
      <c r="K40" s="14"/>
      <c r="L40" s="14"/>
      <c r="M40" s="14"/>
      <c r="N40" s="14"/>
      <c r="O40" s="14"/>
      <c r="P40" s="14"/>
      <c r="Q40" s="14"/>
      <c r="R40" s="18"/>
    </row>
    <row r="41" spans="1:18" ht="17.5">
      <c r="A41" s="29"/>
      <c r="B41" s="14"/>
      <c r="C41" s="22" t="s">
        <v>614</v>
      </c>
      <c r="D41" s="207">
        <f>ROUND(((1+D40)*D39),1)</f>
        <v>75</v>
      </c>
      <c r="E41" s="209" t="s">
        <v>615</v>
      </c>
      <c r="F41" s="22"/>
      <c r="G41" s="22"/>
      <c r="H41" s="22"/>
      <c r="I41" s="35"/>
      <c r="J41" s="14"/>
      <c r="K41" s="14"/>
      <c r="L41" s="14"/>
      <c r="M41" s="14"/>
      <c r="N41" s="14"/>
      <c r="O41" s="14"/>
      <c r="P41" s="14"/>
      <c r="Q41" s="14"/>
      <c r="R41" s="18"/>
    </row>
    <row r="42" spans="1:18" ht="17.5">
      <c r="A42" s="29"/>
      <c r="B42" s="14"/>
      <c r="C42" s="14"/>
      <c r="D42" s="14"/>
      <c r="E42" s="14"/>
      <c r="F42" s="14"/>
      <c r="G42" s="14"/>
      <c r="H42" s="14"/>
      <c r="I42" s="35"/>
      <c r="J42" s="14"/>
      <c r="K42" s="14"/>
      <c r="L42" s="14"/>
      <c r="M42" s="14"/>
      <c r="N42" s="14"/>
      <c r="O42" s="14"/>
      <c r="P42" s="14"/>
      <c r="Q42" s="14"/>
      <c r="R42" s="18"/>
    </row>
    <row r="43" spans="1:18" s="29" customFormat="1" ht="17.5">
      <c r="B43" s="141" t="str">
        <f>"© W/E adviseurs, Utrecht/Eindhoven, versie rekenhulpmiddelen "&amp;TEXT(Wijzigingsblad!$B$3,"d mmmm jjjj")</f>
        <v>© W/E adviseurs, Utrecht/Eindhoven, versie rekenhulpmiddelen 17 april 2024</v>
      </c>
      <c r="C43" s="30"/>
      <c r="G43" s="30"/>
    </row>
  </sheetData>
  <sheetProtection sheet="1" objects="1" scenarios="1"/>
  <mergeCells count="18">
    <mergeCell ref="B3:C3"/>
    <mergeCell ref="D12:E12"/>
    <mergeCell ref="D6:E6"/>
    <mergeCell ref="D7:E7"/>
    <mergeCell ref="D8:E8"/>
    <mergeCell ref="D9:E9"/>
    <mergeCell ref="D10:E10"/>
    <mergeCell ref="I19:M19"/>
    <mergeCell ref="I20:M20"/>
    <mergeCell ref="I22:M22"/>
    <mergeCell ref="I23:M23"/>
    <mergeCell ref="I26:M26"/>
    <mergeCell ref="I27:M27"/>
    <mergeCell ref="I28:M28"/>
    <mergeCell ref="I30:M30"/>
    <mergeCell ref="I31:M31"/>
    <mergeCell ref="I34:M34"/>
    <mergeCell ref="I33:M33"/>
  </mergeCells>
  <conditionalFormatting sqref="O6:O8">
    <cfRule type="expression" dxfId="81" priority="2">
      <formula>O6="#N/B"</formula>
    </cfRule>
  </conditionalFormatting>
  <conditionalFormatting sqref="O10:P10">
    <cfRule type="expression" dxfId="80" priority="1">
      <formula>O10="#N/B"</formula>
    </cfRule>
  </conditionalFormatting>
  <conditionalFormatting sqref="O12:P12">
    <cfRule type="expression" dxfId="79" priority="3">
      <formula>O12="#N/B"</formula>
    </cfRule>
  </conditionalFormatting>
  <conditionalFormatting sqref="O16:P34">
    <cfRule type="expression" dxfId="78" priority="4">
      <formula>O16="#N/B"</formula>
    </cfRule>
  </conditionalFormatting>
  <dataValidations count="3">
    <dataValidation allowBlank="1" showInputMessage="1" showErrorMessage="1" promptTitle="Doel rekenblad" prompt="Het rekenblad combineert de resultaten van maximaal 10 GPR berekeningen tot één gewogen resultaat. Dit is toepasbaar in de volgende situaties:         _x000a_1 Een gebouw bevat meerdere gebruiksfuncties. " sqref="F7" xr:uid="{3961CEF7-B38B-490E-ADC3-3E490DAF762C}"/>
    <dataValidation type="list" allowBlank="1" showInputMessage="1" showErrorMessage="1" sqref="D30:D31 D33:D34 D19:D20 D22:D23 D26:D28" xr:uid="{80B37F7D-E913-4D35-AA39-F9A0B3B5A04E}">
      <formula1>$O$6:$O$8</formula1>
    </dataValidation>
    <dataValidation type="list" allowBlank="1" showInputMessage="1" showErrorMessage="1" sqref="D12" xr:uid="{E7BF0464-6411-4D15-B13A-81672B2658DA}">
      <formula1>$O$12:$P$12</formula1>
    </dataValidation>
  </dataValidations>
  <hyperlinks>
    <hyperlink ref="A1" location="'Overzicht GPR Hulpmiddelen'!A1" tooltip="naar startscherm" display="&lt;" xr:uid="{96C8D6CF-7E0A-45C3-BEF1-8B2DC2B37513}"/>
  </hyperlinks>
  <pageMargins left="0.7" right="0.7" top="0.75" bottom="0.75" header="0.3" footer="0.3"/>
  <pageSetup paperSize="9" orientation="portrait" horizontalDpi="4294967293" r:id="rId1"/>
  <ignoredErrors>
    <ignoredError sqref="H21 H29 H32 F24" formula="1"/>
  </ignoredError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7C775-A19A-4CF9-8F3D-EFBE3E8CB2B0}">
  <sheetPr codeName="Blad18">
    <tabColor theme="9"/>
  </sheetPr>
  <dimension ref="A1:N114"/>
  <sheetViews>
    <sheetView showGridLines="0" showRowColHeaders="0" zoomScaleNormal="100" workbookViewId="0">
      <pane xSplit="1" ySplit="3" topLeftCell="B4" activePane="bottomRight" state="frozen"/>
      <selection pane="topRight" activeCell="B1" sqref="B1"/>
      <selection pane="bottomLeft" activeCell="A4" sqref="A4"/>
      <selection pane="bottomRight" activeCell="D10" sqref="D10:E10"/>
    </sheetView>
  </sheetViews>
  <sheetFormatPr defaultColWidth="9.1796875" defaultRowHeight="12.5"/>
  <cols>
    <col min="1" max="1" width="9.1796875" style="187"/>
    <col min="2" max="2" width="2.7265625" style="187" customWidth="1"/>
    <col min="3" max="3" width="20.26953125" style="187" customWidth="1"/>
    <col min="4" max="4" width="50.81640625" style="188" customWidth="1"/>
    <col min="5" max="8" width="8.7265625" style="188" customWidth="1"/>
    <col min="9" max="10" width="8.7265625" style="187" customWidth="1"/>
    <col min="11" max="12" width="8.7265625" style="189" customWidth="1"/>
    <col min="13" max="13" width="11.1796875" style="191" customWidth="1"/>
    <col min="14" max="20" width="9.1796875" style="187" customWidth="1"/>
    <col min="21" max="16384" width="9.1796875" style="187"/>
  </cols>
  <sheetData>
    <row r="1" spans="1:14" s="18" customFormat="1" ht="32.5">
      <c r="A1" s="192" t="s">
        <v>12</v>
      </c>
      <c r="B1" s="193"/>
      <c r="C1" s="194"/>
      <c r="D1" s="31"/>
      <c r="E1" s="31"/>
      <c r="F1" s="31"/>
      <c r="G1" s="21"/>
      <c r="J1" s="157"/>
      <c r="M1" s="472"/>
    </row>
    <row r="2" spans="1:14" s="172" customFormat="1" ht="21">
      <c r="A2" s="33"/>
      <c r="B2" s="28" t="s">
        <v>616</v>
      </c>
      <c r="C2" s="32"/>
      <c r="D2" s="32"/>
      <c r="E2" s="32"/>
      <c r="F2" s="32"/>
      <c r="G2" s="32"/>
      <c r="H2" s="32"/>
      <c r="I2" s="195"/>
      <c r="J2" s="196"/>
      <c r="K2" s="195"/>
      <c r="L2" s="195"/>
      <c r="M2" s="473"/>
    </row>
    <row r="3" spans="1:14" s="29" customFormat="1" ht="17.5">
      <c r="B3" s="1687">
        <v>45170</v>
      </c>
      <c r="C3" s="1688"/>
      <c r="D3" s="1713"/>
      <c r="M3" s="474"/>
    </row>
    <row r="4" spans="1:14" s="18" customFormat="1" ht="17.5">
      <c r="A4" s="29"/>
      <c r="B4" s="14"/>
      <c r="C4" s="67"/>
      <c r="D4" s="67"/>
      <c r="E4" s="67"/>
      <c r="F4" s="14"/>
      <c r="G4" s="14"/>
      <c r="H4" s="14"/>
      <c r="I4" s="14"/>
      <c r="J4" s="14"/>
      <c r="K4" s="14"/>
      <c r="L4" s="14"/>
      <c r="M4" s="41"/>
    </row>
    <row r="5" spans="1:14" s="19" customFormat="1" ht="17.5">
      <c r="A5" s="29"/>
      <c r="B5" s="14"/>
      <c r="C5" s="68" t="s">
        <v>3</v>
      </c>
      <c r="D5" s="68"/>
      <c r="E5" s="68"/>
      <c r="F5" s="14"/>
      <c r="G5" s="68" t="s">
        <v>485</v>
      </c>
      <c r="H5" s="14"/>
      <c r="I5" s="14"/>
      <c r="J5" s="14"/>
      <c r="K5" s="14"/>
      <c r="L5" s="14"/>
      <c r="M5" s="41"/>
      <c r="N5" s="18"/>
    </row>
    <row r="6" spans="1:14" s="19" customFormat="1" ht="17.25" customHeight="1">
      <c r="A6" s="29"/>
      <c r="B6" s="14"/>
      <c r="C6" s="22" t="s">
        <v>4</v>
      </c>
      <c r="D6" s="1691"/>
      <c r="E6" s="1691"/>
      <c r="F6" s="208"/>
      <c r="G6" s="14"/>
      <c r="H6" s="14"/>
      <c r="I6" s="14"/>
      <c r="J6" s="14"/>
      <c r="K6" s="14"/>
      <c r="L6" s="14"/>
      <c r="M6" s="41"/>
      <c r="N6" s="18"/>
    </row>
    <row r="7" spans="1:14" s="19" customFormat="1" ht="17.5">
      <c r="A7" s="29"/>
      <c r="B7" s="14"/>
      <c r="C7" s="22" t="s">
        <v>5</v>
      </c>
      <c r="D7" s="1691"/>
      <c r="E7" s="1691"/>
      <c r="F7" s="14"/>
      <c r="G7" s="14"/>
      <c r="H7" s="14"/>
      <c r="I7" s="14"/>
      <c r="J7" s="14"/>
      <c r="K7" s="14"/>
      <c r="L7" s="14"/>
      <c r="M7" s="41"/>
      <c r="N7" s="18"/>
    </row>
    <row r="8" spans="1:14" s="19" customFormat="1" ht="17.5">
      <c r="A8" s="29"/>
      <c r="B8" s="14"/>
      <c r="C8" s="22" t="s">
        <v>6</v>
      </c>
      <c r="D8" s="1691"/>
      <c r="E8" s="1691"/>
      <c r="F8" s="14"/>
      <c r="G8" s="14"/>
      <c r="H8" s="14"/>
      <c r="I8" s="14"/>
      <c r="J8" s="14"/>
      <c r="K8" s="14"/>
      <c r="L8" s="14"/>
      <c r="M8" s="41"/>
      <c r="N8" s="18"/>
    </row>
    <row r="9" spans="1:14" s="19" customFormat="1" ht="17.5">
      <c r="A9" s="29"/>
      <c r="B9" s="14"/>
      <c r="C9" s="22" t="s">
        <v>7</v>
      </c>
      <c r="D9" s="1699"/>
      <c r="E9" s="1699"/>
      <c r="F9" s="14"/>
      <c r="G9" s="14"/>
      <c r="H9" s="14"/>
      <c r="I9" s="14"/>
      <c r="J9" s="14"/>
      <c r="K9" s="14"/>
      <c r="L9" s="14"/>
      <c r="M9" s="41"/>
      <c r="N9" s="18"/>
    </row>
    <row r="10" spans="1:14" s="19" customFormat="1" ht="17.5">
      <c r="A10" s="29"/>
      <c r="B10" s="14"/>
      <c r="C10" s="22" t="s">
        <v>488</v>
      </c>
      <c r="D10" s="1685"/>
      <c r="E10" s="1685"/>
      <c r="F10" s="14"/>
      <c r="G10" s="14"/>
      <c r="H10" s="14"/>
      <c r="I10" s="14"/>
      <c r="J10" s="14"/>
      <c r="K10" s="14"/>
      <c r="L10" s="14"/>
      <c r="M10" s="41"/>
      <c r="N10" s="18"/>
    </row>
    <row r="11" spans="1:14" s="19" customFormat="1" ht="17.5">
      <c r="A11" s="29"/>
      <c r="B11" s="14"/>
      <c r="C11" s="14"/>
      <c r="D11" s="14"/>
      <c r="E11" s="14"/>
      <c r="F11" s="14"/>
      <c r="G11" s="14"/>
      <c r="H11" s="14"/>
      <c r="I11" s="14"/>
      <c r="J11" s="14"/>
      <c r="K11" s="14"/>
      <c r="L11" s="14"/>
      <c r="M11" s="41"/>
      <c r="N11" s="18"/>
    </row>
    <row r="12" spans="1:14" s="19" customFormat="1" ht="17.5">
      <c r="A12" s="29"/>
      <c r="B12" s="14"/>
      <c r="C12" s="14"/>
      <c r="D12" s="14"/>
      <c r="E12" s="14"/>
      <c r="F12" s="14"/>
      <c r="G12" s="14"/>
      <c r="H12" s="14"/>
      <c r="I12" s="14"/>
      <c r="J12" s="14"/>
      <c r="K12" s="14"/>
      <c r="L12" s="14"/>
      <c r="M12" s="41"/>
      <c r="N12" s="18"/>
    </row>
    <row r="13" spans="1:14" s="18" customFormat="1" ht="17.5">
      <c r="A13" s="29"/>
      <c r="B13" s="14"/>
      <c r="C13" s="14"/>
      <c r="D13" s="14"/>
      <c r="E13" s="14"/>
      <c r="F13" s="14"/>
      <c r="G13" s="14"/>
      <c r="H13" s="35"/>
      <c r="I13" s="35"/>
      <c r="J13" s="35"/>
      <c r="K13" s="35"/>
      <c r="L13" s="35"/>
      <c r="M13" s="475"/>
    </row>
    <row r="14" spans="1:14" ht="19.149999999999999" customHeight="1">
      <c r="A14" s="29"/>
      <c r="B14" s="14"/>
      <c r="C14" s="46" t="s">
        <v>617</v>
      </c>
      <c r="D14" s="46" t="s">
        <v>618</v>
      </c>
      <c r="E14" s="46" t="s">
        <v>619</v>
      </c>
      <c r="F14" s="24"/>
      <c r="G14" s="24"/>
      <c r="H14" s="24"/>
      <c r="I14" s="115"/>
      <c r="J14" s="48"/>
      <c r="K14" s="24"/>
      <c r="L14" s="24"/>
      <c r="M14" s="41"/>
      <c r="N14" s="18"/>
    </row>
    <row r="15" spans="1:14" ht="119.5" customHeight="1">
      <c r="A15" s="29"/>
      <c r="B15" s="14"/>
      <c r="C15" s="46"/>
      <c r="D15" s="46"/>
      <c r="E15" s="534" t="s">
        <v>620</v>
      </c>
      <c r="F15" s="534" t="s">
        <v>621</v>
      </c>
      <c r="G15" s="534" t="s">
        <v>622</v>
      </c>
      <c r="H15" s="534" t="s">
        <v>623</v>
      </c>
      <c r="I15" s="535" t="s">
        <v>624</v>
      </c>
      <c r="J15" s="534" t="s">
        <v>625</v>
      </c>
      <c r="K15" s="534" t="s">
        <v>626</v>
      </c>
      <c r="L15" s="534" t="s">
        <v>627</v>
      </c>
      <c r="M15" s="41"/>
      <c r="N15" s="18"/>
    </row>
    <row r="16" spans="1:14" ht="16.899999999999999" customHeight="1">
      <c r="A16" s="29"/>
      <c r="B16" s="468"/>
      <c r="C16" s="223" t="s">
        <v>628</v>
      </c>
      <c r="D16" s="223" t="s">
        <v>629</v>
      </c>
      <c r="E16" s="536"/>
      <c r="F16" s="536"/>
      <c r="G16" s="536"/>
      <c r="H16" s="536"/>
      <c r="I16" s="537"/>
      <c r="J16" s="536"/>
      <c r="K16" s="536"/>
      <c r="L16" s="536"/>
      <c r="M16" s="469"/>
      <c r="N16" s="18"/>
    </row>
    <row r="17" spans="1:14" s="18" customFormat="1" ht="16.899999999999999" customHeight="1">
      <c r="A17" s="29"/>
      <c r="B17" s="468"/>
      <c r="C17" s="46" t="s">
        <v>630</v>
      </c>
      <c r="D17" s="46" t="s">
        <v>631</v>
      </c>
      <c r="E17" s="48" t="s">
        <v>17</v>
      </c>
      <c r="F17" s="48" t="s">
        <v>17</v>
      </c>
      <c r="G17" s="538" t="s">
        <v>17</v>
      </c>
      <c r="H17" s="538" t="s">
        <v>17</v>
      </c>
      <c r="I17" s="538" t="s">
        <v>17</v>
      </c>
      <c r="J17" s="538" t="s">
        <v>17</v>
      </c>
      <c r="K17" s="538" t="s">
        <v>17</v>
      </c>
      <c r="L17" s="538" t="s">
        <v>17</v>
      </c>
      <c r="M17" s="470"/>
    </row>
    <row r="18" spans="1:14" s="426" customFormat="1" ht="16.899999999999999" customHeight="1">
      <c r="A18" s="422"/>
      <c r="B18" s="468"/>
      <c r="C18" s="46" t="s">
        <v>632</v>
      </c>
      <c r="D18" s="46" t="s">
        <v>633</v>
      </c>
      <c r="E18" s="48" t="s">
        <v>17</v>
      </c>
      <c r="F18" s="48" t="s">
        <v>17</v>
      </c>
      <c r="G18" s="538" t="s">
        <v>17</v>
      </c>
      <c r="H18" s="538" t="s">
        <v>17</v>
      </c>
      <c r="I18" s="538" t="s">
        <v>17</v>
      </c>
      <c r="J18" s="538" t="s">
        <v>17</v>
      </c>
      <c r="K18" s="538" t="s">
        <v>17</v>
      </c>
      <c r="L18" s="538" t="s">
        <v>17</v>
      </c>
      <c r="M18" s="471"/>
      <c r="N18" s="425"/>
    </row>
    <row r="19" spans="1:14" s="426" customFormat="1" ht="16.899999999999999" customHeight="1">
      <c r="A19" s="422"/>
      <c r="B19" s="468"/>
      <c r="C19" s="46" t="s">
        <v>634</v>
      </c>
      <c r="D19" s="46" t="s">
        <v>635</v>
      </c>
      <c r="E19" s="48" t="s">
        <v>17</v>
      </c>
      <c r="F19" s="48" t="s">
        <v>17</v>
      </c>
      <c r="G19" s="538" t="s">
        <v>17</v>
      </c>
      <c r="H19" s="538" t="s">
        <v>17</v>
      </c>
      <c r="I19" s="538" t="s">
        <v>17</v>
      </c>
      <c r="J19" s="538" t="s">
        <v>17</v>
      </c>
      <c r="K19" s="538" t="s">
        <v>17</v>
      </c>
      <c r="L19" s="538" t="s">
        <v>17</v>
      </c>
      <c r="M19" s="471"/>
      <c r="N19" s="425"/>
    </row>
    <row r="20" spans="1:14" s="426" customFormat="1" ht="16.899999999999999" customHeight="1">
      <c r="A20" s="422"/>
      <c r="B20" s="468"/>
      <c r="C20" s="46" t="s">
        <v>636</v>
      </c>
      <c r="D20" s="46" t="s">
        <v>637</v>
      </c>
      <c r="E20" s="48" t="s">
        <v>17</v>
      </c>
      <c r="F20" s="48" t="s">
        <v>17</v>
      </c>
      <c r="G20" s="538" t="s">
        <v>17</v>
      </c>
      <c r="H20" s="538" t="s">
        <v>17</v>
      </c>
      <c r="I20" s="538" t="s">
        <v>17</v>
      </c>
      <c r="J20" s="538" t="s">
        <v>17</v>
      </c>
      <c r="K20" s="538" t="s">
        <v>17</v>
      </c>
      <c r="L20" s="538" t="s">
        <v>17</v>
      </c>
      <c r="M20" s="471"/>
      <c r="N20" s="425"/>
    </row>
    <row r="21" spans="1:14" s="426" customFormat="1" ht="16.899999999999999" customHeight="1">
      <c r="A21" s="422"/>
      <c r="B21" s="468"/>
      <c r="C21" s="46" t="s">
        <v>638</v>
      </c>
      <c r="D21" s="46" t="s">
        <v>639</v>
      </c>
      <c r="E21" s="48" t="s">
        <v>17</v>
      </c>
      <c r="F21" s="48" t="s">
        <v>17</v>
      </c>
      <c r="G21" s="538" t="s">
        <v>17</v>
      </c>
      <c r="H21" s="538" t="s">
        <v>17</v>
      </c>
      <c r="I21" s="538" t="s">
        <v>17</v>
      </c>
      <c r="J21" s="538" t="s">
        <v>17</v>
      </c>
      <c r="K21" s="538" t="s">
        <v>17</v>
      </c>
      <c r="L21" s="538" t="s">
        <v>17</v>
      </c>
      <c r="M21" s="471"/>
      <c r="N21" s="425"/>
    </row>
    <row r="22" spans="1:14" s="190" customFormat="1" ht="16.899999999999999" customHeight="1">
      <c r="A22" s="29"/>
      <c r="B22" s="468"/>
      <c r="C22" s="46" t="s">
        <v>640</v>
      </c>
      <c r="D22" s="46" t="s">
        <v>641</v>
      </c>
      <c r="E22" s="48" t="s">
        <v>17</v>
      </c>
      <c r="F22" s="48" t="s">
        <v>17</v>
      </c>
      <c r="G22" s="538" t="s">
        <v>17</v>
      </c>
      <c r="H22" s="538" t="s">
        <v>17</v>
      </c>
      <c r="I22" s="538" t="s">
        <v>17</v>
      </c>
      <c r="J22" s="538" t="s">
        <v>17</v>
      </c>
      <c r="K22" s="538" t="s">
        <v>17</v>
      </c>
      <c r="L22" s="538" t="s">
        <v>17</v>
      </c>
      <c r="M22" s="469"/>
      <c r="N22" s="18"/>
    </row>
    <row r="23" spans="1:14" s="190" customFormat="1" ht="16.899999999999999" customHeight="1">
      <c r="A23" s="29"/>
      <c r="B23" s="468"/>
      <c r="C23" s="46" t="s">
        <v>642</v>
      </c>
      <c r="D23" s="46" t="s">
        <v>643</v>
      </c>
      <c r="E23" s="48" t="s">
        <v>17</v>
      </c>
      <c r="F23" s="48" t="s">
        <v>17</v>
      </c>
      <c r="G23" s="538" t="s">
        <v>17</v>
      </c>
      <c r="H23" s="538" t="s">
        <v>17</v>
      </c>
      <c r="I23" s="538" t="s">
        <v>17</v>
      </c>
      <c r="J23" s="538" t="s">
        <v>17</v>
      </c>
      <c r="K23" s="538" t="s">
        <v>17</v>
      </c>
      <c r="L23" s="538" t="s">
        <v>17</v>
      </c>
      <c r="M23" s="469"/>
      <c r="N23" s="18"/>
    </row>
    <row r="24" spans="1:14" s="190" customFormat="1" ht="16.899999999999999" customHeight="1">
      <c r="A24" s="29"/>
      <c r="B24" s="468"/>
      <c r="C24" s="223" t="s">
        <v>644</v>
      </c>
      <c r="D24" s="223" t="s">
        <v>645</v>
      </c>
      <c r="E24" s="223"/>
      <c r="F24" s="223"/>
      <c r="G24" s="1101"/>
      <c r="H24" s="223"/>
      <c r="I24" s="223"/>
      <c r="J24" s="223"/>
      <c r="K24" s="223"/>
      <c r="L24" s="223"/>
      <c r="M24" s="469"/>
      <c r="N24" s="18"/>
    </row>
    <row r="25" spans="1:14" s="190" customFormat="1" ht="16.899999999999999" customHeight="1">
      <c r="A25" s="29"/>
      <c r="B25" s="468"/>
      <c r="C25" s="46" t="s">
        <v>646</v>
      </c>
      <c r="D25" s="46" t="s">
        <v>647</v>
      </c>
      <c r="E25" s="48" t="s">
        <v>17</v>
      </c>
      <c r="F25" s="48" t="s">
        <v>17</v>
      </c>
      <c r="G25" s="538" t="s">
        <v>17</v>
      </c>
      <c r="H25" s="538" t="s">
        <v>17</v>
      </c>
      <c r="I25" s="538" t="s">
        <v>17</v>
      </c>
      <c r="J25" s="538" t="s">
        <v>17</v>
      </c>
      <c r="K25" s="538" t="s">
        <v>17</v>
      </c>
      <c r="L25" s="538" t="s">
        <v>17</v>
      </c>
      <c r="M25" s="469"/>
      <c r="N25" s="18"/>
    </row>
    <row r="26" spans="1:14" s="190" customFormat="1" ht="16.899999999999999" customHeight="1">
      <c r="A26" s="29"/>
      <c r="B26" s="468"/>
      <c r="C26" s="46" t="s">
        <v>648</v>
      </c>
      <c r="D26" s="46" t="s">
        <v>649</v>
      </c>
      <c r="E26" s="48" t="s">
        <v>17</v>
      </c>
      <c r="F26" s="48" t="s">
        <v>17</v>
      </c>
      <c r="G26" s="538" t="s">
        <v>17</v>
      </c>
      <c r="H26" s="538" t="s">
        <v>17</v>
      </c>
      <c r="I26" s="538" t="s">
        <v>17</v>
      </c>
      <c r="J26" s="538" t="s">
        <v>17</v>
      </c>
      <c r="K26" s="538" t="s">
        <v>17</v>
      </c>
      <c r="L26" s="538" t="s">
        <v>17</v>
      </c>
      <c r="M26" s="469"/>
      <c r="N26" s="18"/>
    </row>
    <row r="27" spans="1:14" s="190" customFormat="1" ht="16.899999999999999" customHeight="1">
      <c r="A27" s="29"/>
      <c r="B27" s="468"/>
      <c r="C27" s="46" t="s">
        <v>650</v>
      </c>
      <c r="D27" s="46" t="s">
        <v>651</v>
      </c>
      <c r="E27" s="48" t="s">
        <v>17</v>
      </c>
      <c r="F27" s="48" t="s">
        <v>17</v>
      </c>
      <c r="G27" s="538" t="s">
        <v>17</v>
      </c>
      <c r="H27" s="538" t="s">
        <v>17</v>
      </c>
      <c r="I27" s="538" t="s">
        <v>17</v>
      </c>
      <c r="J27" s="538" t="s">
        <v>17</v>
      </c>
      <c r="K27" s="538" t="s">
        <v>17</v>
      </c>
      <c r="L27" s="538" t="s">
        <v>17</v>
      </c>
      <c r="M27" s="469"/>
      <c r="N27" s="18"/>
    </row>
    <row r="28" spans="1:14" s="190" customFormat="1" ht="16.899999999999999" customHeight="1">
      <c r="A28" s="29"/>
      <c r="B28" s="468"/>
      <c r="C28" s="46" t="s">
        <v>652</v>
      </c>
      <c r="D28" s="46" t="s">
        <v>653</v>
      </c>
      <c r="E28" s="48" t="s">
        <v>17</v>
      </c>
      <c r="F28" s="48" t="s">
        <v>17</v>
      </c>
      <c r="G28" s="538" t="s">
        <v>17</v>
      </c>
      <c r="H28" s="538" t="s">
        <v>17</v>
      </c>
      <c r="I28" s="538" t="s">
        <v>17</v>
      </c>
      <c r="J28" s="538" t="s">
        <v>17</v>
      </c>
      <c r="K28" s="538" t="s">
        <v>17</v>
      </c>
      <c r="L28" s="538" t="s">
        <v>17</v>
      </c>
      <c r="M28" s="469"/>
      <c r="N28" s="18"/>
    </row>
    <row r="29" spans="1:14" s="190" customFormat="1" ht="16.899999999999999" customHeight="1">
      <c r="A29" s="29"/>
      <c r="B29" s="468"/>
      <c r="C29" s="46" t="s">
        <v>654</v>
      </c>
      <c r="D29" s="46" t="s">
        <v>655</v>
      </c>
      <c r="E29" s="48" t="s">
        <v>17</v>
      </c>
      <c r="F29" s="48" t="s">
        <v>17</v>
      </c>
      <c r="G29" s="538" t="s">
        <v>17</v>
      </c>
      <c r="H29" s="538" t="s">
        <v>17</v>
      </c>
      <c r="I29" s="538" t="s">
        <v>17</v>
      </c>
      <c r="J29" s="538" t="s">
        <v>17</v>
      </c>
      <c r="K29" s="538" t="s">
        <v>17</v>
      </c>
      <c r="L29" s="538" t="s">
        <v>17</v>
      </c>
      <c r="M29" s="469"/>
      <c r="N29" s="18"/>
    </row>
    <row r="30" spans="1:14" s="190" customFormat="1" ht="16.899999999999999" customHeight="1">
      <c r="A30" s="29"/>
      <c r="B30" s="468"/>
      <c r="C30" s="46" t="s">
        <v>656</v>
      </c>
      <c r="D30" s="46" t="s">
        <v>657</v>
      </c>
      <c r="E30" s="48" t="s">
        <v>17</v>
      </c>
      <c r="F30" s="48" t="s">
        <v>17</v>
      </c>
      <c r="G30" s="538" t="s">
        <v>17</v>
      </c>
      <c r="H30" s="538" t="s">
        <v>17</v>
      </c>
      <c r="I30" s="538" t="s">
        <v>17</v>
      </c>
      <c r="J30" s="538" t="s">
        <v>17</v>
      </c>
      <c r="K30" s="538" t="s">
        <v>17</v>
      </c>
      <c r="L30" s="538" t="s">
        <v>17</v>
      </c>
      <c r="M30" s="469"/>
      <c r="N30" s="18"/>
    </row>
    <row r="31" spans="1:14" s="190" customFormat="1" ht="16.899999999999999" customHeight="1">
      <c r="A31" s="29"/>
      <c r="B31" s="468"/>
      <c r="C31" s="46" t="s">
        <v>658</v>
      </c>
      <c r="D31" s="46" t="s">
        <v>659</v>
      </c>
      <c r="E31" s="48" t="s">
        <v>17</v>
      </c>
      <c r="F31" s="48" t="s">
        <v>17</v>
      </c>
      <c r="G31" s="538" t="s">
        <v>17</v>
      </c>
      <c r="H31" s="538" t="s">
        <v>17</v>
      </c>
      <c r="I31" s="538" t="s">
        <v>17</v>
      </c>
      <c r="J31" s="538" t="s">
        <v>17</v>
      </c>
      <c r="K31" s="538" t="s">
        <v>17</v>
      </c>
      <c r="L31" s="538" t="s">
        <v>17</v>
      </c>
      <c r="M31" s="469"/>
      <c r="N31" s="18"/>
    </row>
    <row r="32" spans="1:14" s="190" customFormat="1" ht="16.899999999999999" customHeight="1">
      <c r="A32" s="29"/>
      <c r="B32" s="468"/>
      <c r="C32" s="46" t="s">
        <v>660</v>
      </c>
      <c r="D32" s="46" t="s">
        <v>661</v>
      </c>
      <c r="E32" s="48" t="s">
        <v>17</v>
      </c>
      <c r="F32" s="48" t="s">
        <v>17</v>
      </c>
      <c r="G32" s="538" t="s">
        <v>17</v>
      </c>
      <c r="H32" s="538" t="s">
        <v>17</v>
      </c>
      <c r="I32" s="538" t="s">
        <v>17</v>
      </c>
      <c r="J32" s="538" t="s">
        <v>17</v>
      </c>
      <c r="K32" s="538" t="s">
        <v>17</v>
      </c>
      <c r="L32" s="538" t="s">
        <v>17</v>
      </c>
      <c r="M32" s="469"/>
      <c r="N32" s="18"/>
    </row>
    <row r="33" spans="1:14" s="190" customFormat="1" ht="16.899999999999999" customHeight="1">
      <c r="A33" s="29"/>
      <c r="B33" s="468"/>
      <c r="C33" s="46" t="s">
        <v>662</v>
      </c>
      <c r="D33" s="46" t="s">
        <v>663</v>
      </c>
      <c r="E33" s="48" t="s">
        <v>17</v>
      </c>
      <c r="F33" s="48" t="s">
        <v>17</v>
      </c>
      <c r="G33" s="538" t="s">
        <v>17</v>
      </c>
      <c r="H33" s="538" t="s">
        <v>17</v>
      </c>
      <c r="I33" s="538" t="s">
        <v>17</v>
      </c>
      <c r="J33" s="538" t="s">
        <v>17</v>
      </c>
      <c r="K33" s="538" t="s">
        <v>17</v>
      </c>
      <c r="L33" s="538" t="s">
        <v>17</v>
      </c>
      <c r="M33" s="469"/>
      <c r="N33" s="18"/>
    </row>
    <row r="34" spans="1:14" s="190" customFormat="1" ht="16.899999999999999" customHeight="1">
      <c r="A34" s="29"/>
      <c r="B34" s="468"/>
      <c r="C34" s="46" t="s">
        <v>664</v>
      </c>
      <c r="D34" s="46" t="s">
        <v>665</v>
      </c>
      <c r="E34" s="48" t="s">
        <v>17</v>
      </c>
      <c r="F34" s="48" t="s">
        <v>17</v>
      </c>
      <c r="G34" s="538" t="s">
        <v>17</v>
      </c>
      <c r="H34" s="538" t="s">
        <v>17</v>
      </c>
      <c r="I34" s="538" t="s">
        <v>17</v>
      </c>
      <c r="J34" s="538" t="s">
        <v>17</v>
      </c>
      <c r="K34" s="538" t="s">
        <v>17</v>
      </c>
      <c r="L34" s="538" t="s">
        <v>17</v>
      </c>
      <c r="M34" s="469"/>
      <c r="N34" s="18"/>
    </row>
    <row r="35" spans="1:14" s="190" customFormat="1" ht="16.899999999999999" customHeight="1">
      <c r="A35" s="29"/>
      <c r="B35" s="468"/>
      <c r="C35" s="46" t="s">
        <v>666</v>
      </c>
      <c r="D35" s="46" t="s">
        <v>667</v>
      </c>
      <c r="E35" s="48" t="s">
        <v>17</v>
      </c>
      <c r="F35" s="48" t="s">
        <v>17</v>
      </c>
      <c r="G35" s="538" t="s">
        <v>17</v>
      </c>
      <c r="H35" s="538" t="s">
        <v>17</v>
      </c>
      <c r="I35" s="538" t="s">
        <v>17</v>
      </c>
      <c r="J35" s="538" t="s">
        <v>17</v>
      </c>
      <c r="K35" s="538" t="s">
        <v>17</v>
      </c>
      <c r="L35" s="538" t="s">
        <v>17</v>
      </c>
      <c r="M35" s="469"/>
      <c r="N35" s="18"/>
    </row>
    <row r="36" spans="1:14" s="190" customFormat="1" ht="16.899999999999999" customHeight="1">
      <c r="A36" s="29"/>
      <c r="B36" s="468"/>
      <c r="C36" s="46" t="s">
        <v>668</v>
      </c>
      <c r="D36" s="46" t="s">
        <v>669</v>
      </c>
      <c r="E36" s="48" t="s">
        <v>17</v>
      </c>
      <c r="F36" s="48" t="s">
        <v>17</v>
      </c>
      <c r="G36" s="538" t="s">
        <v>17</v>
      </c>
      <c r="H36" s="538" t="s">
        <v>17</v>
      </c>
      <c r="I36" s="538" t="s">
        <v>17</v>
      </c>
      <c r="J36" s="538" t="s">
        <v>17</v>
      </c>
      <c r="K36" s="538" t="s">
        <v>17</v>
      </c>
      <c r="L36" s="538" t="s">
        <v>17</v>
      </c>
      <c r="M36" s="469"/>
      <c r="N36" s="18"/>
    </row>
    <row r="37" spans="1:14" s="190" customFormat="1" ht="16.899999999999999" customHeight="1">
      <c r="A37" s="29"/>
      <c r="B37" s="468"/>
      <c r="C37" s="46" t="s">
        <v>670</v>
      </c>
      <c r="D37" s="46" t="s">
        <v>671</v>
      </c>
      <c r="E37" s="48" t="s">
        <v>17</v>
      </c>
      <c r="F37" s="48" t="s">
        <v>17</v>
      </c>
      <c r="G37" s="538" t="s">
        <v>17</v>
      </c>
      <c r="H37" s="538" t="s">
        <v>17</v>
      </c>
      <c r="I37" s="538" t="s">
        <v>17</v>
      </c>
      <c r="J37" s="538" t="s">
        <v>17</v>
      </c>
      <c r="K37" s="538" t="s">
        <v>17</v>
      </c>
      <c r="L37" s="538" t="s">
        <v>17</v>
      </c>
      <c r="M37" s="469"/>
      <c r="N37" s="18"/>
    </row>
    <row r="38" spans="1:14" s="190" customFormat="1" ht="16.899999999999999" customHeight="1">
      <c r="A38" s="29"/>
      <c r="B38" s="468"/>
      <c r="C38" s="223" t="s">
        <v>672</v>
      </c>
      <c r="D38" s="223" t="s">
        <v>673</v>
      </c>
      <c r="E38" s="223"/>
      <c r="F38" s="223"/>
      <c r="G38" s="1101"/>
      <c r="H38" s="223"/>
      <c r="I38" s="223"/>
      <c r="J38" s="223"/>
      <c r="K38" s="223"/>
      <c r="L38" s="223"/>
      <c r="M38" s="469"/>
      <c r="N38" s="18"/>
    </row>
    <row r="39" spans="1:14" s="190" customFormat="1" ht="16.899999999999999" customHeight="1">
      <c r="A39" s="29"/>
      <c r="B39" s="468"/>
      <c r="C39" s="46" t="s">
        <v>674</v>
      </c>
      <c r="D39" s="46" t="s">
        <v>675</v>
      </c>
      <c r="E39" s="48" t="s">
        <v>17</v>
      </c>
      <c r="F39" s="48" t="s">
        <v>17</v>
      </c>
      <c r="G39" s="538" t="s">
        <v>17</v>
      </c>
      <c r="H39" s="538" t="s">
        <v>17</v>
      </c>
      <c r="I39" s="538" t="s">
        <v>17</v>
      </c>
      <c r="J39" s="538" t="s">
        <v>17</v>
      </c>
      <c r="K39" s="538" t="s">
        <v>17</v>
      </c>
      <c r="L39" s="538" t="s">
        <v>17</v>
      </c>
      <c r="M39" s="469"/>
      <c r="N39" s="18"/>
    </row>
    <row r="40" spans="1:14" s="190" customFormat="1" ht="16.899999999999999" customHeight="1">
      <c r="A40" s="29"/>
      <c r="B40" s="468"/>
      <c r="C40" s="46" t="s">
        <v>676</v>
      </c>
      <c r="D40" s="46" t="s">
        <v>677</v>
      </c>
      <c r="E40" s="48" t="s">
        <v>17</v>
      </c>
      <c r="F40" s="48" t="s">
        <v>17</v>
      </c>
      <c r="G40" s="538" t="s">
        <v>17</v>
      </c>
      <c r="H40" s="538" t="s">
        <v>17</v>
      </c>
      <c r="I40" s="538" t="s">
        <v>17</v>
      </c>
      <c r="J40" s="538" t="s">
        <v>17</v>
      </c>
      <c r="K40" s="538" t="s">
        <v>17</v>
      </c>
      <c r="L40" s="538" t="s">
        <v>17</v>
      </c>
      <c r="M40" s="469"/>
      <c r="N40" s="18"/>
    </row>
    <row r="41" spans="1:14" s="190" customFormat="1" ht="16.899999999999999" customHeight="1">
      <c r="A41" s="29"/>
      <c r="B41" s="468"/>
      <c r="C41" s="46" t="s">
        <v>678</v>
      </c>
      <c r="D41" s="46" t="s">
        <v>679</v>
      </c>
      <c r="E41" s="48" t="s">
        <v>17</v>
      </c>
      <c r="F41" s="48" t="s">
        <v>17</v>
      </c>
      <c r="G41" s="538" t="s">
        <v>17</v>
      </c>
      <c r="H41" s="538" t="s">
        <v>17</v>
      </c>
      <c r="I41" s="538" t="s">
        <v>17</v>
      </c>
      <c r="J41" s="538" t="s">
        <v>17</v>
      </c>
      <c r="K41" s="538" t="s">
        <v>17</v>
      </c>
      <c r="L41" s="538" t="s">
        <v>17</v>
      </c>
      <c r="M41" s="469"/>
      <c r="N41" s="18"/>
    </row>
    <row r="42" spans="1:14" s="190" customFormat="1" ht="16.899999999999999" customHeight="1">
      <c r="A42" s="29"/>
      <c r="B42" s="468"/>
      <c r="C42" s="46" t="s">
        <v>680</v>
      </c>
      <c r="D42" s="46" t="s">
        <v>681</v>
      </c>
      <c r="E42" s="48" t="s">
        <v>17</v>
      </c>
      <c r="F42" s="48" t="s">
        <v>17</v>
      </c>
      <c r="G42" s="538" t="s">
        <v>17</v>
      </c>
      <c r="H42" s="538" t="s">
        <v>17</v>
      </c>
      <c r="I42" s="538" t="s">
        <v>17</v>
      </c>
      <c r="J42" s="538" t="s">
        <v>17</v>
      </c>
      <c r="K42" s="538" t="s">
        <v>17</v>
      </c>
      <c r="L42" s="538" t="s">
        <v>17</v>
      </c>
      <c r="M42" s="469"/>
      <c r="N42" s="18"/>
    </row>
    <row r="43" spans="1:14" s="190" customFormat="1" ht="16.899999999999999" customHeight="1">
      <c r="A43" s="29"/>
      <c r="B43" s="468"/>
      <c r="C43" s="46" t="s">
        <v>682</v>
      </c>
      <c r="D43" s="46" t="s">
        <v>683</v>
      </c>
      <c r="E43" s="48" t="s">
        <v>17</v>
      </c>
      <c r="F43" s="48" t="s">
        <v>17</v>
      </c>
      <c r="G43" s="538" t="s">
        <v>17</v>
      </c>
      <c r="H43" s="538" t="s">
        <v>17</v>
      </c>
      <c r="I43" s="538" t="s">
        <v>17</v>
      </c>
      <c r="J43" s="538" t="s">
        <v>17</v>
      </c>
      <c r="K43" s="538" t="s">
        <v>17</v>
      </c>
      <c r="L43" s="538" t="s">
        <v>17</v>
      </c>
      <c r="M43" s="469"/>
      <c r="N43" s="18"/>
    </row>
    <row r="44" spans="1:14" s="190" customFormat="1" ht="16.899999999999999" customHeight="1">
      <c r="A44" s="29"/>
      <c r="B44" s="468"/>
      <c r="C44" s="46" t="s">
        <v>684</v>
      </c>
      <c r="D44" s="46" t="s">
        <v>685</v>
      </c>
      <c r="E44" s="48" t="s">
        <v>17</v>
      </c>
      <c r="F44" s="48" t="s">
        <v>17</v>
      </c>
      <c r="G44" s="538" t="s">
        <v>17</v>
      </c>
      <c r="H44" s="538" t="s">
        <v>17</v>
      </c>
      <c r="I44" s="538" t="s">
        <v>17</v>
      </c>
      <c r="J44" s="538" t="s">
        <v>17</v>
      </c>
      <c r="K44" s="538" t="s">
        <v>17</v>
      </c>
      <c r="L44" s="538" t="s">
        <v>17</v>
      </c>
      <c r="M44" s="469"/>
      <c r="N44" s="18"/>
    </row>
    <row r="45" spans="1:14" s="190" customFormat="1" ht="16.899999999999999" customHeight="1">
      <c r="A45" s="29"/>
      <c r="B45" s="468"/>
      <c r="C45" s="46" t="s">
        <v>686</v>
      </c>
      <c r="D45" s="46" t="s">
        <v>687</v>
      </c>
      <c r="E45" s="48" t="s">
        <v>17</v>
      </c>
      <c r="F45" s="48" t="s">
        <v>17</v>
      </c>
      <c r="G45" s="538" t="s">
        <v>17</v>
      </c>
      <c r="H45" s="538" t="s">
        <v>17</v>
      </c>
      <c r="I45" s="538" t="s">
        <v>17</v>
      </c>
      <c r="J45" s="538" t="s">
        <v>17</v>
      </c>
      <c r="K45" s="538" t="s">
        <v>17</v>
      </c>
      <c r="L45" s="538" t="s">
        <v>17</v>
      </c>
      <c r="M45" s="469"/>
      <c r="N45" s="18"/>
    </row>
    <row r="46" spans="1:14" s="190" customFormat="1" ht="16.899999999999999" customHeight="1">
      <c r="A46" s="29"/>
      <c r="B46" s="468"/>
      <c r="C46" s="46" t="s">
        <v>688</v>
      </c>
      <c r="D46" s="46" t="s">
        <v>689</v>
      </c>
      <c r="E46" s="48" t="s">
        <v>17</v>
      </c>
      <c r="F46" s="48" t="s">
        <v>17</v>
      </c>
      <c r="G46" s="538" t="s">
        <v>17</v>
      </c>
      <c r="H46" s="538" t="s">
        <v>17</v>
      </c>
      <c r="I46" s="538" t="s">
        <v>17</v>
      </c>
      <c r="J46" s="538" t="s">
        <v>17</v>
      </c>
      <c r="K46" s="538" t="s">
        <v>17</v>
      </c>
      <c r="L46" s="538" t="s">
        <v>17</v>
      </c>
      <c r="M46" s="469"/>
      <c r="N46" s="18"/>
    </row>
    <row r="47" spans="1:14" s="190" customFormat="1" ht="16.899999999999999" customHeight="1">
      <c r="A47" s="29"/>
      <c r="B47" s="468"/>
      <c r="C47" s="46" t="s">
        <v>690</v>
      </c>
      <c r="D47" s="46" t="s">
        <v>691</v>
      </c>
      <c r="E47" s="48" t="s">
        <v>17</v>
      </c>
      <c r="F47" s="48" t="s">
        <v>17</v>
      </c>
      <c r="G47" s="538" t="s">
        <v>17</v>
      </c>
      <c r="H47" s="538" t="s">
        <v>17</v>
      </c>
      <c r="I47" s="538" t="s">
        <v>17</v>
      </c>
      <c r="J47" s="538" t="s">
        <v>17</v>
      </c>
      <c r="K47" s="538" t="s">
        <v>17</v>
      </c>
      <c r="L47" s="538" t="s">
        <v>17</v>
      </c>
      <c r="M47" s="469"/>
      <c r="N47" s="18"/>
    </row>
    <row r="48" spans="1:14" s="190" customFormat="1" ht="16.899999999999999" customHeight="1">
      <c r="A48" s="29"/>
      <c r="B48" s="468"/>
      <c r="C48" s="46" t="s">
        <v>692</v>
      </c>
      <c r="D48" s="46" t="s">
        <v>693</v>
      </c>
      <c r="E48" s="48" t="s">
        <v>17</v>
      </c>
      <c r="F48" s="48" t="s">
        <v>17</v>
      </c>
      <c r="G48" s="538" t="s">
        <v>17</v>
      </c>
      <c r="H48" s="538" t="s">
        <v>17</v>
      </c>
      <c r="I48" s="538" t="s">
        <v>17</v>
      </c>
      <c r="J48" s="538" t="s">
        <v>17</v>
      </c>
      <c r="K48" s="538" t="s">
        <v>17</v>
      </c>
      <c r="L48" s="538" t="s">
        <v>17</v>
      </c>
      <c r="M48" s="469"/>
      <c r="N48" s="18"/>
    </row>
    <row r="49" spans="1:14" s="190" customFormat="1" ht="16.899999999999999" customHeight="1">
      <c r="A49" s="29"/>
      <c r="B49" s="468"/>
      <c r="C49" s="46" t="s">
        <v>694</v>
      </c>
      <c r="D49" s="46" t="s">
        <v>695</v>
      </c>
      <c r="E49" s="48" t="s">
        <v>696</v>
      </c>
      <c r="F49" s="48" t="s">
        <v>696</v>
      </c>
      <c r="G49" s="48" t="s">
        <v>696</v>
      </c>
      <c r="H49" s="48" t="s">
        <v>696</v>
      </c>
      <c r="I49" s="48" t="s">
        <v>696</v>
      </c>
      <c r="J49" s="48" t="s">
        <v>696</v>
      </c>
      <c r="K49" s="48" t="s">
        <v>696</v>
      </c>
      <c r="L49" s="48" t="s">
        <v>696</v>
      </c>
      <c r="M49" s="469"/>
      <c r="N49" s="18"/>
    </row>
    <row r="50" spans="1:14" s="190" customFormat="1" ht="16.899999999999999" customHeight="1">
      <c r="A50" s="29"/>
      <c r="B50" s="468"/>
      <c r="C50" s="223" t="s">
        <v>697</v>
      </c>
      <c r="D50" s="223" t="s">
        <v>698</v>
      </c>
      <c r="E50" s="223"/>
      <c r="F50" s="223"/>
      <c r="G50" s="223"/>
      <c r="H50" s="223"/>
      <c r="I50" s="223"/>
      <c r="J50" s="223"/>
      <c r="K50" s="223"/>
      <c r="L50" s="223"/>
      <c r="M50" s="469"/>
      <c r="N50" s="18"/>
    </row>
    <row r="51" spans="1:14" s="190" customFormat="1" ht="16.899999999999999" customHeight="1">
      <c r="A51" s="29"/>
      <c r="B51" s="468"/>
      <c r="C51" s="46" t="s">
        <v>699</v>
      </c>
      <c r="D51" s="46" t="s">
        <v>700</v>
      </c>
      <c r="E51" s="48" t="s">
        <v>17</v>
      </c>
      <c r="F51" s="48" t="s">
        <v>17</v>
      </c>
      <c r="G51" s="538" t="s">
        <v>17</v>
      </c>
      <c r="H51" s="538" t="s">
        <v>17</v>
      </c>
      <c r="I51" s="538" t="s">
        <v>17</v>
      </c>
      <c r="J51" s="538" t="s">
        <v>17</v>
      </c>
      <c r="K51" s="538" t="s">
        <v>17</v>
      </c>
      <c r="L51" s="538" t="s">
        <v>17</v>
      </c>
      <c r="M51" s="469"/>
      <c r="N51" s="18"/>
    </row>
    <row r="52" spans="1:14" s="190" customFormat="1" ht="16.899999999999999" customHeight="1">
      <c r="A52" s="29"/>
      <c r="B52" s="468"/>
      <c r="C52" s="46" t="s">
        <v>701</v>
      </c>
      <c r="D52" s="46" t="s">
        <v>702</v>
      </c>
      <c r="E52" s="48" t="s">
        <v>17</v>
      </c>
      <c r="F52" s="48" t="s">
        <v>17</v>
      </c>
      <c r="G52" s="538" t="s">
        <v>17</v>
      </c>
      <c r="H52" s="538" t="s">
        <v>17</v>
      </c>
      <c r="I52" s="538" t="s">
        <v>17</v>
      </c>
      <c r="J52" s="538" t="s">
        <v>17</v>
      </c>
      <c r="K52" s="538" t="s">
        <v>17</v>
      </c>
      <c r="L52" s="538" t="s">
        <v>17</v>
      </c>
      <c r="M52" s="184" t="s">
        <v>396</v>
      </c>
      <c r="N52" s="18"/>
    </row>
    <row r="53" spans="1:14" s="190" customFormat="1" ht="16.899999999999999" customHeight="1">
      <c r="A53" s="29"/>
      <c r="B53" s="468"/>
      <c r="C53" s="46" t="s">
        <v>703</v>
      </c>
      <c r="D53" s="46" t="s">
        <v>704</v>
      </c>
      <c r="E53" s="48" t="s">
        <v>17</v>
      </c>
      <c r="F53" s="48" t="s">
        <v>17</v>
      </c>
      <c r="G53" s="538" t="s">
        <v>17</v>
      </c>
      <c r="H53" s="538" t="s">
        <v>17</v>
      </c>
      <c r="I53" s="538" t="s">
        <v>17</v>
      </c>
      <c r="J53" s="538" t="s">
        <v>17</v>
      </c>
      <c r="K53" s="538" t="s">
        <v>17</v>
      </c>
      <c r="L53" s="538" t="s">
        <v>17</v>
      </c>
      <c r="M53" s="184" t="s">
        <v>396</v>
      </c>
      <c r="N53" s="18"/>
    </row>
    <row r="54" spans="1:14" s="190" customFormat="1" ht="16.899999999999999" customHeight="1">
      <c r="A54" s="29"/>
      <c r="B54" s="468"/>
      <c r="C54" s="46" t="s">
        <v>705</v>
      </c>
      <c r="D54" s="46" t="s">
        <v>706</v>
      </c>
      <c r="E54" s="48" t="s">
        <v>17</v>
      </c>
      <c r="F54" s="48" t="s">
        <v>17</v>
      </c>
      <c r="G54" s="538" t="s">
        <v>17</v>
      </c>
      <c r="H54" s="538" t="s">
        <v>17</v>
      </c>
      <c r="I54" s="538" t="s">
        <v>17</v>
      </c>
      <c r="J54" s="538" t="s">
        <v>17</v>
      </c>
      <c r="K54" s="538" t="s">
        <v>17</v>
      </c>
      <c r="L54" s="538" t="s">
        <v>17</v>
      </c>
      <c r="M54" s="184" t="s">
        <v>396</v>
      </c>
      <c r="N54" s="18"/>
    </row>
    <row r="55" spans="1:14" s="190" customFormat="1" ht="16.899999999999999" customHeight="1">
      <c r="A55" s="29"/>
      <c r="B55" s="468"/>
      <c r="C55" s="46" t="s">
        <v>707</v>
      </c>
      <c r="D55" s="46" t="s">
        <v>708</v>
      </c>
      <c r="E55" s="48" t="s">
        <v>17</v>
      </c>
      <c r="F55" s="48" t="s">
        <v>17</v>
      </c>
      <c r="G55" s="538" t="s">
        <v>17</v>
      </c>
      <c r="H55" s="538" t="s">
        <v>17</v>
      </c>
      <c r="I55" s="538" t="s">
        <v>17</v>
      </c>
      <c r="J55" s="538" t="s">
        <v>17</v>
      </c>
      <c r="K55" s="538" t="s">
        <v>17</v>
      </c>
      <c r="L55" s="538" t="s">
        <v>17</v>
      </c>
      <c r="M55" s="469"/>
      <c r="N55" s="18"/>
    </row>
    <row r="56" spans="1:14" s="190" customFormat="1" ht="16.899999999999999" customHeight="1">
      <c r="A56" s="29"/>
      <c r="B56" s="468"/>
      <c r="C56" s="46" t="s">
        <v>709</v>
      </c>
      <c r="D56" s="46" t="s">
        <v>710</v>
      </c>
      <c r="E56" s="48" t="s">
        <v>17</v>
      </c>
      <c r="F56" s="48" t="s">
        <v>17</v>
      </c>
      <c r="G56" s="538" t="s">
        <v>17</v>
      </c>
      <c r="H56" s="538" t="s">
        <v>17</v>
      </c>
      <c r="I56" s="538" t="s">
        <v>17</v>
      </c>
      <c r="J56" s="538" t="s">
        <v>17</v>
      </c>
      <c r="K56" s="538" t="s">
        <v>17</v>
      </c>
      <c r="L56" s="538" t="s">
        <v>17</v>
      </c>
      <c r="M56" s="469"/>
      <c r="N56" s="18"/>
    </row>
    <row r="57" spans="1:14" s="190" customFormat="1" ht="16.899999999999999" customHeight="1">
      <c r="A57" s="29"/>
      <c r="B57" s="468"/>
      <c r="C57" s="223" t="s">
        <v>711</v>
      </c>
      <c r="D57" s="223" t="s">
        <v>712</v>
      </c>
      <c r="E57" s="223"/>
      <c r="F57" s="223"/>
      <c r="G57" s="223"/>
      <c r="H57" s="223"/>
      <c r="I57" s="223"/>
      <c r="J57" s="223"/>
      <c r="K57" s="223"/>
      <c r="L57" s="223"/>
      <c r="M57" s="469"/>
      <c r="N57" s="18"/>
    </row>
    <row r="58" spans="1:14" s="190" customFormat="1" ht="16.899999999999999" customHeight="1">
      <c r="A58" s="29"/>
      <c r="B58" s="468"/>
      <c r="C58" s="46" t="s">
        <v>713</v>
      </c>
      <c r="D58" s="46" t="s">
        <v>714</v>
      </c>
      <c r="E58" s="48" t="s">
        <v>17</v>
      </c>
      <c r="F58" s="48" t="s">
        <v>17</v>
      </c>
      <c r="G58" s="538" t="s">
        <v>17</v>
      </c>
      <c r="H58" s="538" t="s">
        <v>17</v>
      </c>
      <c r="I58" s="538" t="s">
        <v>17</v>
      </c>
      <c r="J58" s="538" t="s">
        <v>17</v>
      </c>
      <c r="K58" s="538" t="s">
        <v>17</v>
      </c>
      <c r="L58" s="538" t="s">
        <v>17</v>
      </c>
      <c r="M58" s="469"/>
      <c r="N58" s="18"/>
    </row>
    <row r="59" spans="1:14" s="190" customFormat="1" ht="16.899999999999999" customHeight="1">
      <c r="A59" s="29"/>
      <c r="B59" s="468"/>
      <c r="C59" s="46" t="s">
        <v>715</v>
      </c>
      <c r="D59" s="46" t="s">
        <v>716</v>
      </c>
      <c r="E59" s="48" t="s">
        <v>17</v>
      </c>
      <c r="F59" s="48" t="s">
        <v>17</v>
      </c>
      <c r="G59" s="538" t="s">
        <v>17</v>
      </c>
      <c r="H59" s="538" t="s">
        <v>17</v>
      </c>
      <c r="I59" s="538" t="s">
        <v>17</v>
      </c>
      <c r="J59" s="538" t="s">
        <v>17</v>
      </c>
      <c r="K59" s="538" t="s">
        <v>17</v>
      </c>
      <c r="L59" s="538" t="s">
        <v>17</v>
      </c>
      <c r="M59" s="469"/>
      <c r="N59" s="18"/>
    </row>
    <row r="60" spans="1:14" s="190" customFormat="1" ht="16.899999999999999" customHeight="1">
      <c r="A60" s="29"/>
      <c r="B60" s="468"/>
      <c r="C60" s="46" t="s">
        <v>717</v>
      </c>
      <c r="D60" s="46" t="s">
        <v>718</v>
      </c>
      <c r="E60" s="48" t="s">
        <v>17</v>
      </c>
      <c r="F60" s="48" t="s">
        <v>17</v>
      </c>
      <c r="G60" s="538" t="s">
        <v>17</v>
      </c>
      <c r="H60" s="538" t="s">
        <v>17</v>
      </c>
      <c r="I60" s="538" t="s">
        <v>17</v>
      </c>
      <c r="J60" s="538" t="s">
        <v>17</v>
      </c>
      <c r="K60" s="538" t="s">
        <v>17</v>
      </c>
      <c r="L60" s="538" t="s">
        <v>17</v>
      </c>
      <c r="M60" s="469"/>
      <c r="N60" s="18"/>
    </row>
    <row r="61" spans="1:14" s="190" customFormat="1" ht="16.899999999999999" customHeight="1">
      <c r="A61" s="29"/>
      <c r="B61" s="468"/>
      <c r="C61" s="46" t="s">
        <v>719</v>
      </c>
      <c r="D61" s="46" t="s">
        <v>720</v>
      </c>
      <c r="E61" s="48" t="s">
        <v>17</v>
      </c>
      <c r="F61" s="48" t="s">
        <v>17</v>
      </c>
      <c r="G61" s="538" t="s">
        <v>17</v>
      </c>
      <c r="H61" s="538" t="s">
        <v>17</v>
      </c>
      <c r="I61" s="538" t="s">
        <v>17</v>
      </c>
      <c r="J61" s="538" t="s">
        <v>17</v>
      </c>
      <c r="K61" s="538" t="s">
        <v>17</v>
      </c>
      <c r="L61" s="538" t="s">
        <v>17</v>
      </c>
      <c r="M61" s="469"/>
      <c r="N61" s="18"/>
    </row>
    <row r="62" spans="1:14" s="190" customFormat="1" ht="16.899999999999999" customHeight="1">
      <c r="A62" s="29"/>
      <c r="B62" s="468"/>
      <c r="C62" s="46" t="s">
        <v>721</v>
      </c>
      <c r="D62" s="46" t="s">
        <v>722</v>
      </c>
      <c r="E62" s="48" t="s">
        <v>17</v>
      </c>
      <c r="F62" s="48" t="s">
        <v>17</v>
      </c>
      <c r="G62" s="538" t="s">
        <v>17</v>
      </c>
      <c r="H62" s="538" t="s">
        <v>17</v>
      </c>
      <c r="I62" s="538" t="s">
        <v>17</v>
      </c>
      <c r="J62" s="538" t="s">
        <v>17</v>
      </c>
      <c r="K62" s="538" t="s">
        <v>17</v>
      </c>
      <c r="L62" s="538" t="s">
        <v>17</v>
      </c>
      <c r="M62" s="469"/>
      <c r="N62" s="18"/>
    </row>
    <row r="63" spans="1:14" s="190" customFormat="1" ht="16.899999999999999" customHeight="1">
      <c r="A63" s="29"/>
      <c r="B63" s="468"/>
      <c r="C63" s="46" t="s">
        <v>723</v>
      </c>
      <c r="D63" s="46" t="s">
        <v>724</v>
      </c>
      <c r="E63" s="48" t="s">
        <v>17</v>
      </c>
      <c r="F63" s="48" t="s">
        <v>17</v>
      </c>
      <c r="G63" s="538" t="s">
        <v>17</v>
      </c>
      <c r="H63" s="538" t="s">
        <v>17</v>
      </c>
      <c r="I63" s="538" t="s">
        <v>17</v>
      </c>
      <c r="J63" s="538" t="s">
        <v>17</v>
      </c>
      <c r="K63" s="538" t="s">
        <v>17</v>
      </c>
      <c r="L63" s="538" t="s">
        <v>17</v>
      </c>
      <c r="M63" s="469"/>
      <c r="N63" s="18"/>
    </row>
    <row r="64" spans="1:14" s="190" customFormat="1" ht="16.899999999999999" customHeight="1">
      <c r="A64" s="29"/>
      <c r="B64" s="468"/>
      <c r="C64" s="46" t="s">
        <v>725</v>
      </c>
      <c r="D64" s="46" t="s">
        <v>726</v>
      </c>
      <c r="E64" s="48" t="s">
        <v>17</v>
      </c>
      <c r="F64" s="48" t="s">
        <v>17</v>
      </c>
      <c r="G64" s="538" t="s">
        <v>17</v>
      </c>
      <c r="H64" s="538" t="s">
        <v>17</v>
      </c>
      <c r="I64" s="538" t="s">
        <v>17</v>
      </c>
      <c r="J64" s="538" t="s">
        <v>17</v>
      </c>
      <c r="K64" s="538" t="s">
        <v>17</v>
      </c>
      <c r="L64" s="538" t="s">
        <v>17</v>
      </c>
      <c r="M64" s="469"/>
      <c r="N64" s="18"/>
    </row>
    <row r="65" spans="1:14" s="190" customFormat="1" ht="16.899999999999999" customHeight="1">
      <c r="A65" s="29"/>
      <c r="B65" s="468"/>
      <c r="C65" s="46" t="s">
        <v>727</v>
      </c>
      <c r="D65" s="46" t="s">
        <v>728</v>
      </c>
      <c r="E65" s="48" t="s">
        <v>696</v>
      </c>
      <c r="F65" s="48" t="s">
        <v>696</v>
      </c>
      <c r="G65" s="48" t="s">
        <v>696</v>
      </c>
      <c r="H65" s="48" t="s">
        <v>696</v>
      </c>
      <c r="I65" s="48" t="s">
        <v>696</v>
      </c>
      <c r="J65" s="48" t="s">
        <v>696</v>
      </c>
      <c r="K65" s="48" t="s">
        <v>696</v>
      </c>
      <c r="L65" s="48" t="s">
        <v>696</v>
      </c>
      <c r="M65" s="469"/>
      <c r="N65" s="18"/>
    </row>
    <row r="66" spans="1:14" s="190" customFormat="1" ht="16.899999999999999" customHeight="1">
      <c r="A66" s="29"/>
      <c r="B66" s="468"/>
      <c r="C66" s="46" t="s">
        <v>729</v>
      </c>
      <c r="D66" s="46" t="s">
        <v>730</v>
      </c>
      <c r="E66" s="48" t="s">
        <v>17</v>
      </c>
      <c r="F66" s="48" t="s">
        <v>17</v>
      </c>
      <c r="G66" s="538" t="s">
        <v>17</v>
      </c>
      <c r="H66" s="538" t="s">
        <v>17</v>
      </c>
      <c r="I66" s="538" t="s">
        <v>17</v>
      </c>
      <c r="J66" s="538" t="s">
        <v>17</v>
      </c>
      <c r="K66" s="538" t="s">
        <v>17</v>
      </c>
      <c r="L66" s="538" t="s">
        <v>17</v>
      </c>
      <c r="M66" s="469"/>
      <c r="N66" s="18"/>
    </row>
    <row r="67" spans="1:14" s="190" customFormat="1" ht="16.899999999999999" customHeight="1">
      <c r="A67" s="29"/>
      <c r="B67" s="468"/>
      <c r="C67" s="46" t="s">
        <v>731</v>
      </c>
      <c r="D67" s="46" t="s">
        <v>732</v>
      </c>
      <c r="E67" s="48" t="s">
        <v>17</v>
      </c>
      <c r="F67" s="48" t="s">
        <v>17</v>
      </c>
      <c r="G67" s="538" t="s">
        <v>17</v>
      </c>
      <c r="H67" s="538" t="s">
        <v>17</v>
      </c>
      <c r="I67" s="538" t="s">
        <v>17</v>
      </c>
      <c r="J67" s="538" t="s">
        <v>17</v>
      </c>
      <c r="K67" s="538" t="s">
        <v>17</v>
      </c>
      <c r="L67" s="538" t="s">
        <v>17</v>
      </c>
      <c r="M67" s="469"/>
      <c r="N67" s="18"/>
    </row>
    <row r="68" spans="1:14" s="190" customFormat="1" ht="16.899999999999999" customHeight="1">
      <c r="A68" s="29"/>
      <c r="B68" s="468"/>
      <c r="C68" s="46" t="s">
        <v>733</v>
      </c>
      <c r="D68" s="46" t="s">
        <v>734</v>
      </c>
      <c r="E68" s="48" t="s">
        <v>17</v>
      </c>
      <c r="F68" s="48" t="s">
        <v>17</v>
      </c>
      <c r="G68" s="538" t="s">
        <v>17</v>
      </c>
      <c r="H68" s="538" t="s">
        <v>17</v>
      </c>
      <c r="I68" s="538" t="s">
        <v>17</v>
      </c>
      <c r="J68" s="538" t="s">
        <v>17</v>
      </c>
      <c r="K68" s="538" t="s">
        <v>17</v>
      </c>
      <c r="L68" s="538" t="s">
        <v>17</v>
      </c>
      <c r="M68" s="469"/>
      <c r="N68" s="18"/>
    </row>
    <row r="69" spans="1:14" s="190" customFormat="1" ht="16.899999999999999" customHeight="1">
      <c r="A69" s="29"/>
      <c r="B69" s="468"/>
      <c r="C69" s="46" t="s">
        <v>735</v>
      </c>
      <c r="D69" s="46" t="s">
        <v>736</v>
      </c>
      <c r="E69" s="48" t="s">
        <v>17</v>
      </c>
      <c r="F69" s="48" t="s">
        <v>17</v>
      </c>
      <c r="G69" s="538" t="s">
        <v>17</v>
      </c>
      <c r="H69" s="538" t="s">
        <v>17</v>
      </c>
      <c r="I69" s="538" t="s">
        <v>17</v>
      </c>
      <c r="J69" s="538" t="s">
        <v>17</v>
      </c>
      <c r="K69" s="538" t="s">
        <v>17</v>
      </c>
      <c r="L69" s="538" t="s">
        <v>17</v>
      </c>
      <c r="M69" s="469"/>
      <c r="N69" s="18"/>
    </row>
    <row r="70" spans="1:14" s="190" customFormat="1" ht="16.899999999999999" customHeight="1">
      <c r="A70" s="29"/>
      <c r="B70" s="468"/>
      <c r="C70" s="46" t="s">
        <v>737</v>
      </c>
      <c r="D70" s="46" t="s">
        <v>738</v>
      </c>
      <c r="E70" s="48" t="s">
        <v>17</v>
      </c>
      <c r="F70" s="48" t="s">
        <v>17</v>
      </c>
      <c r="G70" s="538" t="s">
        <v>17</v>
      </c>
      <c r="H70" s="538" t="s">
        <v>17</v>
      </c>
      <c r="I70" s="538" t="s">
        <v>17</v>
      </c>
      <c r="J70" s="538" t="s">
        <v>17</v>
      </c>
      <c r="K70" s="538" t="s">
        <v>17</v>
      </c>
      <c r="L70" s="538" t="s">
        <v>17</v>
      </c>
      <c r="M70" s="469"/>
      <c r="N70" s="18"/>
    </row>
    <row r="71" spans="1:14" s="190" customFormat="1" ht="16.899999999999999" customHeight="1">
      <c r="A71" s="29"/>
      <c r="B71" s="468"/>
      <c r="C71" s="46" t="s">
        <v>739</v>
      </c>
      <c r="D71" s="46" t="s">
        <v>740</v>
      </c>
      <c r="E71" s="48" t="s">
        <v>17</v>
      </c>
      <c r="F71" s="48" t="s">
        <v>17</v>
      </c>
      <c r="G71" s="538" t="s">
        <v>17</v>
      </c>
      <c r="H71" s="538" t="s">
        <v>17</v>
      </c>
      <c r="I71" s="538" t="s">
        <v>17</v>
      </c>
      <c r="J71" s="538" t="s">
        <v>17</v>
      </c>
      <c r="K71" s="538" t="s">
        <v>17</v>
      </c>
      <c r="L71" s="538" t="s">
        <v>17</v>
      </c>
      <c r="M71" s="469"/>
      <c r="N71" s="18"/>
    </row>
    <row r="72" spans="1:14" s="190" customFormat="1" ht="16.899999999999999" customHeight="1">
      <c r="A72" s="29"/>
      <c r="B72" s="468"/>
      <c r="C72" s="46" t="s">
        <v>741</v>
      </c>
      <c r="D72" s="46" t="s">
        <v>742</v>
      </c>
      <c r="E72" s="48" t="s">
        <v>17</v>
      </c>
      <c r="F72" s="48" t="s">
        <v>17</v>
      </c>
      <c r="G72" s="538" t="s">
        <v>17</v>
      </c>
      <c r="H72" s="538" t="s">
        <v>17</v>
      </c>
      <c r="I72" s="538" t="s">
        <v>17</v>
      </c>
      <c r="J72" s="538" t="s">
        <v>17</v>
      </c>
      <c r="K72" s="538" t="s">
        <v>17</v>
      </c>
      <c r="L72" s="538" t="s">
        <v>17</v>
      </c>
      <c r="M72" s="469"/>
      <c r="N72" s="18"/>
    </row>
    <row r="73" spans="1:14" s="190" customFormat="1" ht="16.899999999999999" customHeight="1">
      <c r="A73" s="29"/>
      <c r="B73" s="468"/>
      <c r="C73" s="46" t="s">
        <v>743</v>
      </c>
      <c r="D73" s="46" t="s">
        <v>744</v>
      </c>
      <c r="E73" s="48" t="s">
        <v>17</v>
      </c>
      <c r="F73" s="48" t="s">
        <v>17</v>
      </c>
      <c r="G73" s="538" t="s">
        <v>17</v>
      </c>
      <c r="H73" s="538" t="s">
        <v>17</v>
      </c>
      <c r="I73" s="538" t="s">
        <v>17</v>
      </c>
      <c r="J73" s="538" t="s">
        <v>17</v>
      </c>
      <c r="K73" s="538" t="s">
        <v>17</v>
      </c>
      <c r="L73" s="538" t="s">
        <v>17</v>
      </c>
      <c r="M73" s="469"/>
      <c r="N73" s="18"/>
    </row>
    <row r="74" spans="1:14" s="190" customFormat="1" ht="16.899999999999999" customHeight="1">
      <c r="A74" s="29"/>
      <c r="B74" s="468"/>
      <c r="C74" s="46" t="s">
        <v>745</v>
      </c>
      <c r="D74" s="46" t="s">
        <v>746</v>
      </c>
      <c r="E74" s="48" t="s">
        <v>17</v>
      </c>
      <c r="F74" s="48" t="s">
        <v>17</v>
      </c>
      <c r="G74" s="538" t="s">
        <v>17</v>
      </c>
      <c r="H74" s="538" t="s">
        <v>17</v>
      </c>
      <c r="I74" s="538" t="s">
        <v>17</v>
      </c>
      <c r="J74" s="538" t="s">
        <v>17</v>
      </c>
      <c r="K74" s="538" t="s">
        <v>17</v>
      </c>
      <c r="L74" s="538" t="s">
        <v>17</v>
      </c>
      <c r="M74" s="469"/>
      <c r="N74" s="18"/>
    </row>
    <row r="75" spans="1:14" s="190" customFormat="1" ht="16.899999999999999" customHeight="1">
      <c r="A75" s="29"/>
      <c r="B75" s="468"/>
      <c r="C75" s="46" t="s">
        <v>747</v>
      </c>
      <c r="D75" s="46" t="s">
        <v>748</v>
      </c>
      <c r="E75" s="48" t="s">
        <v>17</v>
      </c>
      <c r="F75" s="48" t="s">
        <v>17</v>
      </c>
      <c r="G75" s="538" t="s">
        <v>17</v>
      </c>
      <c r="H75" s="538" t="s">
        <v>17</v>
      </c>
      <c r="I75" s="538" t="s">
        <v>17</v>
      </c>
      <c r="J75" s="538" t="s">
        <v>17</v>
      </c>
      <c r="K75" s="538" t="s">
        <v>17</v>
      </c>
      <c r="L75" s="538" t="s">
        <v>17</v>
      </c>
      <c r="M75" s="469"/>
      <c r="N75" s="18"/>
    </row>
    <row r="76" spans="1:14" s="190" customFormat="1" ht="16.899999999999999" customHeight="1">
      <c r="A76" s="29"/>
      <c r="B76" s="468"/>
      <c r="C76" s="46" t="s">
        <v>749</v>
      </c>
      <c r="D76" s="46" t="s">
        <v>750</v>
      </c>
      <c r="E76" s="48" t="s">
        <v>17</v>
      </c>
      <c r="F76" s="48" t="s">
        <v>17</v>
      </c>
      <c r="G76" s="538" t="s">
        <v>17</v>
      </c>
      <c r="H76" s="538" t="s">
        <v>17</v>
      </c>
      <c r="I76" s="538" t="s">
        <v>17</v>
      </c>
      <c r="J76" s="538" t="s">
        <v>17</v>
      </c>
      <c r="K76" s="538" t="s">
        <v>17</v>
      </c>
      <c r="L76" s="538" t="s">
        <v>17</v>
      </c>
      <c r="M76" s="469"/>
      <c r="N76" s="18"/>
    </row>
    <row r="77" spans="1:14" s="190" customFormat="1" ht="16.899999999999999" customHeight="1">
      <c r="A77" s="29"/>
      <c r="B77" s="468"/>
      <c r="C77" s="46" t="s">
        <v>751</v>
      </c>
      <c r="D77" s="46" t="s">
        <v>752</v>
      </c>
      <c r="E77" s="48" t="s">
        <v>17</v>
      </c>
      <c r="F77" s="48" t="s">
        <v>17</v>
      </c>
      <c r="G77" s="538" t="s">
        <v>17</v>
      </c>
      <c r="H77" s="538" t="s">
        <v>17</v>
      </c>
      <c r="I77" s="538" t="s">
        <v>17</v>
      </c>
      <c r="J77" s="538" t="s">
        <v>17</v>
      </c>
      <c r="K77" s="538" t="s">
        <v>17</v>
      </c>
      <c r="L77" s="538" t="s">
        <v>17</v>
      </c>
      <c r="M77" s="469"/>
      <c r="N77" s="18"/>
    </row>
    <row r="78" spans="1:14" s="190" customFormat="1" ht="16.899999999999999" customHeight="1">
      <c r="A78" s="29"/>
      <c r="B78" s="468"/>
      <c r="C78" s="46" t="s">
        <v>753</v>
      </c>
      <c r="D78" s="46" t="s">
        <v>754</v>
      </c>
      <c r="E78" s="48" t="s">
        <v>17</v>
      </c>
      <c r="F78" s="48" t="s">
        <v>17</v>
      </c>
      <c r="G78" s="538" t="s">
        <v>17</v>
      </c>
      <c r="H78" s="538" t="s">
        <v>17</v>
      </c>
      <c r="I78" s="538" t="s">
        <v>17</v>
      </c>
      <c r="J78" s="538" t="s">
        <v>17</v>
      </c>
      <c r="K78" s="538" t="s">
        <v>17</v>
      </c>
      <c r="L78" s="538" t="s">
        <v>17</v>
      </c>
      <c r="M78" s="469"/>
      <c r="N78" s="18"/>
    </row>
    <row r="79" spans="1:14" s="190" customFormat="1" ht="16.899999999999999" customHeight="1">
      <c r="A79" s="29"/>
      <c r="B79" s="468"/>
      <c r="C79" s="46" t="s">
        <v>755</v>
      </c>
      <c r="D79" s="46" t="s">
        <v>756</v>
      </c>
      <c r="E79" s="48" t="s">
        <v>17</v>
      </c>
      <c r="F79" s="48" t="s">
        <v>17</v>
      </c>
      <c r="G79" s="538" t="s">
        <v>17</v>
      </c>
      <c r="H79" s="538" t="s">
        <v>17</v>
      </c>
      <c r="I79" s="538" t="s">
        <v>17</v>
      </c>
      <c r="J79" s="538" t="s">
        <v>17</v>
      </c>
      <c r="K79" s="538" t="s">
        <v>17</v>
      </c>
      <c r="L79" s="538" t="s">
        <v>17</v>
      </c>
      <c r="M79" s="469"/>
      <c r="N79" s="18"/>
    </row>
    <row r="80" spans="1:14" s="190" customFormat="1" ht="16.899999999999999" customHeight="1">
      <c r="A80" s="29"/>
      <c r="B80" s="468"/>
      <c r="C80" s="46" t="s">
        <v>757</v>
      </c>
      <c r="D80" s="46" t="s">
        <v>758</v>
      </c>
      <c r="E80" s="48" t="s">
        <v>17</v>
      </c>
      <c r="F80" s="48" t="s">
        <v>17</v>
      </c>
      <c r="G80" s="538" t="s">
        <v>17</v>
      </c>
      <c r="H80" s="538" t="s">
        <v>17</v>
      </c>
      <c r="I80" s="538" t="s">
        <v>17</v>
      </c>
      <c r="J80" s="538" t="s">
        <v>17</v>
      </c>
      <c r="K80" s="538" t="s">
        <v>17</v>
      </c>
      <c r="L80" s="538" t="s">
        <v>17</v>
      </c>
      <c r="M80" s="469"/>
      <c r="N80" s="18"/>
    </row>
    <row r="81" spans="1:14" s="190" customFormat="1" ht="16.899999999999999" customHeight="1">
      <c r="A81" s="29"/>
      <c r="B81" s="468"/>
      <c r="C81" s="46" t="s">
        <v>759</v>
      </c>
      <c r="D81" s="46" t="s">
        <v>760</v>
      </c>
      <c r="E81" s="48" t="s">
        <v>696</v>
      </c>
      <c r="F81" s="48" t="s">
        <v>696</v>
      </c>
      <c r="G81" s="48" t="s">
        <v>696</v>
      </c>
      <c r="H81" s="48" t="s">
        <v>696</v>
      </c>
      <c r="I81" s="48" t="s">
        <v>696</v>
      </c>
      <c r="J81" s="48" t="s">
        <v>696</v>
      </c>
      <c r="K81" s="48" t="s">
        <v>696</v>
      </c>
      <c r="L81" s="48" t="s">
        <v>696</v>
      </c>
      <c r="M81" s="184" t="s">
        <v>396</v>
      </c>
      <c r="N81" s="18"/>
    </row>
    <row r="82" spans="1:14" s="190" customFormat="1" ht="16.899999999999999" customHeight="1">
      <c r="A82" s="29"/>
      <c r="B82" s="468"/>
      <c r="C82" s="46" t="s">
        <v>761</v>
      </c>
      <c r="D82" s="46" t="s">
        <v>762</v>
      </c>
      <c r="E82" s="48" t="s">
        <v>696</v>
      </c>
      <c r="F82" s="48" t="s">
        <v>696</v>
      </c>
      <c r="G82" s="48" t="s">
        <v>696</v>
      </c>
      <c r="H82" s="48" t="s">
        <v>696</v>
      </c>
      <c r="I82" s="48" t="s">
        <v>696</v>
      </c>
      <c r="J82" s="48" t="s">
        <v>696</v>
      </c>
      <c r="K82" s="48" t="s">
        <v>696</v>
      </c>
      <c r="L82" s="48" t="s">
        <v>696</v>
      </c>
      <c r="M82" s="184" t="s">
        <v>396</v>
      </c>
      <c r="N82" s="18"/>
    </row>
    <row r="83" spans="1:14" s="190" customFormat="1" ht="16.899999999999999" customHeight="1">
      <c r="A83" s="29"/>
      <c r="B83" s="468"/>
      <c r="C83" s="46" t="s">
        <v>763</v>
      </c>
      <c r="D83" s="46" t="s">
        <v>764</v>
      </c>
      <c r="E83" s="48" t="s">
        <v>696</v>
      </c>
      <c r="F83" s="48" t="s">
        <v>696</v>
      </c>
      <c r="G83" s="48" t="s">
        <v>696</v>
      </c>
      <c r="H83" s="48" t="s">
        <v>696</v>
      </c>
      <c r="I83" s="48" t="s">
        <v>696</v>
      </c>
      <c r="J83" s="48" t="s">
        <v>696</v>
      </c>
      <c r="K83" s="48" t="s">
        <v>696</v>
      </c>
      <c r="L83" s="48" t="s">
        <v>696</v>
      </c>
      <c r="M83" s="184" t="s">
        <v>396</v>
      </c>
      <c r="N83" s="18"/>
    </row>
    <row r="84" spans="1:14" s="190" customFormat="1" ht="16.899999999999999" customHeight="1">
      <c r="A84" s="29"/>
      <c r="B84" s="468"/>
      <c r="C84" s="223" t="s">
        <v>765</v>
      </c>
      <c r="D84" s="223" t="s">
        <v>766</v>
      </c>
      <c r="E84" s="223"/>
      <c r="F84" s="223"/>
      <c r="G84" s="223"/>
      <c r="H84" s="223"/>
      <c r="I84" s="223"/>
      <c r="J84" s="223"/>
      <c r="K84" s="223"/>
      <c r="L84" s="223"/>
      <c r="M84" s="469"/>
      <c r="N84" s="18"/>
    </row>
    <row r="85" spans="1:14" s="190" customFormat="1" ht="16.899999999999999" customHeight="1">
      <c r="A85" s="29"/>
      <c r="B85" s="468"/>
      <c r="C85" s="46" t="s">
        <v>767</v>
      </c>
      <c r="D85" s="46" t="s">
        <v>768</v>
      </c>
      <c r="E85" s="48" t="s">
        <v>17</v>
      </c>
      <c r="F85" s="48" t="s">
        <v>17</v>
      </c>
      <c r="G85" s="538" t="s">
        <v>17</v>
      </c>
      <c r="H85" s="538" t="s">
        <v>17</v>
      </c>
      <c r="I85" s="538" t="s">
        <v>17</v>
      </c>
      <c r="J85" s="538" t="s">
        <v>17</v>
      </c>
      <c r="K85" s="538" t="s">
        <v>17</v>
      </c>
      <c r="L85" s="538" t="s">
        <v>17</v>
      </c>
      <c r="M85" s="184" t="s">
        <v>396</v>
      </c>
      <c r="N85" s="18"/>
    </row>
    <row r="86" spans="1:14" s="190" customFormat="1" ht="16.899999999999999" customHeight="1">
      <c r="A86" s="29"/>
      <c r="B86" s="468"/>
      <c r="C86" s="46" t="s">
        <v>769</v>
      </c>
      <c r="D86" s="46" t="s">
        <v>770</v>
      </c>
      <c r="E86" s="48" t="s">
        <v>17</v>
      </c>
      <c r="F86" s="48" t="s">
        <v>17</v>
      </c>
      <c r="G86" s="538" t="s">
        <v>17</v>
      </c>
      <c r="H86" s="538" t="s">
        <v>17</v>
      </c>
      <c r="I86" s="538" t="s">
        <v>17</v>
      </c>
      <c r="J86" s="538" t="s">
        <v>17</v>
      </c>
      <c r="K86" s="538" t="s">
        <v>17</v>
      </c>
      <c r="L86" s="538" t="s">
        <v>17</v>
      </c>
      <c r="M86" s="469"/>
      <c r="N86" s="18"/>
    </row>
    <row r="87" spans="1:14" s="190" customFormat="1" ht="16.899999999999999" customHeight="1">
      <c r="A87" s="29"/>
      <c r="B87" s="468"/>
      <c r="C87" s="46" t="s">
        <v>771</v>
      </c>
      <c r="D87" s="46" t="s">
        <v>772</v>
      </c>
      <c r="E87" s="48" t="s">
        <v>17</v>
      </c>
      <c r="F87" s="48" t="s">
        <v>17</v>
      </c>
      <c r="G87" s="538" t="s">
        <v>17</v>
      </c>
      <c r="H87" s="538" t="s">
        <v>17</v>
      </c>
      <c r="I87" s="538" t="s">
        <v>17</v>
      </c>
      <c r="J87" s="538" t="s">
        <v>17</v>
      </c>
      <c r="K87" s="538" t="s">
        <v>17</v>
      </c>
      <c r="L87" s="538" t="s">
        <v>17</v>
      </c>
      <c r="M87" s="469"/>
      <c r="N87" s="18"/>
    </row>
    <row r="88" spans="1:14" s="190" customFormat="1" ht="16.899999999999999" customHeight="1">
      <c r="A88" s="29"/>
      <c r="B88" s="468"/>
      <c r="C88" s="46" t="s">
        <v>773</v>
      </c>
      <c r="D88" s="46" t="s">
        <v>774</v>
      </c>
      <c r="E88" s="48" t="s">
        <v>17</v>
      </c>
      <c r="F88" s="48" t="s">
        <v>17</v>
      </c>
      <c r="G88" s="538" t="s">
        <v>17</v>
      </c>
      <c r="H88" s="538" t="s">
        <v>17</v>
      </c>
      <c r="I88" s="538" t="s">
        <v>17</v>
      </c>
      <c r="J88" s="538" t="s">
        <v>17</v>
      </c>
      <c r="K88" s="538" t="s">
        <v>17</v>
      </c>
      <c r="L88" s="538" t="s">
        <v>17</v>
      </c>
      <c r="M88" s="469"/>
      <c r="N88" s="18"/>
    </row>
    <row r="89" spans="1:14" s="190" customFormat="1" ht="16.899999999999999" customHeight="1">
      <c r="A89" s="29"/>
      <c r="B89" s="468"/>
      <c r="C89" s="46" t="s">
        <v>775</v>
      </c>
      <c r="D89" s="46" t="s">
        <v>776</v>
      </c>
      <c r="E89" s="48" t="s">
        <v>696</v>
      </c>
      <c r="F89" s="48" t="s">
        <v>696</v>
      </c>
      <c r="G89" s="48" t="s">
        <v>696</v>
      </c>
      <c r="H89" s="48" t="s">
        <v>696</v>
      </c>
      <c r="I89" s="48" t="s">
        <v>696</v>
      </c>
      <c r="J89" s="48" t="s">
        <v>696</v>
      </c>
      <c r="K89" s="48" t="s">
        <v>696</v>
      </c>
      <c r="L89" s="48" t="s">
        <v>696</v>
      </c>
      <c r="M89" s="469"/>
      <c r="N89" s="18"/>
    </row>
    <row r="90" spans="1:14" s="190" customFormat="1" ht="16.899999999999999" customHeight="1">
      <c r="A90" s="29"/>
      <c r="B90" s="468"/>
      <c r="C90" s="46" t="s">
        <v>777</v>
      </c>
      <c r="D90" s="46" t="s">
        <v>778</v>
      </c>
      <c r="E90" s="48" t="s">
        <v>696</v>
      </c>
      <c r="F90" s="48" t="s">
        <v>696</v>
      </c>
      <c r="G90" s="48" t="s">
        <v>696</v>
      </c>
      <c r="H90" s="48" t="s">
        <v>696</v>
      </c>
      <c r="I90" s="48" t="s">
        <v>696</v>
      </c>
      <c r="J90" s="48" t="s">
        <v>696</v>
      </c>
      <c r="K90" s="48" t="s">
        <v>696</v>
      </c>
      <c r="L90" s="48" t="s">
        <v>696</v>
      </c>
      <c r="M90" s="469"/>
      <c r="N90" s="18"/>
    </row>
    <row r="91" spans="1:14" s="190" customFormat="1" ht="16.899999999999999" customHeight="1">
      <c r="A91" s="29"/>
      <c r="B91" s="468"/>
      <c r="C91" s="46" t="s">
        <v>779</v>
      </c>
      <c r="D91" s="46" t="s">
        <v>780</v>
      </c>
      <c r="E91" s="48" t="s">
        <v>696</v>
      </c>
      <c r="F91" s="48" t="s">
        <v>696</v>
      </c>
      <c r="G91" s="48" t="s">
        <v>696</v>
      </c>
      <c r="H91" s="48" t="s">
        <v>696</v>
      </c>
      <c r="I91" s="48" t="s">
        <v>696</v>
      </c>
      <c r="J91" s="48" t="s">
        <v>696</v>
      </c>
      <c r="K91" s="48" t="s">
        <v>696</v>
      </c>
      <c r="L91" s="48" t="s">
        <v>696</v>
      </c>
      <c r="M91" s="469"/>
      <c r="N91" s="18"/>
    </row>
    <row r="92" spans="1:14" ht="16.899999999999999" customHeight="1">
      <c r="A92" s="29"/>
      <c r="B92" s="468"/>
      <c r="C92" s="46" t="s">
        <v>781</v>
      </c>
      <c r="D92" s="46" t="s">
        <v>782</v>
      </c>
      <c r="E92" s="48" t="s">
        <v>17</v>
      </c>
      <c r="F92" s="48" t="s">
        <v>17</v>
      </c>
      <c r="G92" s="538" t="s">
        <v>17</v>
      </c>
      <c r="H92" s="538" t="s">
        <v>17</v>
      </c>
      <c r="I92" s="538" t="s">
        <v>17</v>
      </c>
      <c r="J92" s="538" t="s">
        <v>17</v>
      </c>
      <c r="K92" s="538" t="s">
        <v>17</v>
      </c>
      <c r="L92" s="538" t="s">
        <v>17</v>
      </c>
      <c r="M92" s="184" t="s">
        <v>396</v>
      </c>
      <c r="N92" s="29"/>
    </row>
    <row r="93" spans="1:14" s="29" customFormat="1" ht="16.899999999999999" customHeight="1">
      <c r="B93" s="468"/>
      <c r="C93" s="46" t="s">
        <v>783</v>
      </c>
      <c r="D93" s="46" t="s">
        <v>784</v>
      </c>
      <c r="E93" s="48" t="s">
        <v>17</v>
      </c>
      <c r="F93" s="48" t="s">
        <v>17</v>
      </c>
      <c r="G93" s="538" t="s">
        <v>17</v>
      </c>
      <c r="H93" s="539" t="s">
        <v>17</v>
      </c>
      <c r="I93" s="539" t="s">
        <v>17</v>
      </c>
      <c r="J93" s="539" t="s">
        <v>17</v>
      </c>
      <c r="K93" s="539" t="s">
        <v>17</v>
      </c>
      <c r="L93" s="539" t="s">
        <v>17</v>
      </c>
      <c r="M93" s="469"/>
    </row>
    <row r="94" spans="1:14" ht="16.899999999999999" customHeight="1">
      <c r="B94" s="468"/>
      <c r="C94" s="46" t="s">
        <v>785</v>
      </c>
      <c r="D94" s="46" t="s">
        <v>786</v>
      </c>
      <c r="E94" s="48" t="s">
        <v>696</v>
      </c>
      <c r="F94" s="48" t="s">
        <v>696</v>
      </c>
      <c r="G94" s="48" t="s">
        <v>696</v>
      </c>
      <c r="H94" s="48" t="s">
        <v>696</v>
      </c>
      <c r="I94" s="48" t="s">
        <v>696</v>
      </c>
      <c r="J94" s="48" t="s">
        <v>696</v>
      </c>
      <c r="K94" s="48" t="s">
        <v>696</v>
      </c>
      <c r="L94" s="48" t="s">
        <v>696</v>
      </c>
      <c r="M94" s="469"/>
    </row>
    <row r="95" spans="1:14" ht="16.899999999999999" customHeight="1">
      <c r="B95" s="468"/>
      <c r="C95" s="46" t="s">
        <v>787</v>
      </c>
      <c r="D95" s="46" t="s">
        <v>788</v>
      </c>
      <c r="E95" s="48" t="s">
        <v>696</v>
      </c>
      <c r="F95" s="48" t="s">
        <v>696</v>
      </c>
      <c r="G95" s="48" t="s">
        <v>696</v>
      </c>
      <c r="H95" s="48" t="s">
        <v>696</v>
      </c>
      <c r="I95" s="48" t="s">
        <v>696</v>
      </c>
      <c r="J95" s="48" t="s">
        <v>696</v>
      </c>
      <c r="K95" s="48" t="s">
        <v>696</v>
      </c>
      <c r="L95" s="48" t="s">
        <v>696</v>
      </c>
      <c r="M95" s="469"/>
    </row>
    <row r="96" spans="1:14" ht="16.899999999999999" customHeight="1">
      <c r="B96" s="468"/>
      <c r="C96" s="46" t="s">
        <v>789</v>
      </c>
      <c r="D96" s="46" t="s">
        <v>790</v>
      </c>
      <c r="E96" s="48" t="s">
        <v>696</v>
      </c>
      <c r="F96" s="48" t="s">
        <v>696</v>
      </c>
      <c r="G96" s="48" t="s">
        <v>696</v>
      </c>
      <c r="H96" s="48" t="s">
        <v>696</v>
      </c>
      <c r="I96" s="48" t="s">
        <v>696</v>
      </c>
      <c r="J96" s="48" t="s">
        <v>696</v>
      </c>
      <c r="K96" s="48" t="s">
        <v>696</v>
      </c>
      <c r="L96" s="48" t="s">
        <v>696</v>
      </c>
      <c r="M96" s="469"/>
    </row>
    <row r="97" spans="2:14" ht="16.899999999999999" customHeight="1">
      <c r="B97" s="468"/>
      <c r="C97" s="46" t="s">
        <v>791</v>
      </c>
      <c r="D97" s="46" t="s">
        <v>792</v>
      </c>
      <c r="E97" s="48" t="s">
        <v>17</v>
      </c>
      <c r="F97" s="48" t="s">
        <v>17</v>
      </c>
      <c r="G97" s="538" t="s">
        <v>17</v>
      </c>
      <c r="H97" s="538" t="s">
        <v>17</v>
      </c>
      <c r="I97" s="538" t="s">
        <v>17</v>
      </c>
      <c r="J97" s="538" t="s">
        <v>17</v>
      </c>
      <c r="K97" s="538" t="s">
        <v>17</v>
      </c>
      <c r="L97" s="538" t="s">
        <v>17</v>
      </c>
      <c r="M97" s="469"/>
    </row>
    <row r="98" spans="2:14" ht="16.899999999999999" customHeight="1">
      <c r="B98" s="468"/>
      <c r="C98" s="46" t="s">
        <v>793</v>
      </c>
      <c r="D98" s="46" t="s">
        <v>794</v>
      </c>
      <c r="E98" s="48" t="s">
        <v>17</v>
      </c>
      <c r="F98" s="48" t="s">
        <v>17</v>
      </c>
      <c r="G98" s="538" t="s">
        <v>17</v>
      </c>
      <c r="H98" s="538" t="s">
        <v>17</v>
      </c>
      <c r="I98" s="538" t="s">
        <v>17</v>
      </c>
      <c r="J98" s="538" t="s">
        <v>17</v>
      </c>
      <c r="K98" s="538" t="s">
        <v>17</v>
      </c>
      <c r="L98" s="538" t="s">
        <v>17</v>
      </c>
      <c r="M98" s="469"/>
    </row>
    <row r="99" spans="2:14" ht="16.899999999999999" customHeight="1">
      <c r="B99" s="468"/>
      <c r="C99" s="46" t="s">
        <v>795</v>
      </c>
      <c r="D99" s="46" t="s">
        <v>796</v>
      </c>
      <c r="E99" s="48" t="s">
        <v>17</v>
      </c>
      <c r="F99" s="48" t="s">
        <v>17</v>
      </c>
      <c r="G99" s="538" t="s">
        <v>17</v>
      </c>
      <c r="H99" s="538" t="s">
        <v>17</v>
      </c>
      <c r="I99" s="538" t="s">
        <v>17</v>
      </c>
      <c r="J99" s="538" t="s">
        <v>17</v>
      </c>
      <c r="K99" s="538" t="s">
        <v>17</v>
      </c>
      <c r="L99" s="538" t="s">
        <v>17</v>
      </c>
      <c r="M99" s="469"/>
    </row>
    <row r="100" spans="2:14" ht="16.899999999999999" customHeight="1">
      <c r="B100" s="468"/>
      <c r="C100" s="46" t="s">
        <v>797</v>
      </c>
      <c r="D100" s="46" t="s">
        <v>798</v>
      </c>
      <c r="E100" s="48" t="s">
        <v>696</v>
      </c>
      <c r="F100" s="48" t="s">
        <v>696</v>
      </c>
      <c r="G100" s="48" t="s">
        <v>696</v>
      </c>
      <c r="H100" s="48" t="s">
        <v>696</v>
      </c>
      <c r="I100" s="48" t="s">
        <v>696</v>
      </c>
      <c r="J100" s="48" t="s">
        <v>696</v>
      </c>
      <c r="K100" s="48" t="s">
        <v>696</v>
      </c>
      <c r="L100" s="48" t="s">
        <v>696</v>
      </c>
      <c r="M100" s="469"/>
    </row>
    <row r="101" spans="2:14" ht="16.899999999999999" customHeight="1">
      <c r="B101" s="468"/>
      <c r="C101" s="223" t="s">
        <v>799</v>
      </c>
      <c r="D101" s="223" t="s">
        <v>800</v>
      </c>
      <c r="E101" s="223"/>
      <c r="F101" s="223"/>
      <c r="G101" s="223"/>
      <c r="H101" s="223"/>
      <c r="I101" s="223"/>
      <c r="J101" s="223"/>
      <c r="K101" s="223"/>
      <c r="L101" s="223"/>
      <c r="M101" s="469"/>
    </row>
    <row r="102" spans="2:14" ht="16.899999999999999" customHeight="1">
      <c r="B102" s="468"/>
      <c r="C102" s="46" t="s">
        <v>801</v>
      </c>
      <c r="D102" s="46" t="s">
        <v>802</v>
      </c>
      <c r="E102" s="48" t="s">
        <v>696</v>
      </c>
      <c r="F102" s="48" t="s">
        <v>696</v>
      </c>
      <c r="G102" s="48" t="s">
        <v>696</v>
      </c>
      <c r="H102" s="48" t="s">
        <v>696</v>
      </c>
      <c r="I102" s="48" t="s">
        <v>696</v>
      </c>
      <c r="J102" s="48" t="s">
        <v>696</v>
      </c>
      <c r="K102" s="48" t="s">
        <v>696</v>
      </c>
      <c r="L102" s="48" t="s">
        <v>696</v>
      </c>
      <c r="M102" s="469"/>
    </row>
    <row r="103" spans="2:14" ht="16.899999999999999" customHeight="1">
      <c r="B103" s="468"/>
      <c r="C103" s="46" t="s">
        <v>803</v>
      </c>
      <c r="D103" s="46" t="s">
        <v>804</v>
      </c>
      <c r="E103" s="48" t="s">
        <v>696</v>
      </c>
      <c r="F103" s="48" t="s">
        <v>696</v>
      </c>
      <c r="G103" s="48" t="s">
        <v>696</v>
      </c>
      <c r="H103" s="48" t="s">
        <v>696</v>
      </c>
      <c r="I103" s="48" t="s">
        <v>696</v>
      </c>
      <c r="J103" s="48" t="s">
        <v>696</v>
      </c>
      <c r="K103" s="48" t="s">
        <v>696</v>
      </c>
      <c r="L103" s="48" t="s">
        <v>696</v>
      </c>
      <c r="M103" s="469"/>
    </row>
    <row r="104" spans="2:14" ht="16.899999999999999" customHeight="1">
      <c r="B104" s="468"/>
      <c r="C104" s="46" t="s">
        <v>805</v>
      </c>
      <c r="D104" s="46" t="s">
        <v>806</v>
      </c>
      <c r="E104" s="48" t="s">
        <v>696</v>
      </c>
      <c r="F104" s="48" t="s">
        <v>696</v>
      </c>
      <c r="G104" s="48" t="s">
        <v>696</v>
      </c>
      <c r="H104" s="48" t="s">
        <v>696</v>
      </c>
      <c r="I104" s="48" t="s">
        <v>696</v>
      </c>
      <c r="J104" s="48" t="s">
        <v>696</v>
      </c>
      <c r="K104" s="48" t="s">
        <v>696</v>
      </c>
      <c r="L104" s="48" t="s">
        <v>696</v>
      </c>
      <c r="M104" s="469"/>
    </row>
    <row r="105" spans="2:14" ht="16.899999999999999" customHeight="1">
      <c r="B105" s="468"/>
      <c r="C105" s="46" t="s">
        <v>807</v>
      </c>
      <c r="D105" s="46" t="s">
        <v>808</v>
      </c>
      <c r="E105" s="48" t="s">
        <v>17</v>
      </c>
      <c r="F105" s="48" t="s">
        <v>17</v>
      </c>
      <c r="G105" s="538" t="s">
        <v>17</v>
      </c>
      <c r="H105" s="538" t="s">
        <v>17</v>
      </c>
      <c r="I105" s="538" t="s">
        <v>17</v>
      </c>
      <c r="J105" s="538" t="s">
        <v>17</v>
      </c>
      <c r="K105" s="538" t="s">
        <v>17</v>
      </c>
      <c r="L105" s="538" t="s">
        <v>17</v>
      </c>
      <c r="M105" s="469"/>
    </row>
    <row r="106" spans="2:14" ht="16.899999999999999" customHeight="1">
      <c r="B106" s="468"/>
      <c r="C106" s="46" t="s">
        <v>809</v>
      </c>
      <c r="D106" s="46" t="s">
        <v>810</v>
      </c>
      <c r="E106" s="48" t="s">
        <v>696</v>
      </c>
      <c r="F106" s="48" t="s">
        <v>696</v>
      </c>
      <c r="G106" s="48" t="s">
        <v>696</v>
      </c>
      <c r="H106" s="48" t="s">
        <v>696</v>
      </c>
      <c r="I106" s="48" t="s">
        <v>696</v>
      </c>
      <c r="J106" s="48" t="s">
        <v>696</v>
      </c>
      <c r="K106" s="48" t="s">
        <v>696</v>
      </c>
      <c r="L106" s="48" t="s">
        <v>696</v>
      </c>
      <c r="M106" s="469"/>
    </row>
    <row r="107" spans="2:14" ht="16.899999999999999" customHeight="1">
      <c r="B107" s="468"/>
      <c r="C107" s="46" t="s">
        <v>811</v>
      </c>
      <c r="D107" s="46" t="s">
        <v>812</v>
      </c>
      <c r="E107" s="48" t="s">
        <v>696</v>
      </c>
      <c r="F107" s="48" t="s">
        <v>696</v>
      </c>
      <c r="G107" s="48" t="s">
        <v>696</v>
      </c>
      <c r="H107" s="48" t="s">
        <v>696</v>
      </c>
      <c r="I107" s="48" t="s">
        <v>696</v>
      </c>
      <c r="J107" s="48" t="s">
        <v>696</v>
      </c>
      <c r="K107" s="48" t="s">
        <v>696</v>
      </c>
      <c r="L107" s="48" t="s">
        <v>696</v>
      </c>
      <c r="M107" s="469"/>
      <c r="N107" s="29"/>
    </row>
    <row r="108" spans="2:14" ht="16.899999999999999" customHeight="1">
      <c r="B108" s="468"/>
      <c r="C108" s="46" t="s">
        <v>813</v>
      </c>
      <c r="D108" s="46" t="s">
        <v>814</v>
      </c>
      <c r="E108" s="48" t="s">
        <v>696</v>
      </c>
      <c r="F108" s="48" t="s">
        <v>696</v>
      </c>
      <c r="G108" s="48" t="s">
        <v>696</v>
      </c>
      <c r="H108" s="48" t="s">
        <v>696</v>
      </c>
      <c r="I108" s="48" t="s">
        <v>696</v>
      </c>
      <c r="J108" s="48" t="s">
        <v>696</v>
      </c>
      <c r="K108" s="48" t="s">
        <v>696</v>
      </c>
      <c r="L108" s="48" t="s">
        <v>696</v>
      </c>
      <c r="M108" s="469"/>
      <c r="N108" s="29"/>
    </row>
    <row r="109" spans="2:14" ht="16.899999999999999" customHeight="1">
      <c r="B109" s="468"/>
      <c r="C109" s="46" t="s">
        <v>815</v>
      </c>
      <c r="D109" s="46" t="s">
        <v>816</v>
      </c>
      <c r="E109" s="48" t="s">
        <v>696</v>
      </c>
      <c r="F109" s="48" t="s">
        <v>696</v>
      </c>
      <c r="G109" s="48" t="s">
        <v>696</v>
      </c>
      <c r="H109" s="48" t="s">
        <v>696</v>
      </c>
      <c r="I109" s="48" t="s">
        <v>696</v>
      </c>
      <c r="J109" s="48" t="s">
        <v>696</v>
      </c>
      <c r="K109" s="48" t="s">
        <v>696</v>
      </c>
      <c r="L109" s="48" t="s">
        <v>696</v>
      </c>
      <c r="M109" s="469"/>
      <c r="N109" s="29"/>
    </row>
    <row r="110" spans="2:14" ht="16.899999999999999" customHeight="1">
      <c r="B110" s="468"/>
      <c r="C110" s="46" t="s">
        <v>817</v>
      </c>
      <c r="D110" s="46" t="s">
        <v>818</v>
      </c>
      <c r="E110" s="48" t="s">
        <v>696</v>
      </c>
      <c r="F110" s="48" t="s">
        <v>696</v>
      </c>
      <c r="G110" s="48" t="s">
        <v>696</v>
      </c>
      <c r="H110" s="48" t="s">
        <v>696</v>
      </c>
      <c r="I110" s="48" t="s">
        <v>696</v>
      </c>
      <c r="J110" s="48" t="s">
        <v>696</v>
      </c>
      <c r="K110" s="48" t="s">
        <v>696</v>
      </c>
      <c r="L110" s="48" t="s">
        <v>696</v>
      </c>
      <c r="M110" s="469"/>
      <c r="N110" s="29"/>
    </row>
    <row r="111" spans="2:14" ht="16.899999999999999" customHeight="1">
      <c r="B111" s="468"/>
      <c r="C111" s="46" t="s">
        <v>819</v>
      </c>
      <c r="D111" s="46" t="s">
        <v>820</v>
      </c>
      <c r="E111" s="48" t="s">
        <v>696</v>
      </c>
      <c r="F111" s="48" t="s">
        <v>696</v>
      </c>
      <c r="G111" s="48" t="s">
        <v>696</v>
      </c>
      <c r="H111" s="48" t="s">
        <v>696</v>
      </c>
      <c r="I111" s="48" t="s">
        <v>696</v>
      </c>
      <c r="J111" s="48" t="s">
        <v>696</v>
      </c>
      <c r="K111" s="48" t="s">
        <v>696</v>
      </c>
      <c r="L111" s="48" t="s">
        <v>696</v>
      </c>
      <c r="M111" s="469"/>
      <c r="N111" s="29"/>
    </row>
    <row r="112" spans="2:14" ht="16.899999999999999" customHeight="1">
      <c r="B112" s="468"/>
      <c r="C112" s="46" t="s">
        <v>821</v>
      </c>
      <c r="D112" s="46" t="s">
        <v>822</v>
      </c>
      <c r="E112" s="48" t="s">
        <v>696</v>
      </c>
      <c r="F112" s="48" t="s">
        <v>696</v>
      </c>
      <c r="G112" s="48" t="s">
        <v>696</v>
      </c>
      <c r="H112" s="48" t="s">
        <v>696</v>
      </c>
      <c r="I112" s="48" t="s">
        <v>696</v>
      </c>
      <c r="J112" s="48" t="s">
        <v>696</v>
      </c>
      <c r="K112" s="48" t="s">
        <v>696</v>
      </c>
      <c r="L112" s="48" t="s">
        <v>696</v>
      </c>
      <c r="M112" s="469"/>
      <c r="N112" s="29"/>
    </row>
    <row r="113" spans="2:13" ht="16.899999999999999" customHeight="1">
      <c r="B113" s="468"/>
      <c r="C113" s="468"/>
      <c r="D113" s="468"/>
      <c r="E113" s="468"/>
      <c r="F113" s="468"/>
      <c r="G113" s="468"/>
      <c r="H113" s="468"/>
      <c r="I113" s="468"/>
      <c r="J113" s="468"/>
      <c r="K113" s="468"/>
      <c r="L113" s="468"/>
      <c r="M113" s="476"/>
    </row>
    <row r="114" spans="2:13" ht="16">
      <c r="B114" s="141" t="str">
        <f>"© W/E adviseurs, Utrecht/Eindhoven, versie rekenhulpmiddelen "&amp;TEXT(Wijzigingsblad!$B$3,"d mmmm jjjj")</f>
        <v>© W/E adviseurs, Utrecht/Eindhoven, versie rekenhulpmiddelen 17 april 2024</v>
      </c>
    </row>
  </sheetData>
  <sheetProtection sheet="1" objects="1" scenarios="1"/>
  <mergeCells count="6">
    <mergeCell ref="B3:D3"/>
    <mergeCell ref="D10:E10"/>
    <mergeCell ref="D6:E6"/>
    <mergeCell ref="D7:E7"/>
    <mergeCell ref="D8:E8"/>
    <mergeCell ref="D9:E9"/>
  </mergeCells>
  <dataValidations count="8">
    <dataValidation type="decimal" operator="greaterThanOrEqual" allowBlank="1" showInputMessage="1" showErrorMessage="1" sqref="G16:H16 D16:D91 E16 E24:L24 E38:L38 E50:L50 E57:L57 E84:L84" xr:uid="{EAB0986A-1F66-4707-91D3-519FA6FACA4B}">
      <formula1>0</formula1>
    </dataValidation>
    <dataValidation allowBlank="1" showInputMessage="1" showErrorMessage="1" promptTitle="Uitzondering" prompt="Op moment van oplevering, schilderwerk uitsluiten." sqref="M54" xr:uid="{B4CBB6AA-4F56-4232-ADB7-EC5102EF0F0C}"/>
    <dataValidation type="list" allowBlank="1" showInputMessage="1" showErrorMessage="1" sqref="D12:E12" xr:uid="{45F64AEE-34C4-486F-A149-9CC2613486D4}">
      <formula1>$E$15:$L$15</formula1>
    </dataValidation>
    <dataValidation allowBlank="1" showInputMessage="1" showErrorMessage="1" promptTitle="Uitzondering" prompt="Op moment van oplevering, schilderwerk en behang uitsluiten._x000a_" sqref="M52" xr:uid="{FC0E3124-2F25-48F8-ABE3-EF723B2ACA65}"/>
    <dataValidation allowBlank="1" showInputMessage="1" showErrorMessage="1" promptTitle="Uitzondering" prompt="Op moment van oplevering, vloerbedekkingen uitsluiten." sqref="M53" xr:uid="{0FAF9CF1-EE57-459A-A734-7970FCEE6D0F}"/>
    <dataValidation allowBlank="1" showInputMessage="1" showErrorMessage="1" prompt="Niet meegenomen in inijking daarom negeren_x000a_" sqref="M81:M83" xr:uid="{11E37CD1-3C71-4673-BF97-D22E6A254694}"/>
    <dataValidation allowBlank="1" showInputMessage="1" showErrorMessage="1" promptTitle="Uitzondering" prompt="Enkel in de collectieve ruimtes van woningen." sqref="M92" xr:uid="{06A1F1D5-8889-422F-B884-4A6E0A550B36}"/>
    <dataValidation allowBlank="1" showInputMessage="1" showErrorMessage="1" prompt="Gewijzigd 17 april 2024. _x000a_Hier stond onterecht overal een 'O'. Ook opwek van zonnestroom valt onder 61.10. " sqref="M85" xr:uid="{B150D6A1-4F72-4CDC-8A46-28F7876F94A9}"/>
  </dataValidations>
  <hyperlinks>
    <hyperlink ref="A1" location="'Overzicht GPR Hulpmiddelen'!A1" tooltip="naar startscherm" display="&lt;" xr:uid="{23BF0D59-570A-4BDB-B6F0-9AF4E899D545}"/>
  </hyperlinks>
  <pageMargins left="0.7" right="0.7" top="0.75" bottom="0.75" header="0.3" footer="0.3"/>
  <pageSetup paperSize="9" scale="51" orientation="portrait" horizontalDpi="4294967293"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CCCA9-7251-4DB3-9AAC-B87BA1A9FEDD}">
  <sheetPr codeName="Blad5">
    <tabColor theme="9"/>
    <pageSetUpPr fitToPage="1"/>
  </sheetPr>
  <dimension ref="A1:T46"/>
  <sheetViews>
    <sheetView showGridLines="0" showRowColHeaders="0" zoomScaleNormal="100" workbookViewId="0">
      <pane xSplit="1" ySplit="3" topLeftCell="B4" activePane="bottomRight" state="frozen"/>
      <selection pane="topRight" activeCell="B1" sqref="B1"/>
      <selection pane="bottomLeft" activeCell="A4" sqref="A4"/>
      <selection pane="bottomRight" activeCell="C21" sqref="C21:D21"/>
    </sheetView>
  </sheetViews>
  <sheetFormatPr defaultColWidth="9.1796875" defaultRowHeight="17.5"/>
  <cols>
    <col min="1" max="1" width="10.7265625" style="84" customWidth="1"/>
    <col min="2" max="2" width="2.7265625" style="84" customWidth="1"/>
    <col min="3" max="3" width="21.7265625" style="84" customWidth="1"/>
    <col min="4" max="4" width="21.81640625" style="84" customWidth="1"/>
    <col min="5" max="5" width="14.7265625" style="84" customWidth="1"/>
    <col min="6" max="6" width="20.7265625" style="84" customWidth="1"/>
    <col min="7" max="7" width="16.7265625" style="84" customWidth="1"/>
    <col min="8" max="8" width="11.26953125" style="84" customWidth="1"/>
    <col min="9" max="9" width="16.7265625" style="84" customWidth="1"/>
    <col min="10" max="10" width="11.26953125" style="85" customWidth="1"/>
    <col min="11" max="11" width="16.7265625" style="84" customWidth="1"/>
    <col min="12" max="12" width="11.26953125" style="85" customWidth="1"/>
    <col min="13" max="13" width="11.26953125" style="84" customWidth="1"/>
    <col min="14" max="14" width="16.7265625" style="85" customWidth="1"/>
    <col min="15" max="15" width="11.26953125" style="85" customWidth="1"/>
    <col min="16" max="16" width="16.7265625" style="85" customWidth="1"/>
    <col min="17" max="17" width="11.26953125" style="84" customWidth="1"/>
    <col min="18" max="18" width="14.26953125" style="84" bestFit="1" customWidth="1"/>
    <col min="19" max="19" width="11.26953125" style="84" customWidth="1"/>
    <col min="20" max="20" width="2.7265625" style="84" customWidth="1"/>
    <col min="21" max="16378" width="9.1796875" style="84"/>
    <col min="16379" max="16379" width="9.1796875" style="84" bestFit="1"/>
    <col min="16380" max="16384" width="9.1796875" style="84"/>
  </cols>
  <sheetData>
    <row r="1" spans="1:20" s="18" customFormat="1" ht="32.5">
      <c r="A1" s="176" t="s">
        <v>12</v>
      </c>
      <c r="B1" s="174"/>
      <c r="C1" s="175"/>
      <c r="D1" s="31"/>
      <c r="E1" s="31"/>
      <c r="F1" s="31"/>
      <c r="G1" s="31"/>
      <c r="H1" s="21"/>
      <c r="K1" s="21"/>
      <c r="L1" s="21"/>
      <c r="T1" s="229"/>
    </row>
    <row r="2" spans="1:20" s="19" customFormat="1" ht="21">
      <c r="A2" s="33"/>
      <c r="B2" s="28" t="s">
        <v>823</v>
      </c>
      <c r="C2" s="32"/>
      <c r="D2" s="32"/>
      <c r="E2" s="32"/>
      <c r="F2" s="32"/>
      <c r="G2" s="32"/>
      <c r="H2" s="32"/>
      <c r="I2" s="32"/>
      <c r="J2" s="27"/>
      <c r="K2" s="28"/>
      <c r="L2" s="27"/>
      <c r="M2" s="28"/>
      <c r="N2" s="27"/>
      <c r="O2" s="27"/>
      <c r="P2" s="27"/>
      <c r="Q2" s="28"/>
      <c r="R2" s="33"/>
      <c r="S2" s="33"/>
      <c r="T2" s="767"/>
    </row>
    <row r="3" spans="1:20" s="29" customFormat="1">
      <c r="B3" s="1687">
        <v>44698</v>
      </c>
      <c r="C3" s="1688"/>
      <c r="D3" s="1713"/>
      <c r="T3" s="230"/>
    </row>
    <row r="4" spans="1:20" s="18" customFormat="1">
      <c r="B4" s="14"/>
      <c r="C4" s="67"/>
      <c r="D4" s="67"/>
      <c r="E4" s="67"/>
      <c r="F4" s="67"/>
      <c r="G4" s="14"/>
      <c r="H4" s="14"/>
      <c r="I4" s="14"/>
      <c r="J4" s="14"/>
      <c r="K4" s="14"/>
      <c r="L4" s="14"/>
      <c r="M4" s="14"/>
      <c r="N4" s="14"/>
      <c r="O4" s="14"/>
      <c r="P4" s="14"/>
      <c r="Q4" s="14"/>
      <c r="R4" s="167"/>
      <c r="S4" s="167"/>
      <c r="T4" s="768"/>
    </row>
    <row r="5" spans="1:20" s="19" customFormat="1">
      <c r="B5" s="14"/>
      <c r="C5" s="68" t="s">
        <v>3</v>
      </c>
      <c r="D5" s="67"/>
      <c r="E5" s="67"/>
      <c r="F5" s="67"/>
      <c r="G5" s="14"/>
      <c r="H5" s="41" t="s">
        <v>485</v>
      </c>
      <c r="I5" s="14"/>
      <c r="J5" s="14"/>
      <c r="K5" s="14"/>
      <c r="L5" s="14"/>
      <c r="M5" s="14"/>
      <c r="N5" s="14"/>
      <c r="O5" s="14"/>
      <c r="P5" s="14"/>
      <c r="Q5" s="14"/>
      <c r="R5" s="168"/>
      <c r="S5" s="168"/>
      <c r="T5" s="769"/>
    </row>
    <row r="6" spans="1:20" s="19" customFormat="1">
      <c r="B6" s="14"/>
      <c r="C6" s="22" t="s">
        <v>4</v>
      </c>
      <c r="D6" s="1691" t="str">
        <f>IF('Overzicht GPR Hulpmiddelen'!D6="","",'Overzicht GPR Hulpmiddelen'!D6)</f>
        <v/>
      </c>
      <c r="E6" s="1691"/>
      <c r="F6" s="1691"/>
      <c r="G6" s="14"/>
      <c r="H6" s="14"/>
      <c r="I6" s="14"/>
      <c r="J6" s="14"/>
      <c r="K6" s="14"/>
      <c r="L6" s="14"/>
      <c r="M6" s="14"/>
      <c r="N6" s="14"/>
      <c r="O6" s="14"/>
      <c r="P6" s="14"/>
      <c r="Q6" s="14"/>
      <c r="R6" s="168"/>
      <c r="S6" s="168"/>
      <c r="T6" s="769"/>
    </row>
    <row r="7" spans="1:20" s="19" customFormat="1">
      <c r="B7" s="14"/>
      <c r="C7" s="22" t="s">
        <v>5</v>
      </c>
      <c r="D7" s="1691" t="str">
        <f>IF('Overzicht GPR Hulpmiddelen'!D7="","",'Overzicht GPR Hulpmiddelen'!D7)</f>
        <v/>
      </c>
      <c r="E7" s="1691"/>
      <c r="F7" s="1691"/>
      <c r="G7" s="14"/>
      <c r="H7" s="14"/>
      <c r="I7" s="14"/>
      <c r="J7" s="14"/>
      <c r="K7" s="14"/>
      <c r="L7" s="14"/>
      <c r="M7" s="14"/>
      <c r="N7" s="14"/>
      <c r="O7" s="14"/>
      <c r="P7" s="14"/>
      <c r="Q7" s="14"/>
      <c r="R7" s="168"/>
      <c r="S7" s="168"/>
      <c r="T7" s="769"/>
    </row>
    <row r="8" spans="1:20" s="19" customFormat="1">
      <c r="B8" s="14"/>
      <c r="C8" s="22" t="s">
        <v>6</v>
      </c>
      <c r="D8" s="1691" t="str">
        <f>IF('Overzicht GPR Hulpmiddelen'!D8="","",'Overzicht GPR Hulpmiddelen'!D8)</f>
        <v/>
      </c>
      <c r="E8" s="1691"/>
      <c r="F8" s="1691"/>
      <c r="G8" s="14"/>
      <c r="H8" s="14"/>
      <c r="I8" s="14"/>
      <c r="J8" s="14"/>
      <c r="K8" s="14"/>
      <c r="L8" s="14"/>
      <c r="M8" s="14"/>
      <c r="N8" s="14"/>
      <c r="O8" s="14"/>
      <c r="P8" s="14"/>
      <c r="Q8" s="14"/>
      <c r="R8" s="168"/>
      <c r="S8" s="168"/>
      <c r="T8" s="769"/>
    </row>
    <row r="9" spans="1:20" s="19" customFormat="1">
      <c r="B9" s="14"/>
      <c r="C9" s="22" t="s">
        <v>7</v>
      </c>
      <c r="D9" s="1699" t="str">
        <f>IF('Overzicht GPR Hulpmiddelen'!D9="","",'Overzicht GPR Hulpmiddelen'!D9)</f>
        <v/>
      </c>
      <c r="E9" s="1699"/>
      <c r="F9" s="1699"/>
      <c r="G9" s="14"/>
      <c r="H9" s="14"/>
      <c r="I9" s="14"/>
      <c r="J9" s="14"/>
      <c r="K9" s="14"/>
      <c r="L9" s="14"/>
      <c r="M9" s="14"/>
      <c r="N9" s="14"/>
      <c r="O9" s="14"/>
      <c r="P9" s="14"/>
      <c r="Q9" s="14"/>
      <c r="R9" s="168"/>
      <c r="S9" s="168"/>
      <c r="T9" s="769"/>
    </row>
    <row r="10" spans="1:20" s="19" customFormat="1">
      <c r="B10" s="14"/>
      <c r="C10" s="22" t="s">
        <v>488</v>
      </c>
      <c r="D10" s="1685"/>
      <c r="E10" s="1685"/>
      <c r="F10" s="1685"/>
      <c r="G10" s="14"/>
      <c r="H10" s="14"/>
      <c r="I10" s="14"/>
      <c r="J10" s="14"/>
      <c r="K10" s="14"/>
      <c r="L10" s="14"/>
      <c r="M10" s="14"/>
      <c r="N10" s="14"/>
      <c r="O10" s="14"/>
      <c r="P10" s="14"/>
      <c r="Q10" s="14"/>
      <c r="R10" s="168"/>
      <c r="S10" s="168"/>
      <c r="T10" s="769"/>
    </row>
    <row r="11" spans="1:20" s="18" customFormat="1">
      <c r="B11" s="14"/>
      <c r="C11" s="14"/>
      <c r="D11" s="34"/>
      <c r="E11" s="34"/>
      <c r="F11" s="34"/>
      <c r="G11" s="34"/>
      <c r="H11" s="34"/>
      <c r="I11" s="34"/>
      <c r="J11" s="14"/>
      <c r="K11" s="12"/>
      <c r="L11" s="14"/>
      <c r="M11" s="12"/>
      <c r="N11" s="14"/>
      <c r="O11" s="14"/>
      <c r="P11" s="14"/>
      <c r="Q11" s="12"/>
      <c r="R11" s="167"/>
      <c r="S11" s="167"/>
      <c r="T11" s="768"/>
    </row>
    <row r="12" spans="1:20" s="18" customFormat="1">
      <c r="B12" s="14"/>
      <c r="C12" s="14"/>
      <c r="D12" s="34"/>
      <c r="E12" s="34"/>
      <c r="F12" s="34"/>
      <c r="G12" s="34"/>
      <c r="H12" s="34"/>
      <c r="I12" s="34"/>
      <c r="J12" s="14"/>
      <c r="K12" s="12"/>
      <c r="L12" s="14"/>
      <c r="M12" s="12"/>
      <c r="N12" s="14"/>
      <c r="O12" s="14"/>
      <c r="P12" s="14"/>
      <c r="Q12" s="12"/>
      <c r="R12" s="167"/>
      <c r="S12" s="167"/>
      <c r="T12" s="768"/>
    </row>
    <row r="13" spans="1:20" s="18" customFormat="1">
      <c r="B13" s="14"/>
      <c r="C13" s="14"/>
      <c r="D13" s="34"/>
      <c r="E13" s="34"/>
      <c r="F13" s="34"/>
      <c r="G13" s="34"/>
      <c r="H13" s="34"/>
      <c r="I13" s="34"/>
      <c r="J13" s="14"/>
      <c r="K13" s="12"/>
      <c r="L13" s="14"/>
      <c r="M13" s="12"/>
      <c r="N13" s="35"/>
      <c r="O13" s="14"/>
      <c r="P13" s="14"/>
      <c r="Q13" s="12"/>
      <c r="R13" s="167"/>
      <c r="S13" s="167"/>
      <c r="T13" s="768"/>
    </row>
    <row r="14" spans="1:20" s="18" customFormat="1">
      <c r="B14" s="14"/>
      <c r="C14" s="15" t="s">
        <v>824</v>
      </c>
      <c r="D14" s="15"/>
      <c r="E14" s="14"/>
      <c r="F14" s="14"/>
      <c r="G14" s="14"/>
      <c r="H14" s="14"/>
      <c r="I14" s="14"/>
      <c r="J14" s="14"/>
      <c r="K14" s="14"/>
      <c r="L14" s="14"/>
      <c r="M14" s="60"/>
      <c r="N14" s="35"/>
      <c r="O14" s="14"/>
      <c r="P14" s="14"/>
      <c r="Q14" s="12"/>
      <c r="R14" s="167"/>
      <c r="S14" s="167"/>
      <c r="T14" s="768"/>
    </row>
    <row r="15" spans="1:20" s="18" customFormat="1">
      <c r="B15" s="14"/>
      <c r="C15" s="1716" t="s">
        <v>825</v>
      </c>
      <c r="D15" s="1726"/>
      <c r="E15" s="540" t="str">
        <f>IFERROR(S31/I38,"-")</f>
        <v>-</v>
      </c>
      <c r="F15" s="511"/>
      <c r="G15" s="34"/>
      <c r="H15" s="788" t="s">
        <v>826</v>
      </c>
      <c r="I15" s="786"/>
      <c r="J15" s="787"/>
      <c r="K15" s="166"/>
      <c r="L15" s="787"/>
      <c r="M15" s="166"/>
      <c r="N15" s="35"/>
      <c r="O15" s="14"/>
      <c r="P15" s="14"/>
      <c r="Q15" s="12"/>
      <c r="R15" s="167"/>
      <c r="S15" s="167"/>
      <c r="T15" s="768"/>
    </row>
    <row r="16" spans="1:20" s="18" customFormat="1">
      <c r="B16" s="14"/>
      <c r="C16" s="14"/>
      <c r="D16" s="14"/>
      <c r="E16" s="14"/>
      <c r="F16" s="14"/>
      <c r="G16" s="34"/>
      <c r="H16" s="34"/>
      <c r="I16" s="34"/>
      <c r="J16" s="14"/>
      <c r="K16" s="12"/>
      <c r="L16" s="14"/>
      <c r="M16" s="12"/>
      <c r="N16" s="14"/>
      <c r="O16" s="14"/>
      <c r="P16" s="14"/>
      <c r="Q16" s="12"/>
      <c r="R16" s="167"/>
      <c r="S16" s="167"/>
      <c r="T16" s="768"/>
    </row>
    <row r="17" spans="2:20" s="18" customFormat="1">
      <c r="B17" s="14"/>
      <c r="C17" s="15" t="s">
        <v>827</v>
      </c>
      <c r="D17" s="14"/>
      <c r="E17" s="14"/>
      <c r="F17" s="14"/>
      <c r="G17" s="34"/>
      <c r="H17" s="34"/>
      <c r="I17" s="34"/>
      <c r="J17" s="14"/>
      <c r="K17" s="12"/>
      <c r="L17" s="14"/>
      <c r="M17" s="12"/>
      <c r="N17" s="14"/>
      <c r="O17" s="14"/>
      <c r="P17" s="14"/>
      <c r="Q17" s="14"/>
      <c r="R17" s="14"/>
      <c r="S17" s="14"/>
      <c r="T17" s="67"/>
    </row>
    <row r="18" spans="2:20" s="18" customFormat="1">
      <c r="B18" s="14"/>
      <c r="C18" s="57" t="s">
        <v>828</v>
      </c>
      <c r="D18" s="57"/>
      <c r="E18" s="57" t="s">
        <v>829</v>
      </c>
      <c r="F18" s="89"/>
      <c r="G18" s="89"/>
      <c r="H18" s="89"/>
      <c r="I18" s="89"/>
      <c r="J18" s="89"/>
      <c r="K18" s="89"/>
      <c r="L18" s="89"/>
      <c r="M18" s="89"/>
      <c r="N18" s="57" t="s">
        <v>830</v>
      </c>
      <c r="O18" s="57"/>
      <c r="P18" s="57" t="s">
        <v>831</v>
      </c>
      <c r="Q18" s="57"/>
      <c r="R18" s="57" t="s">
        <v>832</v>
      </c>
      <c r="S18" s="57" t="s">
        <v>833</v>
      </c>
      <c r="T18" s="15"/>
    </row>
    <row r="19" spans="2:20" s="18" customFormat="1">
      <c r="B19" s="14"/>
      <c r="C19" s="57"/>
      <c r="D19" s="57"/>
      <c r="E19" s="164" t="s">
        <v>834</v>
      </c>
      <c r="F19" s="508" t="s">
        <v>396</v>
      </c>
      <c r="G19" s="164" t="s">
        <v>835</v>
      </c>
      <c r="H19" s="508" t="s">
        <v>396</v>
      </c>
      <c r="I19" s="164" t="s">
        <v>836</v>
      </c>
      <c r="J19" s="508" t="s">
        <v>396</v>
      </c>
      <c r="K19" s="164" t="s">
        <v>837</v>
      </c>
      <c r="L19" s="508" t="s">
        <v>396</v>
      </c>
      <c r="M19" s="508" t="s">
        <v>396</v>
      </c>
      <c r="N19" s="14"/>
      <c r="O19" s="508" t="s">
        <v>396</v>
      </c>
      <c r="P19" s="57"/>
      <c r="Q19" s="508" t="s">
        <v>396</v>
      </c>
      <c r="R19" s="57"/>
      <c r="S19" s="508" t="s">
        <v>396</v>
      </c>
      <c r="T19" s="770"/>
    </row>
    <row r="20" spans="2:20" s="18" customFormat="1">
      <c r="B20" s="14"/>
      <c r="C20" s="57" t="s">
        <v>838</v>
      </c>
      <c r="D20" s="57"/>
      <c r="E20" s="164" t="s">
        <v>839</v>
      </c>
      <c r="F20" s="163" t="s">
        <v>840</v>
      </c>
      <c r="G20" s="164" t="s">
        <v>839</v>
      </c>
      <c r="H20" s="163" t="s">
        <v>841</v>
      </c>
      <c r="I20" s="164" t="s">
        <v>839</v>
      </c>
      <c r="J20" s="163" t="s">
        <v>842</v>
      </c>
      <c r="K20" s="164" t="s">
        <v>839</v>
      </c>
      <c r="L20" s="163" t="s">
        <v>843</v>
      </c>
      <c r="M20" s="509" t="s">
        <v>844</v>
      </c>
      <c r="N20" s="57" t="s">
        <v>839</v>
      </c>
      <c r="O20" s="26" t="s">
        <v>845</v>
      </c>
      <c r="P20" s="57" t="s">
        <v>839</v>
      </c>
      <c r="Q20" s="26" t="s">
        <v>846</v>
      </c>
      <c r="R20" s="26" t="s">
        <v>847</v>
      </c>
      <c r="S20" s="26" t="s">
        <v>848</v>
      </c>
      <c r="T20" s="15"/>
    </row>
    <row r="21" spans="2:20" s="116" customFormat="1">
      <c r="B21" s="210"/>
      <c r="C21" s="1725"/>
      <c r="D21" s="1725"/>
      <c r="E21" s="773"/>
      <c r="F21" s="774" t="str">
        <f t="shared" ref="F21:F30" si="0">IF(OR($C21="",E21=""),"",INDEX(type_verbinding_scores,MATCH(E21,type_verbinding_keuzes,0)))</f>
        <v/>
      </c>
      <c r="G21" s="773"/>
      <c r="H21" s="774" t="str">
        <f t="shared" ref="H21:H30" si="1">IF(OR($C21="",G21=""),"",INDEX(toegankelijkheid_verbinding_scores,MATCH(G21,toegankelijkheid_verbinding_keuzes,0)))</f>
        <v/>
      </c>
      <c r="I21" s="773"/>
      <c r="J21" s="774" t="str">
        <f t="shared" ref="J21:J30" si="2">IF(OR($C21="",I21=""),"",INDEX(doorkruisingen_scores,MATCH(I21,doorkruisingen_keuzes,0)))</f>
        <v/>
      </c>
      <c r="K21" s="773"/>
      <c r="L21" s="774" t="str">
        <f>IF(OR($C21="",K21=""),"",INDEX(tabellen!$E$35:$E$37,MATCH(K21,tabellen!$C$35:$C$37,0)))</f>
        <v/>
      </c>
      <c r="M21" s="775" t="str">
        <f t="shared" ref="M21:M30" si="3">IF(OR($C21="",$F21="",$H21="",$J21="",$L21=""),"",4/((1/F21)+(1/H21)+(1/J21)+(1/L21)))</f>
        <v/>
      </c>
      <c r="N21" s="776"/>
      <c r="O21" s="777" t="str">
        <f t="shared" ref="O21:O30" si="4">IF(OR($C21="",N21=""),"",INDEX(kwaliteitsfactor_scores,MATCH(N21,kwaliteitsfactor_keuzes,0)))</f>
        <v/>
      </c>
      <c r="P21" s="776"/>
      <c r="Q21" s="784" t="str">
        <f t="shared" ref="Q21:Q30" si="5">IF(OR($C21="",P21=""),"",INDEX(marktwaarde_scores,MATCH(P21,marktwaarde_keuzes,0)))</f>
        <v/>
      </c>
      <c r="R21" s="778"/>
      <c r="S21" s="779" t="str">
        <f t="shared" ref="S21:S30" si="6">IF(OR($C21="",$M21="",$O21="",$Q21="",$R21=""),"",M21*O21*Q21*R21)</f>
        <v/>
      </c>
      <c r="T21" s="780"/>
    </row>
    <row r="22" spans="2:20" s="116" customFormat="1">
      <c r="B22" s="210"/>
      <c r="C22" s="1725"/>
      <c r="D22" s="1725"/>
      <c r="E22" s="773"/>
      <c r="F22" s="774" t="str">
        <f t="shared" si="0"/>
        <v/>
      </c>
      <c r="G22" s="773"/>
      <c r="H22" s="774" t="str">
        <f t="shared" si="1"/>
        <v/>
      </c>
      <c r="I22" s="773"/>
      <c r="J22" s="774" t="str">
        <f t="shared" si="2"/>
        <v/>
      </c>
      <c r="K22" s="773"/>
      <c r="L22" s="774" t="str">
        <f>IF(OR($C22="",K22=""),"",INDEX(tabellen!$E$35:$E$37,MATCH(K22,tabellen!$C$35:$C$37,0)))</f>
        <v/>
      </c>
      <c r="M22" s="775" t="str">
        <f t="shared" si="3"/>
        <v/>
      </c>
      <c r="N22" s="776"/>
      <c r="O22" s="777" t="str">
        <f t="shared" si="4"/>
        <v/>
      </c>
      <c r="P22" s="776"/>
      <c r="Q22" s="784" t="str">
        <f t="shared" si="5"/>
        <v/>
      </c>
      <c r="R22" s="778"/>
      <c r="S22" s="779" t="str">
        <f t="shared" si="6"/>
        <v/>
      </c>
      <c r="T22" s="780"/>
    </row>
    <row r="23" spans="2:20" s="116" customFormat="1">
      <c r="B23" s="210"/>
      <c r="C23" s="1725"/>
      <c r="D23" s="1725"/>
      <c r="E23" s="773"/>
      <c r="F23" s="774" t="str">
        <f t="shared" si="0"/>
        <v/>
      </c>
      <c r="G23" s="773"/>
      <c r="H23" s="774" t="str">
        <f t="shared" si="1"/>
        <v/>
      </c>
      <c r="I23" s="773"/>
      <c r="J23" s="774" t="str">
        <f t="shared" si="2"/>
        <v/>
      </c>
      <c r="K23" s="773"/>
      <c r="L23" s="774" t="str">
        <f>IF(OR($C23="",K23=""),"",INDEX(tabellen!$E$35:$E$37,MATCH(K23,tabellen!$C$35:$C$37,0)))</f>
        <v/>
      </c>
      <c r="M23" s="775" t="str">
        <f t="shared" si="3"/>
        <v/>
      </c>
      <c r="N23" s="776"/>
      <c r="O23" s="777" t="str">
        <f t="shared" si="4"/>
        <v/>
      </c>
      <c r="P23" s="776"/>
      <c r="Q23" s="784" t="str">
        <f t="shared" si="5"/>
        <v/>
      </c>
      <c r="R23" s="778"/>
      <c r="S23" s="779" t="str">
        <f t="shared" si="6"/>
        <v/>
      </c>
      <c r="T23" s="780"/>
    </row>
    <row r="24" spans="2:20" s="116" customFormat="1">
      <c r="B24" s="210"/>
      <c r="C24" s="1725"/>
      <c r="D24" s="1725"/>
      <c r="E24" s="773"/>
      <c r="F24" s="774" t="str">
        <f t="shared" si="0"/>
        <v/>
      </c>
      <c r="G24" s="773"/>
      <c r="H24" s="774" t="str">
        <f t="shared" si="1"/>
        <v/>
      </c>
      <c r="I24" s="773"/>
      <c r="J24" s="774" t="str">
        <f t="shared" si="2"/>
        <v/>
      </c>
      <c r="K24" s="773"/>
      <c r="L24" s="774" t="str">
        <f>IF(OR($C24="",K24=""),"",INDEX(tabellen!$E$35:$E$37,MATCH(K24,tabellen!$C$35:$C$37,0)))</f>
        <v/>
      </c>
      <c r="M24" s="775" t="str">
        <f t="shared" si="3"/>
        <v/>
      </c>
      <c r="N24" s="776"/>
      <c r="O24" s="777" t="str">
        <f t="shared" si="4"/>
        <v/>
      </c>
      <c r="P24" s="776"/>
      <c r="Q24" s="784" t="str">
        <f t="shared" si="5"/>
        <v/>
      </c>
      <c r="R24" s="778"/>
      <c r="S24" s="779" t="str">
        <f t="shared" si="6"/>
        <v/>
      </c>
      <c r="T24" s="780"/>
    </row>
    <row r="25" spans="2:20" s="116" customFormat="1">
      <c r="B25" s="210"/>
      <c r="C25" s="1725"/>
      <c r="D25" s="1725"/>
      <c r="E25" s="773"/>
      <c r="F25" s="774" t="str">
        <f t="shared" si="0"/>
        <v/>
      </c>
      <c r="G25" s="773"/>
      <c r="H25" s="774" t="str">
        <f t="shared" si="1"/>
        <v/>
      </c>
      <c r="I25" s="773"/>
      <c r="J25" s="774" t="str">
        <f t="shared" si="2"/>
        <v/>
      </c>
      <c r="K25" s="773"/>
      <c r="L25" s="774" t="str">
        <f>IF(OR($C25="",K25=""),"",INDEX(tabellen!$E$35:$E$37,MATCH(K25,tabellen!$C$35:$C$37,0)))</f>
        <v/>
      </c>
      <c r="M25" s="775" t="str">
        <f t="shared" si="3"/>
        <v/>
      </c>
      <c r="N25" s="776"/>
      <c r="O25" s="777" t="str">
        <f t="shared" si="4"/>
        <v/>
      </c>
      <c r="P25" s="776"/>
      <c r="Q25" s="784" t="str">
        <f t="shared" si="5"/>
        <v/>
      </c>
      <c r="R25" s="778"/>
      <c r="S25" s="779" t="str">
        <f t="shared" si="6"/>
        <v/>
      </c>
      <c r="T25" s="780"/>
    </row>
    <row r="26" spans="2:20" s="116" customFormat="1">
      <c r="B26" s="210"/>
      <c r="C26" s="1725"/>
      <c r="D26" s="1725"/>
      <c r="E26" s="773"/>
      <c r="F26" s="774" t="str">
        <f t="shared" si="0"/>
        <v/>
      </c>
      <c r="G26" s="773"/>
      <c r="H26" s="774" t="str">
        <f t="shared" si="1"/>
        <v/>
      </c>
      <c r="I26" s="773"/>
      <c r="J26" s="774" t="str">
        <f t="shared" si="2"/>
        <v/>
      </c>
      <c r="K26" s="773"/>
      <c r="L26" s="774" t="str">
        <f>IF(OR($C26="",K26=""),"",INDEX(tabellen!$E$35:$E$37,MATCH(K26,tabellen!$C$35:$C$37,0)))</f>
        <v/>
      </c>
      <c r="M26" s="775" t="str">
        <f t="shared" si="3"/>
        <v/>
      </c>
      <c r="N26" s="776"/>
      <c r="O26" s="777" t="str">
        <f t="shared" si="4"/>
        <v/>
      </c>
      <c r="P26" s="776"/>
      <c r="Q26" s="784" t="str">
        <f t="shared" si="5"/>
        <v/>
      </c>
      <c r="R26" s="778"/>
      <c r="S26" s="779" t="str">
        <f t="shared" si="6"/>
        <v/>
      </c>
      <c r="T26" s="780"/>
    </row>
    <row r="27" spans="2:20" s="116" customFormat="1">
      <c r="B27" s="210"/>
      <c r="C27" s="1725"/>
      <c r="D27" s="1725"/>
      <c r="E27" s="773"/>
      <c r="F27" s="774" t="str">
        <f t="shared" si="0"/>
        <v/>
      </c>
      <c r="G27" s="773"/>
      <c r="H27" s="774" t="str">
        <f t="shared" si="1"/>
        <v/>
      </c>
      <c r="I27" s="773"/>
      <c r="J27" s="774" t="str">
        <f t="shared" si="2"/>
        <v/>
      </c>
      <c r="K27" s="773"/>
      <c r="L27" s="774" t="str">
        <f>IF(OR($C27="",K27=""),"",INDEX(tabellen!$E$35:$E$37,MATCH(K27,tabellen!$C$35:$C$37,0)))</f>
        <v/>
      </c>
      <c r="M27" s="775" t="str">
        <f t="shared" si="3"/>
        <v/>
      </c>
      <c r="N27" s="776"/>
      <c r="O27" s="777" t="str">
        <f t="shared" si="4"/>
        <v/>
      </c>
      <c r="P27" s="776"/>
      <c r="Q27" s="784" t="str">
        <f t="shared" si="5"/>
        <v/>
      </c>
      <c r="R27" s="778"/>
      <c r="S27" s="779" t="str">
        <f t="shared" si="6"/>
        <v/>
      </c>
      <c r="T27" s="780"/>
    </row>
    <row r="28" spans="2:20" s="116" customFormat="1">
      <c r="B28" s="210"/>
      <c r="C28" s="1725"/>
      <c r="D28" s="1725"/>
      <c r="E28" s="773"/>
      <c r="F28" s="774" t="str">
        <f t="shared" si="0"/>
        <v/>
      </c>
      <c r="G28" s="773"/>
      <c r="H28" s="774" t="str">
        <f t="shared" si="1"/>
        <v/>
      </c>
      <c r="I28" s="773"/>
      <c r="J28" s="774" t="str">
        <f t="shared" si="2"/>
        <v/>
      </c>
      <c r="K28" s="773"/>
      <c r="L28" s="774" t="str">
        <f>IF(OR($C28="",K28=""),"",INDEX(tabellen!$E$35:$E$37,MATCH(K28,tabellen!$C$35:$C$37,0)))</f>
        <v/>
      </c>
      <c r="M28" s="775" t="str">
        <f t="shared" si="3"/>
        <v/>
      </c>
      <c r="N28" s="776"/>
      <c r="O28" s="777" t="str">
        <f t="shared" si="4"/>
        <v/>
      </c>
      <c r="P28" s="776"/>
      <c r="Q28" s="784" t="str">
        <f t="shared" si="5"/>
        <v/>
      </c>
      <c r="R28" s="778"/>
      <c r="S28" s="779" t="str">
        <f t="shared" si="6"/>
        <v/>
      </c>
      <c r="T28" s="780"/>
    </row>
    <row r="29" spans="2:20" s="116" customFormat="1">
      <c r="B29" s="210"/>
      <c r="C29" s="1725"/>
      <c r="D29" s="1725"/>
      <c r="E29" s="773"/>
      <c r="F29" s="774" t="str">
        <f t="shared" si="0"/>
        <v/>
      </c>
      <c r="G29" s="773"/>
      <c r="H29" s="774" t="str">
        <f t="shared" si="1"/>
        <v/>
      </c>
      <c r="I29" s="773"/>
      <c r="J29" s="774" t="str">
        <f t="shared" si="2"/>
        <v/>
      </c>
      <c r="K29" s="773"/>
      <c r="L29" s="774" t="str">
        <f>IF(OR($C29="",K29=""),"",INDEX(tabellen!$E$35:$E$37,MATCH(K29,tabellen!$C$35:$C$37,0)))</f>
        <v/>
      </c>
      <c r="M29" s="775" t="str">
        <f t="shared" si="3"/>
        <v/>
      </c>
      <c r="N29" s="776"/>
      <c r="O29" s="777" t="str">
        <f t="shared" si="4"/>
        <v/>
      </c>
      <c r="P29" s="776"/>
      <c r="Q29" s="784" t="str">
        <f t="shared" si="5"/>
        <v/>
      </c>
      <c r="R29" s="778"/>
      <c r="S29" s="779" t="str">
        <f t="shared" si="6"/>
        <v/>
      </c>
      <c r="T29" s="780"/>
    </row>
    <row r="30" spans="2:20" s="116" customFormat="1">
      <c r="B30" s="210"/>
      <c r="C30" s="1725"/>
      <c r="D30" s="1725"/>
      <c r="E30" s="773"/>
      <c r="F30" s="774" t="str">
        <f t="shared" si="0"/>
        <v/>
      </c>
      <c r="G30" s="773"/>
      <c r="H30" s="774" t="str">
        <f t="shared" si="1"/>
        <v/>
      </c>
      <c r="I30" s="773"/>
      <c r="J30" s="774" t="str">
        <f t="shared" si="2"/>
        <v/>
      </c>
      <c r="K30" s="773"/>
      <c r="L30" s="774" t="str">
        <f>IF(OR($C30="",K30=""),"",INDEX(tabellen!$E$35:$E$37,MATCH(K30,tabellen!$C$35:$C$37,0)))</f>
        <v/>
      </c>
      <c r="M30" s="775" t="str">
        <f t="shared" si="3"/>
        <v/>
      </c>
      <c r="N30" s="776"/>
      <c r="O30" s="777" t="str">
        <f t="shared" si="4"/>
        <v/>
      </c>
      <c r="P30" s="776"/>
      <c r="Q30" s="784" t="str">
        <f t="shared" si="5"/>
        <v/>
      </c>
      <c r="R30" s="778"/>
      <c r="S30" s="779" t="str">
        <f t="shared" si="6"/>
        <v/>
      </c>
      <c r="T30" s="780"/>
    </row>
    <row r="31" spans="2:20" s="19" customFormat="1">
      <c r="B31" s="14"/>
      <c r="C31" s="62" t="s">
        <v>318</v>
      </c>
      <c r="D31" s="62"/>
      <c r="E31" s="62"/>
      <c r="F31" s="62"/>
      <c r="G31" s="62"/>
      <c r="H31" s="62"/>
      <c r="I31" s="62"/>
      <c r="J31" s="62"/>
      <c r="K31" s="62"/>
      <c r="L31" s="62"/>
      <c r="M31" s="62"/>
      <c r="N31" s="62"/>
      <c r="O31" s="62"/>
      <c r="P31" s="62"/>
      <c r="Q31" s="62"/>
      <c r="R31" s="62"/>
      <c r="S31" s="170">
        <f>SUM(S21:S30)</f>
        <v>0</v>
      </c>
      <c r="T31" s="15"/>
    </row>
    <row r="32" spans="2:20" s="18" customFormat="1">
      <c r="B32" s="14"/>
      <c r="C32" s="14"/>
      <c r="D32" s="14"/>
      <c r="E32" s="14"/>
      <c r="F32" s="14"/>
      <c r="G32" s="34"/>
      <c r="H32" s="34"/>
      <c r="I32" s="34"/>
      <c r="J32" s="14"/>
      <c r="K32" s="12"/>
      <c r="L32" s="14"/>
      <c r="M32" s="12"/>
      <c r="N32" s="14"/>
      <c r="O32" s="14"/>
      <c r="P32" s="14"/>
      <c r="Q32" s="12"/>
      <c r="R32" s="167"/>
      <c r="S32" s="167"/>
      <c r="T32" s="768"/>
    </row>
    <row r="33" spans="2:20" s="18" customFormat="1">
      <c r="B33" s="14"/>
      <c r="C33" s="15" t="s">
        <v>849</v>
      </c>
      <c r="D33" s="15"/>
      <c r="E33" s="15"/>
      <c r="F33" s="15"/>
      <c r="G33" s="15"/>
      <c r="H33" s="161"/>
      <c r="I33" s="15"/>
      <c r="J33" s="14"/>
      <c r="K33" s="12"/>
      <c r="L33" s="14"/>
      <c r="M33" s="12"/>
      <c r="N33" s="14"/>
      <c r="O33" s="14"/>
      <c r="P33" s="14"/>
      <c r="Q33" s="12"/>
      <c r="R33" s="167"/>
      <c r="S33" s="167"/>
      <c r="T33" s="768"/>
    </row>
    <row r="34" spans="2:20" s="18" customFormat="1">
      <c r="B34" s="14"/>
      <c r="C34" s="57"/>
      <c r="D34" s="57"/>
      <c r="E34" s="26" t="s">
        <v>850</v>
      </c>
      <c r="F34" s="57"/>
      <c r="G34" s="26" t="s">
        <v>851</v>
      </c>
      <c r="H34" s="26"/>
      <c r="I34" s="26"/>
      <c r="J34" s="14"/>
      <c r="K34" s="12"/>
      <c r="L34" s="14"/>
      <c r="M34" s="12"/>
      <c r="N34" s="14"/>
      <c r="O34" s="14"/>
      <c r="P34" s="14"/>
      <c r="Q34" s="12"/>
      <c r="R34" s="167"/>
      <c r="S34" s="167"/>
      <c r="T34" s="768"/>
    </row>
    <row r="35" spans="2:20" s="18" customFormat="1">
      <c r="B35" s="14"/>
      <c r="C35" s="57"/>
      <c r="D35" s="57"/>
      <c r="E35" s="26" t="s">
        <v>852</v>
      </c>
      <c r="F35" s="57"/>
      <c r="G35" s="26" t="s">
        <v>853</v>
      </c>
      <c r="H35" s="26"/>
      <c r="I35" s="26"/>
      <c r="J35" s="14"/>
      <c r="K35" s="12"/>
      <c r="L35" s="14"/>
      <c r="M35" s="12"/>
      <c r="N35" s="14"/>
      <c r="O35" s="14"/>
      <c r="P35" s="14"/>
      <c r="Q35" s="12"/>
      <c r="R35" s="167"/>
      <c r="S35" s="167"/>
      <c r="T35" s="768"/>
    </row>
    <row r="36" spans="2:20" s="18" customFormat="1">
      <c r="B36" s="14"/>
      <c r="C36" s="1705" t="s">
        <v>854</v>
      </c>
      <c r="D36" s="1705"/>
      <c r="E36" s="162"/>
      <c r="F36" s="57"/>
      <c r="G36" s="26"/>
      <c r="H36" s="26"/>
      <c r="I36" s="26"/>
      <c r="J36" s="14"/>
      <c r="K36" s="12"/>
      <c r="L36" s="14"/>
      <c r="M36" s="12"/>
      <c r="N36" s="14"/>
      <c r="O36" s="14"/>
      <c r="P36" s="14"/>
      <c r="Q36" s="12"/>
      <c r="R36" s="167"/>
      <c r="S36" s="167"/>
      <c r="T36" s="768"/>
    </row>
    <row r="37" spans="2:20" s="18" customFormat="1">
      <c r="B37" s="14"/>
      <c r="C37" s="1705" t="s">
        <v>855</v>
      </c>
      <c r="D37" s="1705"/>
      <c r="E37" s="162"/>
      <c r="F37" s="57"/>
      <c r="G37" s="26"/>
      <c r="H37" s="26"/>
      <c r="I37" s="26"/>
      <c r="J37" s="14"/>
      <c r="K37" s="12"/>
      <c r="L37" s="14"/>
      <c r="M37" s="12"/>
      <c r="N37" s="14"/>
      <c r="O37" s="14"/>
      <c r="P37" s="14"/>
      <c r="Q37" s="12"/>
      <c r="R37" s="167"/>
      <c r="S37" s="167"/>
      <c r="T37" s="768"/>
    </row>
    <row r="38" spans="2:20" s="18" customFormat="1">
      <c r="B38" s="14"/>
      <c r="C38" s="1705" t="s">
        <v>856</v>
      </c>
      <c r="D38" s="1705"/>
      <c r="E38" s="169">
        <f>E36-E37</f>
        <v>0</v>
      </c>
      <c r="F38" s="169"/>
      <c r="G38" s="69">
        <v>1</v>
      </c>
      <c r="H38" s="169"/>
      <c r="I38" s="170">
        <f>E38*G38</f>
        <v>0</v>
      </c>
      <c r="J38" s="14"/>
      <c r="K38" s="12"/>
      <c r="L38" s="14"/>
      <c r="M38" s="12"/>
      <c r="N38" s="14"/>
      <c r="O38" s="14"/>
      <c r="P38" s="14"/>
      <c r="Q38" s="12"/>
      <c r="R38" s="167"/>
      <c r="S38" s="167"/>
      <c r="T38" s="768"/>
    </row>
    <row r="39" spans="2:20" s="19" customFormat="1">
      <c r="B39" s="14"/>
      <c r="C39" s="41"/>
      <c r="D39" s="14"/>
      <c r="E39" s="14"/>
      <c r="F39" s="14"/>
      <c r="G39" s="14"/>
      <c r="H39" s="14"/>
      <c r="I39" s="14"/>
      <c r="J39" s="14"/>
      <c r="K39" s="14"/>
      <c r="L39" s="14"/>
      <c r="M39" s="12"/>
      <c r="N39" s="14"/>
      <c r="O39" s="14"/>
      <c r="P39" s="14"/>
      <c r="Q39" s="12"/>
      <c r="R39" s="167"/>
      <c r="S39" s="167"/>
      <c r="T39" s="768"/>
    </row>
    <row r="40" spans="2:20" s="19" customFormat="1">
      <c r="B40" s="14"/>
      <c r="C40" s="15" t="s">
        <v>485</v>
      </c>
      <c r="D40" s="15"/>
      <c r="E40" s="15"/>
      <c r="F40" s="15"/>
      <c r="G40" s="15"/>
      <c r="H40" s="15"/>
      <c r="I40" s="15"/>
      <c r="J40" s="15"/>
      <c r="K40" s="15"/>
      <c r="L40" s="14"/>
      <c r="M40" s="12"/>
      <c r="N40" s="14"/>
      <c r="O40" s="14"/>
      <c r="P40" s="14"/>
      <c r="Q40" s="12"/>
      <c r="R40" s="167"/>
      <c r="S40" s="167"/>
      <c r="T40" s="768"/>
    </row>
    <row r="41" spans="2:20" s="763" customFormat="1">
      <c r="B41" s="41"/>
      <c r="C41" s="45" t="s">
        <v>857</v>
      </c>
      <c r="D41" s="22"/>
      <c r="E41" s="22" t="str">
        <f>E19</f>
        <v>1.1 type verbinding</v>
      </c>
      <c r="F41" s="22"/>
      <c r="G41" s="22" t="str">
        <f>G19</f>
        <v>1.2 toegankelijkheid</v>
      </c>
      <c r="H41" s="22"/>
      <c r="I41" s="22" t="str">
        <f>I19</f>
        <v>1.3 doorkruising</v>
      </c>
      <c r="J41" s="22"/>
      <c r="K41" s="22" t="str">
        <f>K19</f>
        <v>1.4 randopsluiting</v>
      </c>
      <c r="L41" s="22"/>
      <c r="M41" s="22"/>
      <c r="N41" s="22" t="str">
        <f>N18</f>
        <v>2. Kwaliteitsfactor</v>
      </c>
      <c r="O41" s="22"/>
      <c r="P41" s="22" t="str">
        <f>P18</f>
        <v>3. Marktwaarde</v>
      </c>
      <c r="Q41" s="22"/>
      <c r="R41" s="1716" t="str">
        <f>R18</f>
        <v>4. MPG product</v>
      </c>
      <c r="S41" s="1717"/>
      <c r="T41" s="771"/>
    </row>
    <row r="42" spans="2:20" s="346" customFormat="1" ht="74.25" customHeight="1">
      <c r="B42" s="764"/>
      <c r="C42" s="765"/>
      <c r="D42" s="766"/>
      <c r="E42" s="1718" t="s">
        <v>858</v>
      </c>
      <c r="F42" s="1719"/>
      <c r="G42" s="1718" t="s">
        <v>859</v>
      </c>
      <c r="H42" s="1719"/>
      <c r="I42" s="1718" t="s">
        <v>860</v>
      </c>
      <c r="J42" s="1719"/>
      <c r="K42" s="1718" t="s">
        <v>861</v>
      </c>
      <c r="L42" s="1719"/>
      <c r="M42" s="766"/>
      <c r="N42" s="1714" t="s">
        <v>862</v>
      </c>
      <c r="O42" s="1715"/>
      <c r="P42" s="1714" t="s">
        <v>863</v>
      </c>
      <c r="Q42" s="1715"/>
      <c r="R42" s="1714" t="s">
        <v>864</v>
      </c>
      <c r="S42" s="1715"/>
      <c r="T42" s="772"/>
    </row>
    <row r="43" spans="2:20" s="18" customFormat="1">
      <c r="B43" s="14"/>
      <c r="C43" s="22" t="s">
        <v>865</v>
      </c>
      <c r="D43" s="38"/>
      <c r="E43" s="1722"/>
      <c r="F43" s="1723"/>
      <c r="G43" s="1722"/>
      <c r="H43" s="1723"/>
      <c r="I43" s="1722"/>
      <c r="J43" s="1723"/>
      <c r="K43" s="1722"/>
      <c r="L43" s="1723"/>
      <c r="M43" s="38"/>
      <c r="N43" s="1720"/>
      <c r="O43" s="1700"/>
      <c r="P43" s="1720"/>
      <c r="Q43" s="1700"/>
      <c r="R43" s="167"/>
      <c r="S43" s="167"/>
      <c r="T43" s="768"/>
    </row>
    <row r="44" spans="2:20" s="781" customFormat="1" ht="87.75" customHeight="1">
      <c r="B44" s="658"/>
      <c r="C44" s="455" t="s">
        <v>866</v>
      </c>
      <c r="D44" s="455"/>
      <c r="E44" s="1721" t="str">
        <f>IFERROR(INDEX(type_verbinding_toelichting,MATCH(E43,type_verbinding_keuzes,0)),"")</f>
        <v/>
      </c>
      <c r="F44" s="1719"/>
      <c r="G44" s="1721" t="str">
        <f>IFERROR(INDEX(toegankelijkheid_verbinding_toelichting,MATCH(G43,toegankelijkheid_verbinding_keuzes,0)),"")</f>
        <v/>
      </c>
      <c r="H44" s="1719"/>
      <c r="I44" s="1721" t="str">
        <f>IFERROR(INDEX(doorkruisingen_toelichting,MATCH(I43,doorkruisingen_keuzes,0)),"")</f>
        <v/>
      </c>
      <c r="J44" s="1719"/>
      <c r="K44" s="1724" t="str" cm="1">
        <f t="array" ref="K44">IFERROR(INDEX(randopsluiting_toelichting,MATCH(K43,randopsluiting_keuzes,0)),"")</f>
        <v/>
      </c>
      <c r="L44" s="1719"/>
      <c r="M44" s="455"/>
      <c r="N44" s="1721" t="str">
        <f>IFERROR(INDEX(kwaliteitsfactor_toelichting,MATCH(N43,kwaliteitsfactor_keuzes,0)),"")</f>
        <v/>
      </c>
      <c r="O44" s="1719"/>
      <c r="P44" s="1721" t="str">
        <f>IFERROR(INDEX(marktwaarde_toelichting,MATCH(P43,marktwaarde_keuzes,0)),"")</f>
        <v/>
      </c>
      <c r="Q44" s="1719"/>
      <c r="R44" s="782"/>
      <c r="S44" s="782"/>
      <c r="T44" s="783"/>
    </row>
    <row r="45" spans="2:20" s="18" customFormat="1">
      <c r="B45" s="14"/>
      <c r="C45" s="14"/>
      <c r="D45" s="14"/>
      <c r="E45" s="14"/>
      <c r="F45" s="14"/>
      <c r="G45" s="14"/>
      <c r="H45" s="14"/>
      <c r="I45" s="14"/>
      <c r="J45" s="14"/>
      <c r="K45" s="14"/>
      <c r="L45" s="14"/>
      <c r="M45" s="14"/>
      <c r="N45" s="14"/>
      <c r="O45" s="14"/>
      <c r="P45" s="14"/>
      <c r="Q45" s="13"/>
      <c r="R45" s="167"/>
      <c r="S45" s="167"/>
      <c r="T45" s="768"/>
    </row>
    <row r="46" spans="2:20">
      <c r="B46" s="141" t="str">
        <f>"© W/E adviseurs, Utrecht/Eindhoven, versie rekenhulpmiddelen "&amp;TEXT(Wijzigingsblad!$B$3,"d mmmm jjjj")</f>
        <v>© W/E adviseurs, Utrecht/Eindhoven, versie rekenhulpmiddelen 17 april 2024</v>
      </c>
    </row>
  </sheetData>
  <sheetProtection sheet="1" objects="1" scenarios="1"/>
  <mergeCells count="40">
    <mergeCell ref="B3:D3"/>
    <mergeCell ref="C28:D28"/>
    <mergeCell ref="C29:D29"/>
    <mergeCell ref="C30:D30"/>
    <mergeCell ref="C38:D38"/>
    <mergeCell ref="C15:D15"/>
    <mergeCell ref="C36:D36"/>
    <mergeCell ref="C37:D37"/>
    <mergeCell ref="C25:D25"/>
    <mergeCell ref="C26:D26"/>
    <mergeCell ref="C27:D27"/>
    <mergeCell ref="C21:D21"/>
    <mergeCell ref="C22:D22"/>
    <mergeCell ref="C23:D23"/>
    <mergeCell ref="C24:D24"/>
    <mergeCell ref="D6:F6"/>
    <mergeCell ref="D7:F7"/>
    <mergeCell ref="D8:F8"/>
    <mergeCell ref="D10:F10"/>
    <mergeCell ref="D9:F9"/>
    <mergeCell ref="E43:F43"/>
    <mergeCell ref="E44:F44"/>
    <mergeCell ref="G44:H44"/>
    <mergeCell ref="G43:H43"/>
    <mergeCell ref="I43:J43"/>
    <mergeCell ref="K43:L43"/>
    <mergeCell ref="K44:L44"/>
    <mergeCell ref="I44:J44"/>
    <mergeCell ref="P43:Q43"/>
    <mergeCell ref="P44:Q44"/>
    <mergeCell ref="N44:O44"/>
    <mergeCell ref="N43:O43"/>
    <mergeCell ref="N42:O42"/>
    <mergeCell ref="P42:Q42"/>
    <mergeCell ref="R42:S42"/>
    <mergeCell ref="R41:S41"/>
    <mergeCell ref="E42:F42"/>
    <mergeCell ref="G42:H42"/>
    <mergeCell ref="I42:J42"/>
    <mergeCell ref="K42:L42"/>
  </mergeCells>
  <conditionalFormatting sqref="E21:E30">
    <cfRule type="expression" dxfId="77" priority="102">
      <formula>AND(E21&lt;&gt;"",ISERROR(MATCH(E21,type_verbinding_keuzes,0))=TRUE)</formula>
    </cfRule>
    <cfRule type="expression" dxfId="76" priority="103">
      <formula>$C21&lt;&gt;""</formula>
    </cfRule>
  </conditionalFormatting>
  <conditionalFormatting sqref="G21:G30">
    <cfRule type="expression" dxfId="75" priority="104">
      <formula>AND(G21&lt;&gt;"",ISERROR(MATCH(G21,toegankelijkheid_verbinding_keuzes,0))=TRUE)</formula>
    </cfRule>
    <cfRule type="expression" dxfId="74" priority="105">
      <formula>$C21&lt;&gt;""</formula>
    </cfRule>
  </conditionalFormatting>
  <conditionalFormatting sqref="I21:I30">
    <cfRule type="expression" dxfId="73" priority="106">
      <formula>AND(I21&lt;&gt;"",ISERROR(MATCH(I21,doorkruisingen_keuzes,0))=TRUE)</formula>
    </cfRule>
    <cfRule type="expression" dxfId="72" priority="107">
      <formula>$C21&lt;&gt;""</formula>
    </cfRule>
  </conditionalFormatting>
  <conditionalFormatting sqref="K21:K30 R21:R30">
    <cfRule type="expression" dxfId="71" priority="112">
      <formula>$C21&lt;&gt;""</formula>
    </cfRule>
  </conditionalFormatting>
  <conditionalFormatting sqref="N21:N30">
    <cfRule type="expression" dxfId="69" priority="108">
      <formula>AND(N21&lt;&gt;"",ISERROR(MATCH(N21,kwaliteitsfactor_keuzes,0))=TRUE)</formula>
    </cfRule>
    <cfRule type="expression" dxfId="68" priority="109">
      <formula>$C21&lt;&gt;""</formula>
    </cfRule>
  </conditionalFormatting>
  <conditionalFormatting sqref="P21:P30">
    <cfRule type="expression" dxfId="67" priority="110">
      <formula>AND(P21&lt;&gt;"",ISERROR(MATCH(P21,marktwaarde_keuzes,0))=TRUE)</formula>
    </cfRule>
    <cfRule type="expression" dxfId="66" priority="111">
      <formula>$C21&lt;&gt;""</formula>
    </cfRule>
  </conditionalFormatting>
  <dataValidations disablePrompts="1" xWindow="1433" yWindow="688" count="14">
    <dataValidation type="list" allowBlank="1" showInputMessage="1" showErrorMessage="1" sqref="E43 E21:E30" xr:uid="{0DD20E53-17E0-4982-B841-B58D097EA81C}">
      <formula1>type_verbinding_keuzes</formula1>
    </dataValidation>
    <dataValidation type="list" allowBlank="1" showInputMessage="1" showErrorMessage="1" sqref="G21:G30 G43" xr:uid="{E859FAB3-DEBD-4FDE-83A0-4BB71A3941FA}">
      <formula1>toegankelijkheid_verbinding_keuzes</formula1>
    </dataValidation>
    <dataValidation type="list" allowBlank="1" showInputMessage="1" showErrorMessage="1" sqref="I21:I30 I43" xr:uid="{22A1B8A1-8A52-4DA6-8855-7613E81E3F50}">
      <formula1>doorkruisingen_keuzes</formula1>
    </dataValidation>
    <dataValidation type="list" allowBlank="1" showInputMessage="1" showErrorMessage="1" sqref="N21:N30 N43" xr:uid="{A806DE92-CA59-4393-8634-38887508BD1E}">
      <formula1>kwaliteitsfactor_keuzes</formula1>
    </dataValidation>
    <dataValidation type="list" allowBlank="1" showInputMessage="1" showErrorMessage="1" sqref="P21:P30 P43" xr:uid="{120CD5EC-C22C-43A8-B9EF-43EDBCFA755F}">
      <formula1>marktwaarde_keuzes</formula1>
    </dataValidation>
    <dataValidation allowBlank="1" showInputMessage="1" showErrorMessage="1" promptTitle="Uitleg variabele Hpr" prompt="Hpr is de Hergebruikspotentie van het product" sqref="S19" xr:uid="{7FC4EDA4-E326-463E-8679-995D1716CDE3}"/>
    <dataValidation allowBlank="1" showInputMessage="1" showErrorMessage="1" promptTitle="Uitleg variabele TVn" prompt="Type verbinding van product of element n." sqref="F19" xr:uid="{9964F30D-09ED-4CFE-80ED-96F212731652}"/>
    <dataValidation allowBlank="1" showInputMessage="1" showErrorMessage="1" promptTitle="Uitleg variabele ToVn" prompt="Toegankelijkheid van de verbinding van product of element n." sqref="H19" xr:uid="{30A68D40-4261-4735-9271-2DEE4CBE8EC1}"/>
    <dataValidation allowBlank="1" showInputMessage="1" showErrorMessage="1" promptTitle="Uitleg variabele DKn" prompt="Doorkruisingen van product of element n." sqref="J19" xr:uid="{62656DD7-F41B-41B6-9D84-38718CA5457E}"/>
    <dataValidation allowBlank="1" showInputMessage="1" showErrorMessage="1" promptTitle="Uitleg variabele ROn" prompt="Randopsluiting van product of element n." sqref="L19" xr:uid="{DCCD34B2-8BBB-4C65-A827-5C987B9C0B98}"/>
    <dataValidation allowBlank="1" showInputMessage="1" showErrorMessage="1" promptTitle="Uitleg variabele LIPn" prompt="Losmaakbaarheidsindex van product of element n." sqref="M19" xr:uid="{AC352626-2B23-4ED5-8976-AC7958809264}"/>
    <dataValidation allowBlank="1" showInputMessage="1" showErrorMessage="1" promptTitle="Uitleg variabele Kpr" prompt="Kpr is de Kwaliteitsfactor van het product" sqref="O19" xr:uid="{7274EFC7-7423-4A9F-A1BE-E64293315DF9}"/>
    <dataValidation allowBlank="1" showInputMessage="1" showErrorMessage="1" promptTitle="Uitleg variabele Mpr" prompt="Mpr is de Marktwaarde van het product" sqref="Q19" xr:uid="{D5F21801-2AA8-46BC-AF8F-F3FE4187FC24}"/>
    <dataValidation type="list" allowBlank="1" showInputMessage="1" showErrorMessage="1" sqref="K43:L43" xr:uid="{7E852720-9130-4330-8EBF-86DAE9BD69FE}">
      <formula1>randopsluiting_keuzes</formula1>
    </dataValidation>
  </dataValidations>
  <hyperlinks>
    <hyperlink ref="A1" location="'Overzicht GPR Hulpmiddelen'!A1" tooltip="naar startscherm" display="&lt;" xr:uid="{83C560C7-5DE0-49B9-AEC9-DCC7C9C6A9DB}"/>
    <hyperlink ref="H15" r:id="rId1" xr:uid="{713E18E9-A1E9-4B2B-B6A9-96091235DFA9}"/>
  </hyperlinks>
  <pageMargins left="0.7" right="0.7" top="0.75" bottom="0.75" header="0.3" footer="0.3"/>
  <pageSetup paperSize="9" scale="45" orientation="landscape" horizontalDpi="4294967293" verticalDpi="4294967295" r:id="rId2"/>
  <drawing r:id="rId3"/>
  <extLst>
    <ext xmlns:x14="http://schemas.microsoft.com/office/spreadsheetml/2009/9/main" uri="{78C0D931-6437-407d-A8EE-F0AAD7539E65}">
      <x14:conditionalFormattings>
        <x14:conditionalFormatting xmlns:xm="http://schemas.microsoft.com/office/excel/2006/main">
          <x14:cfRule type="expression" priority="134" id="{00000000-000E-0000-0800-00000C000000}">
            <xm:f>AND(K21&lt;&gt;"",ISERROR(MATCH(K21,tabellen!$C$35:$C$37,0))=TRUE)</xm:f>
            <x14:dxf>
              <font>
                <color theme="0"/>
              </font>
              <fill>
                <patternFill>
                  <bgColor rgb="FFFF0000"/>
                </patternFill>
              </fill>
            </x14:dxf>
          </x14:cfRule>
          <xm:sqref>K21:K30</xm:sqref>
        </x14:conditionalFormatting>
      </x14:conditionalFormattings>
    </ext>
    <ext xmlns:x14="http://schemas.microsoft.com/office/spreadsheetml/2009/9/main" uri="{CCE6A557-97BC-4b89-ADB6-D9C93CAAB3DF}">
      <x14:dataValidations xmlns:xm="http://schemas.microsoft.com/office/excel/2006/main" disablePrompts="1" xWindow="1433" yWindow="688" count="1">
        <x14:dataValidation type="list" allowBlank="1" showInputMessage="1" showErrorMessage="1" xr:uid="{D9FA84F8-DBD1-4861-8B15-0E8C8FA6903C}">
          <x14:formula1>
            <xm:f>tabellen!$C$34:$C$38</xm:f>
          </x14:formula1>
          <xm:sqref>K21:K30</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FAC6D-454F-4667-A11B-66B43CF0E789}">
  <sheetPr codeName="Blad1">
    <tabColor theme="9"/>
  </sheetPr>
  <dimension ref="A1:Y141"/>
  <sheetViews>
    <sheetView showGridLines="0" showRowColHeaders="0" zoomScaleNormal="100" workbookViewId="0">
      <pane xSplit="1" ySplit="3" topLeftCell="B4" activePane="bottomRight" state="frozen"/>
      <selection pane="topRight" activeCell="B1" sqref="B1"/>
      <selection pane="bottomLeft" activeCell="A4" sqref="A4"/>
      <selection pane="bottomRight" activeCell="C21" sqref="C21"/>
    </sheetView>
  </sheetViews>
  <sheetFormatPr defaultColWidth="10.1796875" defaultRowHeight="17.5" outlineLevelRow="1"/>
  <cols>
    <col min="1" max="1" width="11.81640625" style="84" customWidth="1"/>
    <col min="2" max="2" width="3" style="84" customWidth="1"/>
    <col min="3" max="3" width="42.7265625" style="84" customWidth="1"/>
    <col min="4" max="4" width="41.453125" style="84" customWidth="1"/>
    <col min="5" max="5" width="20.7265625" style="84" customWidth="1"/>
    <col min="6" max="6" width="23" style="84" customWidth="1"/>
    <col min="7" max="7" width="18.54296875" style="84" customWidth="1"/>
    <col min="8" max="8" width="15.7265625" style="84" customWidth="1"/>
    <col min="9" max="11" width="18.54296875" style="84" customWidth="1"/>
    <col min="12" max="12" width="12.54296875" style="85" customWidth="1"/>
    <col min="13" max="13" width="18.54296875" style="84" customWidth="1"/>
    <col min="14" max="14" width="12.54296875" style="85" customWidth="1"/>
    <col min="15" max="15" width="20" style="84" customWidth="1"/>
    <col min="16" max="16" width="18.54296875" style="85" customWidth="1"/>
    <col min="17" max="17" width="16.54296875" style="85" bestFit="1" customWidth="1"/>
    <col min="18" max="18" width="0.81640625" style="85" customWidth="1"/>
    <col min="19" max="19" width="18.54296875" style="85" customWidth="1"/>
    <col min="20" max="20" width="12.54296875" style="84" customWidth="1"/>
    <col min="21" max="21" width="15.81640625" style="84" bestFit="1" customWidth="1"/>
    <col min="22" max="22" width="16.26953125" style="84" customWidth="1"/>
    <col min="23" max="23" width="7.7265625" style="84" bestFit="1" customWidth="1"/>
    <col min="24" max="16384" width="10.1796875" style="84"/>
  </cols>
  <sheetData>
    <row r="1" spans="1:24" s="18" customFormat="1" ht="32.5">
      <c r="A1" s="176" t="s">
        <v>12</v>
      </c>
      <c r="B1" s="174"/>
      <c r="C1" s="175"/>
      <c r="D1" s="31"/>
      <c r="E1" s="31"/>
      <c r="F1" s="31"/>
      <c r="G1" s="31"/>
      <c r="H1" s="21"/>
      <c r="M1" s="21"/>
      <c r="N1" s="21"/>
      <c r="W1" s="229"/>
    </row>
    <row r="2" spans="1:24" s="19" customFormat="1" ht="21">
      <c r="A2" s="33"/>
      <c r="B2" s="28" t="s">
        <v>1371</v>
      </c>
      <c r="C2" s="32"/>
      <c r="D2" s="32"/>
      <c r="E2" s="32"/>
      <c r="F2" s="32"/>
      <c r="G2" s="32"/>
      <c r="H2" s="32"/>
      <c r="I2" s="32"/>
      <c r="J2" s="32"/>
      <c r="K2" s="32"/>
      <c r="L2" s="27"/>
      <c r="M2" s="28"/>
      <c r="N2" s="27"/>
      <c r="O2" s="28"/>
      <c r="P2" s="27"/>
      <c r="Q2" s="27"/>
      <c r="R2" s="27"/>
      <c r="S2" s="27"/>
      <c r="T2" s="28"/>
      <c r="U2" s="33"/>
      <c r="V2" s="33"/>
      <c r="W2" s="33"/>
      <c r="X2" s="33"/>
    </row>
    <row r="3" spans="1:24" s="29" customFormat="1">
      <c r="B3" s="1687">
        <v>44762</v>
      </c>
      <c r="C3" s="1731"/>
      <c r="D3" s="1732"/>
      <c r="W3" s="230"/>
    </row>
    <row r="4" spans="1:24" s="18" customFormat="1">
      <c r="B4" s="14"/>
      <c r="C4" s="67"/>
      <c r="D4" s="67"/>
      <c r="E4" s="67"/>
      <c r="F4" s="67"/>
      <c r="G4" s="14"/>
      <c r="H4" s="14"/>
      <c r="I4" s="14"/>
      <c r="J4" s="14"/>
      <c r="K4" s="14"/>
      <c r="L4" s="14"/>
      <c r="M4" s="14"/>
      <c r="N4" s="14"/>
      <c r="O4" s="14"/>
      <c r="P4" s="14"/>
      <c r="Q4" s="14"/>
      <c r="R4" s="14"/>
      <c r="S4" s="14"/>
      <c r="T4" s="14"/>
      <c r="U4" s="167"/>
      <c r="V4" s="167"/>
      <c r="W4" s="768"/>
      <c r="X4" s="15"/>
    </row>
    <row r="5" spans="1:24" s="19" customFormat="1">
      <c r="B5" s="14"/>
      <c r="C5" s="68" t="s">
        <v>3</v>
      </c>
      <c r="D5" s="67"/>
      <c r="E5" s="67"/>
      <c r="F5" s="34"/>
      <c r="G5" s="14"/>
      <c r="H5" s="41" t="s">
        <v>485</v>
      </c>
      <c r="I5" s="14"/>
      <c r="J5" s="14"/>
      <c r="K5" s="14"/>
      <c r="L5" s="14"/>
      <c r="M5" s="14"/>
      <c r="N5" s="14"/>
      <c r="O5" s="14"/>
      <c r="P5" s="14"/>
      <c r="Q5" s="14"/>
      <c r="R5" s="14"/>
      <c r="S5" s="14"/>
      <c r="T5" s="14"/>
      <c r="U5" s="168"/>
      <c r="V5" s="168"/>
      <c r="W5" s="769"/>
      <c r="X5" s="15"/>
    </row>
    <row r="6" spans="1:24" s="19" customFormat="1">
      <c r="B6" s="14"/>
      <c r="C6" s="22" t="s">
        <v>4</v>
      </c>
      <c r="D6" s="1733" t="str">
        <f>IF('Overzicht GPR Hulpmiddelen'!D6="","",'Overzicht GPR Hulpmiddelen'!D6)</f>
        <v/>
      </c>
      <c r="E6" s="1733"/>
      <c r="F6" s="34"/>
      <c r="G6" s="14"/>
      <c r="H6" s="14"/>
      <c r="I6" s="14"/>
      <c r="J6" s="14"/>
      <c r="K6" s="14"/>
      <c r="L6" s="14"/>
      <c r="M6" s="14"/>
      <c r="N6" s="14"/>
      <c r="O6" s="14"/>
      <c r="P6" s="14"/>
      <c r="Q6" s="14"/>
      <c r="R6" s="14"/>
      <c r="S6" s="14"/>
      <c r="T6" s="14"/>
      <c r="U6" s="168"/>
      <c r="V6" s="168"/>
      <c r="W6" s="769"/>
      <c r="X6" s="15"/>
    </row>
    <row r="7" spans="1:24" s="19" customFormat="1">
      <c r="B7" s="14"/>
      <c r="C7" s="22" t="s">
        <v>5</v>
      </c>
      <c r="D7" s="1733" t="str">
        <f>IF('Overzicht GPR Hulpmiddelen'!D7="","",'Overzicht GPR Hulpmiddelen'!D7)</f>
        <v/>
      </c>
      <c r="E7" s="1733"/>
      <c r="F7" s="34"/>
      <c r="G7" s="14"/>
      <c r="H7" s="14"/>
      <c r="I7" s="14"/>
      <c r="J7" s="14"/>
      <c r="K7" s="14"/>
      <c r="L7" s="14"/>
      <c r="M7" s="14"/>
      <c r="N7" s="14"/>
      <c r="O7" s="14"/>
      <c r="P7" s="14"/>
      <c r="Q7" s="14"/>
      <c r="R7" s="14"/>
      <c r="S7" s="14"/>
      <c r="T7" s="14"/>
      <c r="U7" s="168"/>
      <c r="V7" s="168"/>
      <c r="W7" s="769"/>
      <c r="X7" s="15"/>
    </row>
    <row r="8" spans="1:24" s="19" customFormat="1">
      <c r="B8" s="14"/>
      <c r="C8" s="22" t="s">
        <v>6</v>
      </c>
      <c r="D8" s="1733" t="str">
        <f>IF('Overzicht GPR Hulpmiddelen'!D8="","",'Overzicht GPR Hulpmiddelen'!D8)</f>
        <v/>
      </c>
      <c r="E8" s="1733"/>
      <c r="F8" s="34"/>
      <c r="G8" s="14"/>
      <c r="H8" s="14"/>
      <c r="I8" s="14"/>
      <c r="J8" s="14"/>
      <c r="K8" s="14"/>
      <c r="L8" s="14"/>
      <c r="M8" s="14"/>
      <c r="N8" s="14"/>
      <c r="O8" s="14"/>
      <c r="P8" s="14"/>
      <c r="Q8" s="14"/>
      <c r="R8" s="14"/>
      <c r="S8" s="14"/>
      <c r="T8" s="14"/>
      <c r="U8" s="168"/>
      <c r="V8" s="168"/>
      <c r="W8" s="769"/>
      <c r="X8" s="15"/>
    </row>
    <row r="9" spans="1:24" s="19" customFormat="1">
      <c r="B9" s="14"/>
      <c r="C9" s="22" t="s">
        <v>7</v>
      </c>
      <c r="D9" s="1734" t="str">
        <f>IF('Overzicht GPR Hulpmiddelen'!D9="","",'Overzicht GPR Hulpmiddelen'!D9)</f>
        <v/>
      </c>
      <c r="E9" s="1734"/>
      <c r="F9" s="34"/>
      <c r="G9" s="14"/>
      <c r="H9" s="14"/>
      <c r="I9" s="14"/>
      <c r="J9" s="14"/>
      <c r="K9" s="14"/>
      <c r="L9" s="14"/>
      <c r="M9" s="14"/>
      <c r="N9" s="14"/>
      <c r="O9" s="14"/>
      <c r="P9" s="14"/>
      <c r="Q9" s="14"/>
      <c r="R9" s="14"/>
      <c r="S9" s="14"/>
      <c r="T9" s="14"/>
      <c r="U9" s="168"/>
      <c r="V9" s="168"/>
      <c r="W9" s="769"/>
      <c r="X9" s="15"/>
    </row>
    <row r="10" spans="1:24" s="19" customFormat="1">
      <c r="B10" s="14"/>
      <c r="C10" s="22" t="s">
        <v>488</v>
      </c>
      <c r="D10" s="1685"/>
      <c r="E10" s="1685"/>
      <c r="F10" s="34"/>
      <c r="G10" s="14"/>
      <c r="H10" s="14"/>
      <c r="I10" s="14"/>
      <c r="J10" s="14"/>
      <c r="K10" s="14"/>
      <c r="L10" s="14"/>
      <c r="M10" s="14"/>
      <c r="N10" s="14"/>
      <c r="O10" s="14"/>
      <c r="P10" s="14"/>
      <c r="Q10" s="14"/>
      <c r="R10" s="14"/>
      <c r="S10" s="14"/>
      <c r="T10" s="14"/>
      <c r="U10" s="168"/>
      <c r="V10" s="168"/>
      <c r="W10" s="769"/>
      <c r="X10" s="15"/>
    </row>
    <row r="11" spans="1:24" s="18" customFormat="1">
      <c r="B11" s="14"/>
      <c r="C11" s="14"/>
      <c r="D11" s="34"/>
      <c r="E11" s="34"/>
      <c r="F11" s="34"/>
      <c r="G11" s="34"/>
      <c r="H11" s="34"/>
      <c r="I11" s="34"/>
      <c r="J11" s="34"/>
      <c r="K11" s="34"/>
      <c r="L11" s="14"/>
      <c r="M11" s="12"/>
      <c r="N11" s="14"/>
      <c r="O11" s="12"/>
      <c r="P11" s="14"/>
      <c r="Q11" s="14"/>
      <c r="R11" s="14"/>
      <c r="S11" s="14"/>
      <c r="T11" s="12"/>
      <c r="U11" s="167"/>
      <c r="V11" s="167"/>
      <c r="W11" s="768"/>
      <c r="X11" s="15"/>
    </row>
    <row r="12" spans="1:24" s="18" customFormat="1">
      <c r="B12" s="14"/>
      <c r="C12" s="14"/>
      <c r="D12" s="34"/>
      <c r="E12" s="34"/>
      <c r="F12" s="34"/>
      <c r="G12" s="34"/>
      <c r="H12" s="34"/>
      <c r="I12" s="34"/>
      <c r="J12" s="34"/>
      <c r="K12" s="34"/>
      <c r="L12" s="14"/>
      <c r="M12" s="12"/>
      <c r="N12" s="14"/>
      <c r="O12" s="12"/>
      <c r="P12" s="14"/>
      <c r="Q12" s="14"/>
      <c r="R12" s="14"/>
      <c r="S12" s="14"/>
      <c r="T12" s="12"/>
      <c r="U12" s="167"/>
      <c r="V12" s="167"/>
      <c r="W12" s="768"/>
      <c r="X12" s="15"/>
    </row>
    <row r="13" spans="1:24" s="18" customFormat="1">
      <c r="B13" s="14"/>
      <c r="C13" s="15" t="s">
        <v>1333</v>
      </c>
      <c r="D13" s="34"/>
      <c r="E13" s="34"/>
      <c r="F13" s="34"/>
      <c r="G13" s="34"/>
      <c r="H13" s="34"/>
      <c r="I13" s="34"/>
      <c r="J13" s="34"/>
      <c r="K13" s="34"/>
      <c r="L13" s="14"/>
      <c r="M13" s="12"/>
      <c r="N13" s="14"/>
      <c r="O13" s="12"/>
      <c r="P13" s="35"/>
      <c r="Q13" s="14"/>
      <c r="R13" s="14"/>
      <c r="S13" s="14"/>
      <c r="T13" s="12"/>
      <c r="U13" s="167"/>
      <c r="V13" s="167"/>
      <c r="W13" s="768"/>
      <c r="X13" s="15"/>
    </row>
    <row r="14" spans="1:24" s="18" customFormat="1">
      <c r="B14" s="1735"/>
      <c r="C14" s="799" t="s">
        <v>1334</v>
      </c>
      <c r="D14" s="800" t="str">
        <f>IF(Q126="","-",Q126)</f>
        <v>-</v>
      </c>
      <c r="E14" s="14"/>
      <c r="F14" s="14"/>
      <c r="G14" s="14"/>
      <c r="H14" s="14"/>
      <c r="I14" s="14"/>
      <c r="J14" s="14"/>
      <c r="K14" s="14"/>
      <c r="L14" s="14"/>
      <c r="M14" s="14"/>
      <c r="N14" s="14"/>
      <c r="O14" s="60"/>
      <c r="P14" s="35"/>
      <c r="Q14" s="14"/>
      <c r="R14" s="14"/>
      <c r="S14" s="14"/>
      <c r="T14" s="12"/>
      <c r="U14" s="167"/>
      <c r="V14" s="167"/>
      <c r="W14" s="768"/>
      <c r="X14" s="15"/>
    </row>
    <row r="15" spans="1:24" s="18" customFormat="1">
      <c r="B15" s="1735"/>
      <c r="C15" s="799" t="s">
        <v>1335</v>
      </c>
      <c r="D15" s="801" t="str">
        <f>IFERROR(W126/I133,"-")</f>
        <v>-</v>
      </c>
      <c r="E15" s="802"/>
      <c r="F15" s="803"/>
      <c r="G15" s="34"/>
      <c r="H15" s="34"/>
      <c r="I15" s="34"/>
      <c r="J15" s="34"/>
      <c r="K15" s="34"/>
      <c r="L15" s="34"/>
      <c r="M15" s="34"/>
      <c r="N15" s="34"/>
      <c r="O15" s="166"/>
      <c r="P15" s="35"/>
      <c r="Q15" s="14"/>
      <c r="R15" s="14"/>
      <c r="S15" s="14"/>
      <c r="T15" s="12"/>
      <c r="U15" s="167"/>
      <c r="V15" s="167"/>
      <c r="W15" s="768"/>
      <c r="X15" s="15"/>
    </row>
    <row r="16" spans="1:24" s="18" customFormat="1">
      <c r="B16" s="1735"/>
      <c r="C16" s="14"/>
      <c r="D16" s="804"/>
      <c r="E16" s="14"/>
      <c r="F16" s="14"/>
      <c r="G16" s="34"/>
      <c r="H16" s="805"/>
      <c r="I16" s="786"/>
      <c r="J16" s="786"/>
      <c r="K16" s="786"/>
      <c r="L16" s="787"/>
      <c r="M16" s="12"/>
      <c r="N16" s="14"/>
      <c r="O16" s="12"/>
      <c r="P16" s="14"/>
      <c r="Q16" s="14"/>
      <c r="R16" s="14"/>
      <c r="S16" s="14"/>
      <c r="T16" s="12"/>
      <c r="U16" s="167"/>
      <c r="V16" s="167"/>
      <c r="W16" s="768"/>
      <c r="X16" s="15"/>
    </row>
    <row r="17" spans="2:24" s="18" customFormat="1">
      <c r="B17" s="1735"/>
      <c r="C17" s="15" t="s">
        <v>827</v>
      </c>
      <c r="D17" s="806"/>
      <c r="E17" s="14"/>
      <c r="F17" s="14"/>
      <c r="G17" s="34"/>
      <c r="H17" s="805" t="s">
        <v>826</v>
      </c>
      <c r="I17" s="34"/>
      <c r="J17" s="34"/>
      <c r="K17" s="34"/>
      <c r="L17" s="14"/>
      <c r="M17" s="12"/>
      <c r="N17" s="14"/>
      <c r="O17" s="12"/>
      <c r="P17" s="14"/>
      <c r="Q17" s="14"/>
      <c r="R17" s="14"/>
      <c r="S17" s="14"/>
      <c r="T17" s="14"/>
      <c r="U17" s="14"/>
      <c r="V17" s="14"/>
      <c r="W17" s="67"/>
      <c r="X17" s="15"/>
    </row>
    <row r="18" spans="2:24" s="18" customFormat="1">
      <c r="B18" s="1735"/>
      <c r="C18" s="807" t="s">
        <v>828</v>
      </c>
      <c r="D18" s="808"/>
      <c r="E18" s="808"/>
      <c r="F18" s="808" t="s">
        <v>829</v>
      </c>
      <c r="G18" s="809"/>
      <c r="H18" s="809"/>
      <c r="I18" s="809"/>
      <c r="J18" s="809"/>
      <c r="K18" s="809"/>
      <c r="L18" s="809"/>
      <c r="M18" s="809"/>
      <c r="N18" s="809"/>
      <c r="O18" s="809"/>
      <c r="P18" s="808" t="s">
        <v>1336</v>
      </c>
      <c r="Q18" s="810"/>
      <c r="R18" s="68"/>
      <c r="S18" s="270" t="s">
        <v>1337</v>
      </c>
      <c r="T18" s="811"/>
      <c r="U18" s="811" t="s">
        <v>1338</v>
      </c>
      <c r="V18" s="811"/>
      <c r="W18" s="273" t="s">
        <v>833</v>
      </c>
      <c r="X18" s="15"/>
    </row>
    <row r="19" spans="2:24" s="18" customFormat="1">
      <c r="B19" s="1735"/>
      <c r="C19" s="812"/>
      <c r="D19" s="57"/>
      <c r="E19" s="813" t="s">
        <v>396</v>
      </c>
      <c r="F19" s="164" t="s">
        <v>834</v>
      </c>
      <c r="G19" s="813" t="s">
        <v>396</v>
      </c>
      <c r="H19" s="164" t="s">
        <v>835</v>
      </c>
      <c r="I19" s="813" t="s">
        <v>396</v>
      </c>
      <c r="J19" s="813" t="s">
        <v>396</v>
      </c>
      <c r="K19" s="164" t="s">
        <v>836</v>
      </c>
      <c r="L19" s="813" t="s">
        <v>396</v>
      </c>
      <c r="M19" s="164" t="s">
        <v>837</v>
      </c>
      <c r="N19" s="813" t="s">
        <v>396</v>
      </c>
      <c r="O19" s="813" t="s">
        <v>396</v>
      </c>
      <c r="P19" s="57"/>
      <c r="Q19" s="814" t="s">
        <v>396</v>
      </c>
      <c r="R19" s="813"/>
      <c r="S19" s="444"/>
      <c r="T19" s="813" t="s">
        <v>396</v>
      </c>
      <c r="U19" s="57"/>
      <c r="V19" s="813" t="s">
        <v>396</v>
      </c>
      <c r="W19" s="815" t="s">
        <v>396</v>
      </c>
      <c r="X19" s="770"/>
    </row>
    <row r="20" spans="2:24" s="18" customFormat="1">
      <c r="B20" s="14"/>
      <c r="C20" s="812" t="s">
        <v>1339</v>
      </c>
      <c r="D20" s="57" t="s">
        <v>1340</v>
      </c>
      <c r="E20" s="57" t="s">
        <v>1341</v>
      </c>
      <c r="F20" s="164" t="s">
        <v>839</v>
      </c>
      <c r="G20" s="163" t="s">
        <v>840</v>
      </c>
      <c r="H20" s="164" t="s">
        <v>839</v>
      </c>
      <c r="I20" s="163" t="s">
        <v>841</v>
      </c>
      <c r="J20" s="509" t="s">
        <v>1342</v>
      </c>
      <c r="K20" s="164" t="s">
        <v>839</v>
      </c>
      <c r="L20" s="163" t="s">
        <v>842</v>
      </c>
      <c r="M20" s="164" t="s">
        <v>839</v>
      </c>
      <c r="N20" s="163" t="s">
        <v>1343</v>
      </c>
      <c r="O20" s="509" t="s">
        <v>1344</v>
      </c>
      <c r="P20" s="164" t="s">
        <v>847</v>
      </c>
      <c r="Q20" s="816" t="s">
        <v>844</v>
      </c>
      <c r="R20" s="14"/>
      <c r="S20" s="274" t="s">
        <v>839</v>
      </c>
      <c r="T20" s="26" t="s">
        <v>1345</v>
      </c>
      <c r="U20" s="57" t="s">
        <v>839</v>
      </c>
      <c r="V20" s="26" t="s">
        <v>1346</v>
      </c>
      <c r="W20" s="817" t="s">
        <v>1347</v>
      </c>
      <c r="X20" s="15"/>
    </row>
    <row r="21" spans="2:24" s="116" customFormat="1">
      <c r="B21" s="210"/>
      <c r="C21" s="818"/>
      <c r="D21" s="819"/>
      <c r="E21" s="820"/>
      <c r="F21" s="773"/>
      <c r="G21" s="774" t="str">
        <f t="shared" ref="G21:G52" si="0">IF(OR($C21="",F21=""),"",INDEX(type_verbinding_scores,MATCH(F21,type_verbinding_keuzes,0)))</f>
        <v/>
      </c>
      <c r="H21" s="773"/>
      <c r="I21" s="774" t="str">
        <f t="shared" ref="I21:I52" si="1">IF(OR($C21="",H21=""),"",INDEX(toegankelijkheid_verbinding_scores,MATCH(H21,toegankelijkheid_verbinding_keuzes,0)))</f>
        <v/>
      </c>
      <c r="J21" s="821" t="str">
        <f t="shared" ref="J21:J52" si="2">IF(OR($C21="",$G21="",$I21=""),"",2/((1/G21)+(1/I21)))</f>
        <v/>
      </c>
      <c r="K21" s="773"/>
      <c r="L21" s="774" t="str">
        <f t="shared" ref="L21:L52" si="3">IF(OR($C21="",K21=""),"",INDEX(doorkruisingen_scores,MATCH(K21,doorkruisingen_keuzes,0)))</f>
        <v/>
      </c>
      <c r="M21" s="773"/>
      <c r="N21" s="774" t="str">
        <f t="shared" ref="N21" si="4">IF(OR($C21="",M21=""),"",INDEX(randopsluiting_scores,MATCH(M21,randopsluiting_keuzes,0)))</f>
        <v/>
      </c>
      <c r="O21" s="821" t="str">
        <f t="shared" ref="O21:O52" si="5">IF(OR($C21="",$K21="",$M21=""),"",2/((1/L21)+(1/N21)))</f>
        <v/>
      </c>
      <c r="P21" s="778"/>
      <c r="Q21" s="822" t="str">
        <f t="shared" ref="Q21:Q52" si="6">IF(OR($C21="",$G21="",$I21="",$L21="",$N21=""),"",4/((1/G21)+(1/I21)+(1/L21)+(1/N21)))</f>
        <v/>
      </c>
      <c r="R21" s="14"/>
      <c r="S21" s="823"/>
      <c r="T21" s="777" t="str">
        <f t="shared" ref="T21" si="7">IF(OR($C21="",S21=""),"",INDEX(kwaliteitsfactor_scores,MATCH(S21,kwaliteitsfactor_keuzes,0)))</f>
        <v/>
      </c>
      <c r="U21" s="776"/>
      <c r="V21" s="784" t="str">
        <f t="shared" ref="V21" si="8">IF(OR($C21="",U21=""),"",INDEX(marktwaarde_scores,MATCH(U21,marktwaarde_keuzes,0)))</f>
        <v/>
      </c>
      <c r="W21" s="824" t="str">
        <f t="shared" ref="W21:W52" si="9">IF(OR($C21="",$P21="",$Q21="",$T21="",$V21="",),"",P21*Q21*T21*V21)</f>
        <v/>
      </c>
      <c r="X21" s="780"/>
    </row>
    <row r="22" spans="2:24" s="116" customFormat="1">
      <c r="B22" s="210"/>
      <c r="C22" s="818"/>
      <c r="D22" s="819"/>
      <c r="E22" s="820"/>
      <c r="F22" s="773"/>
      <c r="G22" s="774" t="str">
        <f t="shared" si="0"/>
        <v/>
      </c>
      <c r="H22" s="773"/>
      <c r="I22" s="774" t="str">
        <f t="shared" si="1"/>
        <v/>
      </c>
      <c r="J22" s="821" t="str">
        <f t="shared" si="2"/>
        <v/>
      </c>
      <c r="K22" s="773"/>
      <c r="L22" s="774" t="str">
        <f t="shared" si="3"/>
        <v/>
      </c>
      <c r="M22" s="773"/>
      <c r="N22" s="774" t="str">
        <f t="shared" ref="N22" si="10">IF(OR($C22="",M22=""),"",INDEX(randopsluiting_scores,MATCH(M22,randopsluiting_keuzes,0)))</f>
        <v/>
      </c>
      <c r="O22" s="821" t="str">
        <f t="shared" si="5"/>
        <v/>
      </c>
      <c r="P22" s="778"/>
      <c r="Q22" s="822" t="str">
        <f t="shared" si="6"/>
        <v/>
      </c>
      <c r="R22" s="14"/>
      <c r="S22" s="823"/>
      <c r="T22" s="777" t="str">
        <f t="shared" ref="T22" si="11">IF(OR($C22="",S22=""),"",INDEX(kwaliteitsfactor_scores,MATCH(S22,kwaliteitsfactor_keuzes,0)))</f>
        <v/>
      </c>
      <c r="U22" s="776"/>
      <c r="V22" s="784" t="str">
        <f t="shared" ref="V22" si="12">IF(OR($C22="",U22=""),"",INDEX(marktwaarde_scores,MATCH(U22,marktwaarde_keuzes,0)))</f>
        <v/>
      </c>
      <c r="W22" s="824" t="str">
        <f t="shared" si="9"/>
        <v/>
      </c>
      <c r="X22" s="780"/>
    </row>
    <row r="23" spans="2:24" s="116" customFormat="1">
      <c r="B23" s="210"/>
      <c r="C23" s="818"/>
      <c r="D23" s="819"/>
      <c r="E23" s="820"/>
      <c r="F23" s="773"/>
      <c r="G23" s="774" t="str">
        <f t="shared" si="0"/>
        <v/>
      </c>
      <c r="H23" s="773"/>
      <c r="I23" s="774" t="str">
        <f t="shared" si="1"/>
        <v/>
      </c>
      <c r="J23" s="821" t="str">
        <f t="shared" si="2"/>
        <v/>
      </c>
      <c r="K23" s="773"/>
      <c r="L23" s="774" t="str">
        <f t="shared" si="3"/>
        <v/>
      </c>
      <c r="M23" s="773"/>
      <c r="N23" s="774" t="str">
        <f t="shared" ref="N23" si="13">IF(OR($C23="",M23=""),"",INDEX(randopsluiting_scores,MATCH(M23,randopsluiting_keuzes,0)))</f>
        <v/>
      </c>
      <c r="O23" s="821" t="str">
        <f t="shared" si="5"/>
        <v/>
      </c>
      <c r="P23" s="778"/>
      <c r="Q23" s="822" t="str">
        <f t="shared" si="6"/>
        <v/>
      </c>
      <c r="R23" s="14"/>
      <c r="S23" s="823"/>
      <c r="T23" s="777" t="str">
        <f t="shared" ref="T23" si="14">IF(OR($C23="",S23=""),"",INDEX(kwaliteitsfactor_scores,MATCH(S23,kwaliteitsfactor_keuzes,0)))</f>
        <v/>
      </c>
      <c r="U23" s="776"/>
      <c r="V23" s="784" t="str">
        <f t="shared" ref="V23" si="15">IF(OR($C23="",U23=""),"",INDEX(marktwaarde_scores,MATCH(U23,marktwaarde_keuzes,0)))</f>
        <v/>
      </c>
      <c r="W23" s="824" t="str">
        <f t="shared" si="9"/>
        <v/>
      </c>
      <c r="X23" s="780"/>
    </row>
    <row r="24" spans="2:24" s="116" customFormat="1">
      <c r="B24" s="210"/>
      <c r="C24" s="818"/>
      <c r="D24" s="819"/>
      <c r="E24" s="820"/>
      <c r="F24" s="773"/>
      <c r="G24" s="774" t="str">
        <f t="shared" si="0"/>
        <v/>
      </c>
      <c r="H24" s="773"/>
      <c r="I24" s="774" t="str">
        <f t="shared" si="1"/>
        <v/>
      </c>
      <c r="J24" s="821" t="str">
        <f t="shared" si="2"/>
        <v/>
      </c>
      <c r="K24" s="773"/>
      <c r="L24" s="774" t="str">
        <f t="shared" si="3"/>
        <v/>
      </c>
      <c r="M24" s="773"/>
      <c r="N24" s="774" t="str">
        <f t="shared" ref="N24" si="16">IF(OR($C24="",M24=""),"",INDEX(randopsluiting_scores,MATCH(M24,randopsluiting_keuzes,0)))</f>
        <v/>
      </c>
      <c r="O24" s="821" t="str">
        <f t="shared" si="5"/>
        <v/>
      </c>
      <c r="P24" s="778"/>
      <c r="Q24" s="822" t="str">
        <f t="shared" si="6"/>
        <v/>
      </c>
      <c r="R24" s="14"/>
      <c r="S24" s="823"/>
      <c r="T24" s="777" t="str">
        <f t="shared" ref="T24" si="17">IF(OR($C24="",S24=""),"",INDEX(kwaliteitsfactor_scores,MATCH(S24,kwaliteitsfactor_keuzes,0)))</f>
        <v/>
      </c>
      <c r="U24" s="776"/>
      <c r="V24" s="784" t="str">
        <f t="shared" ref="V24" si="18">IF(OR($C24="",U24=""),"",INDEX(marktwaarde_scores,MATCH(U24,marktwaarde_keuzes,0)))</f>
        <v/>
      </c>
      <c r="W24" s="824" t="str">
        <f t="shared" si="9"/>
        <v/>
      </c>
      <c r="X24" s="780"/>
    </row>
    <row r="25" spans="2:24" s="116" customFormat="1">
      <c r="B25" s="210"/>
      <c r="C25" s="818"/>
      <c r="D25" s="819"/>
      <c r="E25" s="820"/>
      <c r="F25" s="773"/>
      <c r="G25" s="774" t="str">
        <f t="shared" si="0"/>
        <v/>
      </c>
      <c r="H25" s="773"/>
      <c r="I25" s="774" t="str">
        <f t="shared" si="1"/>
        <v/>
      </c>
      <c r="J25" s="821" t="str">
        <f t="shared" si="2"/>
        <v/>
      </c>
      <c r="K25" s="773"/>
      <c r="L25" s="774" t="str">
        <f t="shared" si="3"/>
        <v/>
      </c>
      <c r="M25" s="773"/>
      <c r="N25" s="774" t="str">
        <f t="shared" ref="N25" si="19">IF(OR($C25="",M25=""),"",INDEX(randopsluiting_scores,MATCH(M25,randopsluiting_keuzes,0)))</f>
        <v/>
      </c>
      <c r="O25" s="821" t="str">
        <f t="shared" si="5"/>
        <v/>
      </c>
      <c r="P25" s="778"/>
      <c r="Q25" s="822" t="str">
        <f t="shared" si="6"/>
        <v/>
      </c>
      <c r="R25" s="14"/>
      <c r="S25" s="823"/>
      <c r="T25" s="777" t="str">
        <f t="shared" ref="T25" si="20">IF(OR($C25="",S25=""),"",INDEX(kwaliteitsfactor_scores,MATCH(S25,kwaliteitsfactor_keuzes,0)))</f>
        <v/>
      </c>
      <c r="U25" s="776"/>
      <c r="V25" s="784" t="str">
        <f t="shared" ref="V25" si="21">IF(OR($C25="",U25=""),"",INDEX(marktwaarde_scores,MATCH(U25,marktwaarde_keuzes,0)))</f>
        <v/>
      </c>
      <c r="W25" s="824" t="str">
        <f t="shared" si="9"/>
        <v/>
      </c>
      <c r="X25" s="780"/>
    </row>
    <row r="26" spans="2:24" s="116" customFormat="1">
      <c r="B26" s="210"/>
      <c r="C26" s="818"/>
      <c r="D26" s="819"/>
      <c r="E26" s="820"/>
      <c r="F26" s="773"/>
      <c r="G26" s="774" t="str">
        <f t="shared" si="0"/>
        <v/>
      </c>
      <c r="H26" s="773"/>
      <c r="I26" s="774" t="str">
        <f t="shared" si="1"/>
        <v/>
      </c>
      <c r="J26" s="821" t="str">
        <f t="shared" si="2"/>
        <v/>
      </c>
      <c r="K26" s="773"/>
      <c r="L26" s="774" t="str">
        <f t="shared" si="3"/>
        <v/>
      </c>
      <c r="M26" s="773"/>
      <c r="N26" s="774" t="str">
        <f t="shared" ref="N26" si="22">IF(OR($C26="",M26=""),"",INDEX(randopsluiting_scores,MATCH(M26,randopsluiting_keuzes,0)))</f>
        <v/>
      </c>
      <c r="O26" s="821" t="str">
        <f t="shared" si="5"/>
        <v/>
      </c>
      <c r="P26" s="778"/>
      <c r="Q26" s="822" t="str">
        <f t="shared" si="6"/>
        <v/>
      </c>
      <c r="R26" s="14"/>
      <c r="S26" s="823"/>
      <c r="T26" s="777" t="str">
        <f t="shared" ref="T26" si="23">IF(OR($C26="",S26=""),"",INDEX(kwaliteitsfactor_scores,MATCH(S26,kwaliteitsfactor_keuzes,0)))</f>
        <v/>
      </c>
      <c r="U26" s="776"/>
      <c r="V26" s="784" t="str">
        <f t="shared" ref="V26" si="24">IF(OR($C26="",U26=""),"",INDEX(marktwaarde_scores,MATCH(U26,marktwaarde_keuzes,0)))</f>
        <v/>
      </c>
      <c r="W26" s="824" t="str">
        <f t="shared" si="9"/>
        <v/>
      </c>
      <c r="X26" s="780"/>
    </row>
    <row r="27" spans="2:24" s="116" customFormat="1">
      <c r="B27" s="210"/>
      <c r="C27" s="818"/>
      <c r="D27" s="819"/>
      <c r="E27" s="820"/>
      <c r="F27" s="773"/>
      <c r="G27" s="774" t="str">
        <f t="shared" si="0"/>
        <v/>
      </c>
      <c r="H27" s="773"/>
      <c r="I27" s="774" t="str">
        <f t="shared" si="1"/>
        <v/>
      </c>
      <c r="J27" s="821" t="str">
        <f t="shared" si="2"/>
        <v/>
      </c>
      <c r="K27" s="773"/>
      <c r="L27" s="774" t="str">
        <f t="shared" si="3"/>
        <v/>
      </c>
      <c r="M27" s="773"/>
      <c r="N27" s="774" t="str">
        <f t="shared" ref="N27" si="25">IF(OR($C27="",M27=""),"",INDEX(randopsluiting_scores,MATCH(M27,randopsluiting_keuzes,0)))</f>
        <v/>
      </c>
      <c r="O27" s="821" t="str">
        <f t="shared" si="5"/>
        <v/>
      </c>
      <c r="P27" s="778"/>
      <c r="Q27" s="822" t="str">
        <f t="shared" si="6"/>
        <v/>
      </c>
      <c r="R27" s="14"/>
      <c r="S27" s="823"/>
      <c r="T27" s="777" t="str">
        <f t="shared" ref="T27" si="26">IF(OR($C27="",S27=""),"",INDEX(kwaliteitsfactor_scores,MATCH(S27,kwaliteitsfactor_keuzes,0)))</f>
        <v/>
      </c>
      <c r="U27" s="776"/>
      <c r="V27" s="784" t="str">
        <f t="shared" ref="V27" si="27">IF(OR($C27="",U27=""),"",INDEX(marktwaarde_scores,MATCH(U27,marktwaarde_keuzes,0)))</f>
        <v/>
      </c>
      <c r="W27" s="824" t="str">
        <f t="shared" si="9"/>
        <v/>
      </c>
      <c r="X27" s="780"/>
    </row>
    <row r="28" spans="2:24" s="116" customFormat="1">
      <c r="B28" s="210"/>
      <c r="C28" s="818"/>
      <c r="D28" s="819"/>
      <c r="E28" s="820"/>
      <c r="F28" s="773"/>
      <c r="G28" s="774" t="str">
        <f t="shared" si="0"/>
        <v/>
      </c>
      <c r="H28" s="773"/>
      <c r="I28" s="774" t="str">
        <f t="shared" si="1"/>
        <v/>
      </c>
      <c r="J28" s="821" t="str">
        <f t="shared" si="2"/>
        <v/>
      </c>
      <c r="K28" s="773"/>
      <c r="L28" s="774" t="str">
        <f t="shared" si="3"/>
        <v/>
      </c>
      <c r="M28" s="773"/>
      <c r="N28" s="774" t="str">
        <f t="shared" ref="N28" si="28">IF(OR($C28="",M28=""),"",INDEX(randopsluiting_scores,MATCH(M28,randopsluiting_keuzes,0)))</f>
        <v/>
      </c>
      <c r="O28" s="821" t="str">
        <f t="shared" si="5"/>
        <v/>
      </c>
      <c r="P28" s="778"/>
      <c r="Q28" s="822" t="str">
        <f t="shared" si="6"/>
        <v/>
      </c>
      <c r="R28" s="14"/>
      <c r="S28" s="823"/>
      <c r="T28" s="777" t="str">
        <f t="shared" ref="T28" si="29">IF(OR($C28="",S28=""),"",INDEX(kwaliteitsfactor_scores,MATCH(S28,kwaliteitsfactor_keuzes,0)))</f>
        <v/>
      </c>
      <c r="U28" s="776"/>
      <c r="V28" s="784" t="str">
        <f t="shared" ref="V28" si="30">IF(OR($C28="",U28=""),"",INDEX(marktwaarde_scores,MATCH(U28,marktwaarde_keuzes,0)))</f>
        <v/>
      </c>
      <c r="W28" s="824" t="str">
        <f t="shared" si="9"/>
        <v/>
      </c>
      <c r="X28" s="780"/>
    </row>
    <row r="29" spans="2:24" s="116" customFormat="1">
      <c r="B29" s="210"/>
      <c r="C29" s="818"/>
      <c r="D29" s="819"/>
      <c r="E29" s="820"/>
      <c r="F29" s="773"/>
      <c r="G29" s="774" t="str">
        <f t="shared" si="0"/>
        <v/>
      </c>
      <c r="H29" s="773"/>
      <c r="I29" s="774" t="str">
        <f t="shared" si="1"/>
        <v/>
      </c>
      <c r="J29" s="821" t="str">
        <f t="shared" si="2"/>
        <v/>
      </c>
      <c r="K29" s="773"/>
      <c r="L29" s="774" t="str">
        <f t="shared" si="3"/>
        <v/>
      </c>
      <c r="M29" s="773"/>
      <c r="N29" s="774" t="str">
        <f t="shared" ref="N29" si="31">IF(OR($C29="",M29=""),"",INDEX(randopsluiting_scores,MATCH(M29,randopsluiting_keuzes,0)))</f>
        <v/>
      </c>
      <c r="O29" s="821" t="str">
        <f t="shared" si="5"/>
        <v/>
      </c>
      <c r="P29" s="778"/>
      <c r="Q29" s="822" t="str">
        <f t="shared" si="6"/>
        <v/>
      </c>
      <c r="R29" s="14"/>
      <c r="S29" s="823"/>
      <c r="T29" s="777" t="str">
        <f t="shared" ref="T29" si="32">IF(OR($C29="",S29=""),"",INDEX(kwaliteitsfactor_scores,MATCH(S29,kwaliteitsfactor_keuzes,0)))</f>
        <v/>
      </c>
      <c r="U29" s="776"/>
      <c r="V29" s="784" t="str">
        <f t="shared" ref="V29" si="33">IF(OR($C29="",U29=""),"",INDEX(marktwaarde_scores,MATCH(U29,marktwaarde_keuzes,0)))</f>
        <v/>
      </c>
      <c r="W29" s="824" t="str">
        <f t="shared" si="9"/>
        <v/>
      </c>
      <c r="X29" s="780"/>
    </row>
    <row r="30" spans="2:24" s="116" customFormat="1" ht="18" thickBot="1">
      <c r="B30" s="210"/>
      <c r="C30" s="818"/>
      <c r="D30" s="819"/>
      <c r="E30" s="820"/>
      <c r="F30" s="773"/>
      <c r="G30" s="774" t="str">
        <f t="shared" si="0"/>
        <v/>
      </c>
      <c r="H30" s="773"/>
      <c r="I30" s="774" t="str">
        <f t="shared" si="1"/>
        <v/>
      </c>
      <c r="J30" s="821" t="str">
        <f t="shared" si="2"/>
        <v/>
      </c>
      <c r="K30" s="773"/>
      <c r="L30" s="774" t="str">
        <f t="shared" si="3"/>
        <v/>
      </c>
      <c r="M30" s="773"/>
      <c r="N30" s="774" t="str">
        <f t="shared" ref="N30" si="34">IF(OR($C30="",M30=""),"",INDEX(randopsluiting_scores,MATCH(M30,randopsluiting_keuzes,0)))</f>
        <v/>
      </c>
      <c r="O30" s="821" t="str">
        <f t="shared" si="5"/>
        <v/>
      </c>
      <c r="P30" s="778"/>
      <c r="Q30" s="822" t="str">
        <f t="shared" si="6"/>
        <v/>
      </c>
      <c r="R30" s="14"/>
      <c r="S30" s="823"/>
      <c r="T30" s="777" t="str">
        <f t="shared" ref="T30" si="35">IF(OR($C30="",S30=""),"",INDEX(kwaliteitsfactor_scores,MATCH(S30,kwaliteitsfactor_keuzes,0)))</f>
        <v/>
      </c>
      <c r="U30" s="776"/>
      <c r="V30" s="784" t="str">
        <f t="shared" ref="V30" si="36">IF(OR($C30="",U30=""),"",INDEX(marktwaarde_scores,MATCH(U30,marktwaarde_keuzes,0)))</f>
        <v/>
      </c>
      <c r="W30" s="824" t="str">
        <f t="shared" si="9"/>
        <v/>
      </c>
      <c r="X30" s="780"/>
    </row>
    <row r="31" spans="2:24" s="116" customFormat="1" hidden="1" outlineLevel="1">
      <c r="B31" s="210"/>
      <c r="C31" s="818"/>
      <c r="D31" s="819"/>
      <c r="E31" s="820"/>
      <c r="F31" s="773"/>
      <c r="G31" s="774" t="str">
        <f t="shared" si="0"/>
        <v/>
      </c>
      <c r="H31" s="773"/>
      <c r="I31" s="774" t="str">
        <f t="shared" si="1"/>
        <v/>
      </c>
      <c r="J31" s="821" t="str">
        <f t="shared" si="2"/>
        <v/>
      </c>
      <c r="K31" s="773"/>
      <c r="L31" s="774" t="str">
        <f t="shared" si="3"/>
        <v/>
      </c>
      <c r="M31" s="773"/>
      <c r="N31" s="774" t="str">
        <f t="shared" ref="N31" si="37">IF(OR($C31="",M31=""),"",INDEX(randopsluiting_scores,MATCH(M31,randopsluiting_keuzes,0)))</f>
        <v/>
      </c>
      <c r="O31" s="821" t="str">
        <f t="shared" si="5"/>
        <v/>
      </c>
      <c r="P31" s="778"/>
      <c r="Q31" s="822" t="str">
        <f t="shared" si="6"/>
        <v/>
      </c>
      <c r="R31" s="14"/>
      <c r="S31" s="823"/>
      <c r="T31" s="777" t="str">
        <f t="shared" ref="T31" si="38">IF(OR($C31="",S31=""),"",INDEX(kwaliteitsfactor_scores,MATCH(S31,kwaliteitsfactor_keuzes,0)))</f>
        <v/>
      </c>
      <c r="U31" s="776"/>
      <c r="V31" s="784" t="str">
        <f t="shared" ref="V31" si="39">IF(OR($C31="",U31=""),"",INDEX(marktwaarde_scores,MATCH(U31,marktwaarde_keuzes,0)))</f>
        <v/>
      </c>
      <c r="W31" s="824" t="str">
        <f t="shared" si="9"/>
        <v/>
      </c>
      <c r="X31" s="780"/>
    </row>
    <row r="32" spans="2:24" s="116" customFormat="1" hidden="1" outlineLevel="1">
      <c r="B32" s="210"/>
      <c r="C32" s="818"/>
      <c r="D32" s="819"/>
      <c r="E32" s="820"/>
      <c r="F32" s="773"/>
      <c r="G32" s="774" t="str">
        <f t="shared" si="0"/>
        <v/>
      </c>
      <c r="H32" s="773"/>
      <c r="I32" s="774" t="str">
        <f t="shared" si="1"/>
        <v/>
      </c>
      <c r="J32" s="821" t="str">
        <f t="shared" si="2"/>
        <v/>
      </c>
      <c r="K32" s="773"/>
      <c r="L32" s="774" t="str">
        <f t="shared" si="3"/>
        <v/>
      </c>
      <c r="M32" s="773"/>
      <c r="N32" s="774" t="str">
        <f t="shared" ref="N32" si="40">IF(OR($C32="",M32=""),"",INDEX(randopsluiting_scores,MATCH(M32,randopsluiting_keuzes,0)))</f>
        <v/>
      </c>
      <c r="O32" s="821" t="str">
        <f t="shared" si="5"/>
        <v/>
      </c>
      <c r="P32" s="778"/>
      <c r="Q32" s="822" t="str">
        <f t="shared" si="6"/>
        <v/>
      </c>
      <c r="R32" s="14"/>
      <c r="S32" s="823"/>
      <c r="T32" s="777" t="str">
        <f t="shared" ref="T32" si="41">IF(OR($C32="",S32=""),"",INDEX(kwaliteitsfactor_scores,MATCH(S32,kwaliteitsfactor_keuzes,0)))</f>
        <v/>
      </c>
      <c r="U32" s="776"/>
      <c r="V32" s="784" t="str">
        <f t="shared" ref="V32" si="42">IF(OR($C32="",U32=""),"",INDEX(marktwaarde_scores,MATCH(U32,marktwaarde_keuzes,0)))</f>
        <v/>
      </c>
      <c r="W32" s="824" t="str">
        <f t="shared" si="9"/>
        <v/>
      </c>
      <c r="X32" s="780"/>
    </row>
    <row r="33" spans="2:24" s="116" customFormat="1" hidden="1" outlineLevel="1">
      <c r="B33" s="210"/>
      <c r="C33" s="818"/>
      <c r="D33" s="819"/>
      <c r="E33" s="820"/>
      <c r="F33" s="773"/>
      <c r="G33" s="774" t="str">
        <f t="shared" si="0"/>
        <v/>
      </c>
      <c r="H33" s="773"/>
      <c r="I33" s="774" t="str">
        <f t="shared" si="1"/>
        <v/>
      </c>
      <c r="J33" s="821" t="str">
        <f t="shared" si="2"/>
        <v/>
      </c>
      <c r="K33" s="773"/>
      <c r="L33" s="774" t="str">
        <f t="shared" si="3"/>
        <v/>
      </c>
      <c r="M33" s="773"/>
      <c r="N33" s="774" t="str">
        <f t="shared" ref="N33" si="43">IF(OR($C33="",M33=""),"",INDEX(randopsluiting_scores,MATCH(M33,randopsluiting_keuzes,0)))</f>
        <v/>
      </c>
      <c r="O33" s="821" t="str">
        <f t="shared" si="5"/>
        <v/>
      </c>
      <c r="P33" s="778"/>
      <c r="Q33" s="822" t="str">
        <f t="shared" si="6"/>
        <v/>
      </c>
      <c r="R33" s="14"/>
      <c r="S33" s="823"/>
      <c r="T33" s="777" t="str">
        <f t="shared" ref="T33" si="44">IF(OR($C33="",S33=""),"",INDEX(kwaliteitsfactor_scores,MATCH(S33,kwaliteitsfactor_keuzes,0)))</f>
        <v/>
      </c>
      <c r="U33" s="776"/>
      <c r="V33" s="784" t="str">
        <f t="shared" ref="V33" si="45">IF(OR($C33="",U33=""),"",INDEX(marktwaarde_scores,MATCH(U33,marktwaarde_keuzes,0)))</f>
        <v/>
      </c>
      <c r="W33" s="824" t="str">
        <f t="shared" si="9"/>
        <v/>
      </c>
      <c r="X33" s="780"/>
    </row>
    <row r="34" spans="2:24" s="116" customFormat="1" hidden="1" outlineLevel="1">
      <c r="B34" s="210"/>
      <c r="C34" s="818"/>
      <c r="D34" s="819"/>
      <c r="E34" s="820"/>
      <c r="F34" s="773"/>
      <c r="G34" s="774" t="str">
        <f t="shared" si="0"/>
        <v/>
      </c>
      <c r="H34" s="773"/>
      <c r="I34" s="774" t="str">
        <f t="shared" si="1"/>
        <v/>
      </c>
      <c r="J34" s="821" t="str">
        <f t="shared" si="2"/>
        <v/>
      </c>
      <c r="K34" s="773"/>
      <c r="L34" s="774" t="str">
        <f t="shared" si="3"/>
        <v/>
      </c>
      <c r="M34" s="773"/>
      <c r="N34" s="774" t="str">
        <f t="shared" ref="N34" si="46">IF(OR($C34="",M34=""),"",INDEX(randopsluiting_scores,MATCH(M34,randopsluiting_keuzes,0)))</f>
        <v/>
      </c>
      <c r="O34" s="821" t="str">
        <f t="shared" si="5"/>
        <v/>
      </c>
      <c r="P34" s="778"/>
      <c r="Q34" s="822" t="str">
        <f t="shared" si="6"/>
        <v/>
      </c>
      <c r="R34" s="14"/>
      <c r="S34" s="823"/>
      <c r="T34" s="777" t="str">
        <f t="shared" ref="T34" si="47">IF(OR($C34="",S34=""),"",INDEX(kwaliteitsfactor_scores,MATCH(S34,kwaliteitsfactor_keuzes,0)))</f>
        <v/>
      </c>
      <c r="U34" s="776"/>
      <c r="V34" s="784" t="str">
        <f t="shared" ref="V34" si="48">IF(OR($C34="",U34=""),"",INDEX(marktwaarde_scores,MATCH(U34,marktwaarde_keuzes,0)))</f>
        <v/>
      </c>
      <c r="W34" s="824" t="str">
        <f t="shared" si="9"/>
        <v/>
      </c>
      <c r="X34" s="780"/>
    </row>
    <row r="35" spans="2:24" s="116" customFormat="1" hidden="1" outlineLevel="1">
      <c r="B35" s="210"/>
      <c r="C35" s="818"/>
      <c r="D35" s="819"/>
      <c r="E35" s="820"/>
      <c r="F35" s="773"/>
      <c r="G35" s="774" t="str">
        <f t="shared" si="0"/>
        <v/>
      </c>
      <c r="H35" s="773"/>
      <c r="I35" s="774" t="str">
        <f t="shared" si="1"/>
        <v/>
      </c>
      <c r="J35" s="821" t="str">
        <f t="shared" si="2"/>
        <v/>
      </c>
      <c r="K35" s="773"/>
      <c r="L35" s="774" t="str">
        <f t="shared" si="3"/>
        <v/>
      </c>
      <c r="M35" s="773"/>
      <c r="N35" s="774" t="str">
        <f t="shared" ref="N35" si="49">IF(OR($C35="",M35=""),"",INDEX(randopsluiting_scores,MATCH(M35,randopsluiting_keuzes,0)))</f>
        <v/>
      </c>
      <c r="O35" s="821" t="str">
        <f t="shared" si="5"/>
        <v/>
      </c>
      <c r="P35" s="778"/>
      <c r="Q35" s="822" t="str">
        <f t="shared" si="6"/>
        <v/>
      </c>
      <c r="R35" s="14"/>
      <c r="S35" s="823"/>
      <c r="T35" s="777" t="str">
        <f t="shared" ref="T35" si="50">IF(OR($C35="",S35=""),"",INDEX(kwaliteitsfactor_scores,MATCH(S35,kwaliteitsfactor_keuzes,0)))</f>
        <v/>
      </c>
      <c r="U35" s="776"/>
      <c r="V35" s="784" t="str">
        <f t="shared" ref="V35" si="51">IF(OR($C35="",U35=""),"",INDEX(marktwaarde_scores,MATCH(U35,marktwaarde_keuzes,0)))</f>
        <v/>
      </c>
      <c r="W35" s="824" t="str">
        <f t="shared" si="9"/>
        <v/>
      </c>
      <c r="X35" s="780"/>
    </row>
    <row r="36" spans="2:24" s="116" customFormat="1" hidden="1" outlineLevel="1">
      <c r="B36" s="210"/>
      <c r="C36" s="818"/>
      <c r="D36" s="819"/>
      <c r="E36" s="820"/>
      <c r="F36" s="773"/>
      <c r="G36" s="774" t="str">
        <f t="shared" si="0"/>
        <v/>
      </c>
      <c r="H36" s="773"/>
      <c r="I36" s="774" t="str">
        <f t="shared" si="1"/>
        <v/>
      </c>
      <c r="J36" s="821" t="str">
        <f t="shared" si="2"/>
        <v/>
      </c>
      <c r="K36" s="773"/>
      <c r="L36" s="774" t="str">
        <f t="shared" si="3"/>
        <v/>
      </c>
      <c r="M36" s="773"/>
      <c r="N36" s="774" t="str">
        <f t="shared" ref="N36" si="52">IF(OR($C36="",M36=""),"",INDEX(randopsluiting_scores,MATCH(M36,randopsluiting_keuzes,0)))</f>
        <v/>
      </c>
      <c r="O36" s="821" t="str">
        <f t="shared" si="5"/>
        <v/>
      </c>
      <c r="P36" s="778"/>
      <c r="Q36" s="822" t="str">
        <f t="shared" si="6"/>
        <v/>
      </c>
      <c r="R36" s="14"/>
      <c r="S36" s="823"/>
      <c r="T36" s="777" t="str">
        <f t="shared" ref="T36" si="53">IF(OR($C36="",S36=""),"",INDEX(kwaliteitsfactor_scores,MATCH(S36,kwaliteitsfactor_keuzes,0)))</f>
        <v/>
      </c>
      <c r="U36" s="776"/>
      <c r="V36" s="784" t="str">
        <f t="shared" ref="V36" si="54">IF(OR($C36="",U36=""),"",INDEX(marktwaarde_scores,MATCH(U36,marktwaarde_keuzes,0)))</f>
        <v/>
      </c>
      <c r="W36" s="824" t="str">
        <f t="shared" si="9"/>
        <v/>
      </c>
      <c r="X36" s="780"/>
    </row>
    <row r="37" spans="2:24" s="116" customFormat="1" hidden="1" outlineLevel="1">
      <c r="B37" s="210"/>
      <c r="C37" s="818"/>
      <c r="D37" s="819"/>
      <c r="E37" s="820"/>
      <c r="F37" s="773"/>
      <c r="G37" s="774" t="str">
        <f t="shared" si="0"/>
        <v/>
      </c>
      <c r="H37" s="773"/>
      <c r="I37" s="774" t="str">
        <f t="shared" si="1"/>
        <v/>
      </c>
      <c r="J37" s="821" t="str">
        <f t="shared" si="2"/>
        <v/>
      </c>
      <c r="K37" s="773"/>
      <c r="L37" s="774" t="str">
        <f t="shared" si="3"/>
        <v/>
      </c>
      <c r="M37" s="773"/>
      <c r="N37" s="774" t="str">
        <f t="shared" ref="N37" si="55">IF(OR($C37="",M37=""),"",INDEX(randopsluiting_scores,MATCH(M37,randopsluiting_keuzes,0)))</f>
        <v/>
      </c>
      <c r="O37" s="821" t="str">
        <f t="shared" si="5"/>
        <v/>
      </c>
      <c r="P37" s="778"/>
      <c r="Q37" s="822" t="str">
        <f t="shared" si="6"/>
        <v/>
      </c>
      <c r="R37" s="14"/>
      <c r="S37" s="823"/>
      <c r="T37" s="777" t="str">
        <f t="shared" ref="T37" si="56">IF(OR($C37="",S37=""),"",INDEX(kwaliteitsfactor_scores,MATCH(S37,kwaliteitsfactor_keuzes,0)))</f>
        <v/>
      </c>
      <c r="U37" s="776"/>
      <c r="V37" s="784" t="str">
        <f t="shared" ref="V37" si="57">IF(OR($C37="",U37=""),"",INDEX(marktwaarde_scores,MATCH(U37,marktwaarde_keuzes,0)))</f>
        <v/>
      </c>
      <c r="W37" s="824" t="str">
        <f t="shared" si="9"/>
        <v/>
      </c>
      <c r="X37" s="780"/>
    </row>
    <row r="38" spans="2:24" s="116" customFormat="1" hidden="1" outlineLevel="1">
      <c r="B38" s="210"/>
      <c r="C38" s="818"/>
      <c r="D38" s="819"/>
      <c r="E38" s="820"/>
      <c r="F38" s="773"/>
      <c r="G38" s="774" t="str">
        <f t="shared" si="0"/>
        <v/>
      </c>
      <c r="H38" s="773"/>
      <c r="I38" s="774" t="str">
        <f t="shared" si="1"/>
        <v/>
      </c>
      <c r="J38" s="821" t="str">
        <f t="shared" si="2"/>
        <v/>
      </c>
      <c r="K38" s="773"/>
      <c r="L38" s="774" t="str">
        <f t="shared" si="3"/>
        <v/>
      </c>
      <c r="M38" s="773"/>
      <c r="N38" s="774" t="str">
        <f t="shared" ref="N38" si="58">IF(OR($C38="",M38=""),"",INDEX(randopsluiting_scores,MATCH(M38,randopsluiting_keuzes,0)))</f>
        <v/>
      </c>
      <c r="O38" s="821" t="str">
        <f t="shared" si="5"/>
        <v/>
      </c>
      <c r="P38" s="778"/>
      <c r="Q38" s="822" t="str">
        <f t="shared" si="6"/>
        <v/>
      </c>
      <c r="R38" s="14"/>
      <c r="S38" s="823"/>
      <c r="T38" s="777" t="str">
        <f t="shared" ref="T38" si="59">IF(OR($C38="",S38=""),"",INDEX(kwaliteitsfactor_scores,MATCH(S38,kwaliteitsfactor_keuzes,0)))</f>
        <v/>
      </c>
      <c r="U38" s="776"/>
      <c r="V38" s="784" t="str">
        <f t="shared" ref="V38" si="60">IF(OR($C38="",U38=""),"",INDEX(marktwaarde_scores,MATCH(U38,marktwaarde_keuzes,0)))</f>
        <v/>
      </c>
      <c r="W38" s="824" t="str">
        <f t="shared" si="9"/>
        <v/>
      </c>
      <c r="X38" s="780"/>
    </row>
    <row r="39" spans="2:24" s="116" customFormat="1" hidden="1" outlineLevel="1">
      <c r="B39" s="210"/>
      <c r="C39" s="818"/>
      <c r="D39" s="819"/>
      <c r="E39" s="820"/>
      <c r="F39" s="773"/>
      <c r="G39" s="774" t="str">
        <f t="shared" si="0"/>
        <v/>
      </c>
      <c r="H39" s="773"/>
      <c r="I39" s="774" t="str">
        <f t="shared" si="1"/>
        <v/>
      </c>
      <c r="J39" s="821" t="str">
        <f t="shared" si="2"/>
        <v/>
      </c>
      <c r="K39" s="773"/>
      <c r="L39" s="774" t="str">
        <f t="shared" si="3"/>
        <v/>
      </c>
      <c r="M39" s="773"/>
      <c r="N39" s="774" t="str">
        <f t="shared" ref="N39" si="61">IF(OR($C39="",M39=""),"",INDEX(randopsluiting_scores,MATCH(M39,randopsluiting_keuzes,0)))</f>
        <v/>
      </c>
      <c r="O39" s="821" t="str">
        <f t="shared" si="5"/>
        <v/>
      </c>
      <c r="P39" s="778"/>
      <c r="Q39" s="822" t="str">
        <f t="shared" si="6"/>
        <v/>
      </c>
      <c r="R39" s="14"/>
      <c r="S39" s="823"/>
      <c r="T39" s="777" t="str">
        <f t="shared" ref="T39" si="62">IF(OR($C39="",S39=""),"",INDEX(kwaliteitsfactor_scores,MATCH(S39,kwaliteitsfactor_keuzes,0)))</f>
        <v/>
      </c>
      <c r="U39" s="776"/>
      <c r="V39" s="784" t="str">
        <f t="shared" ref="V39" si="63">IF(OR($C39="",U39=""),"",INDEX(marktwaarde_scores,MATCH(U39,marktwaarde_keuzes,0)))</f>
        <v/>
      </c>
      <c r="W39" s="824" t="str">
        <f t="shared" si="9"/>
        <v/>
      </c>
      <c r="X39" s="780"/>
    </row>
    <row r="40" spans="2:24" s="116" customFormat="1" hidden="1" outlineLevel="1">
      <c r="B40" s="210"/>
      <c r="C40" s="818"/>
      <c r="D40" s="819"/>
      <c r="E40" s="820"/>
      <c r="F40" s="773"/>
      <c r="G40" s="774" t="str">
        <f t="shared" si="0"/>
        <v/>
      </c>
      <c r="H40" s="773"/>
      <c r="I40" s="774" t="str">
        <f t="shared" si="1"/>
        <v/>
      </c>
      <c r="J40" s="821" t="str">
        <f t="shared" si="2"/>
        <v/>
      </c>
      <c r="K40" s="773"/>
      <c r="L40" s="774" t="str">
        <f t="shared" si="3"/>
        <v/>
      </c>
      <c r="M40" s="773"/>
      <c r="N40" s="774" t="str">
        <f t="shared" ref="N40" si="64">IF(OR($C40="",M40=""),"",INDEX(randopsluiting_scores,MATCH(M40,randopsluiting_keuzes,0)))</f>
        <v/>
      </c>
      <c r="O40" s="821" t="str">
        <f t="shared" si="5"/>
        <v/>
      </c>
      <c r="P40" s="778"/>
      <c r="Q40" s="822" t="str">
        <f t="shared" si="6"/>
        <v/>
      </c>
      <c r="R40" s="14"/>
      <c r="S40" s="823"/>
      <c r="T40" s="777" t="str">
        <f t="shared" ref="T40" si="65">IF(OR($C40="",S40=""),"",INDEX(kwaliteitsfactor_scores,MATCH(S40,kwaliteitsfactor_keuzes,0)))</f>
        <v/>
      </c>
      <c r="U40" s="776"/>
      <c r="V40" s="784" t="str">
        <f t="shared" ref="V40" si="66">IF(OR($C40="",U40=""),"",INDEX(marktwaarde_scores,MATCH(U40,marktwaarde_keuzes,0)))</f>
        <v/>
      </c>
      <c r="W40" s="824" t="str">
        <f t="shared" si="9"/>
        <v/>
      </c>
      <c r="X40" s="780"/>
    </row>
    <row r="41" spans="2:24" s="116" customFormat="1" hidden="1" outlineLevel="1">
      <c r="B41" s="210"/>
      <c r="C41" s="818"/>
      <c r="D41" s="819"/>
      <c r="E41" s="820"/>
      <c r="F41" s="773"/>
      <c r="G41" s="774" t="str">
        <f t="shared" si="0"/>
        <v/>
      </c>
      <c r="H41" s="773"/>
      <c r="I41" s="774" t="str">
        <f t="shared" si="1"/>
        <v/>
      </c>
      <c r="J41" s="821" t="str">
        <f t="shared" si="2"/>
        <v/>
      </c>
      <c r="K41" s="773"/>
      <c r="L41" s="774" t="str">
        <f t="shared" si="3"/>
        <v/>
      </c>
      <c r="M41" s="773"/>
      <c r="N41" s="774" t="str">
        <f t="shared" ref="N41" si="67">IF(OR($C41="",M41=""),"",INDEX(randopsluiting_scores,MATCH(M41,randopsluiting_keuzes,0)))</f>
        <v/>
      </c>
      <c r="O41" s="821" t="str">
        <f t="shared" si="5"/>
        <v/>
      </c>
      <c r="P41" s="778"/>
      <c r="Q41" s="822" t="str">
        <f t="shared" si="6"/>
        <v/>
      </c>
      <c r="R41" s="14"/>
      <c r="S41" s="823"/>
      <c r="T41" s="777" t="str">
        <f t="shared" ref="T41" si="68">IF(OR($C41="",S41=""),"",INDEX(kwaliteitsfactor_scores,MATCH(S41,kwaliteitsfactor_keuzes,0)))</f>
        <v/>
      </c>
      <c r="U41" s="776"/>
      <c r="V41" s="784" t="str">
        <f t="shared" ref="V41" si="69">IF(OR($C41="",U41=""),"",INDEX(marktwaarde_scores,MATCH(U41,marktwaarde_keuzes,0)))</f>
        <v/>
      </c>
      <c r="W41" s="824" t="str">
        <f t="shared" si="9"/>
        <v/>
      </c>
      <c r="X41" s="780"/>
    </row>
    <row r="42" spans="2:24" s="116" customFormat="1" hidden="1" outlineLevel="1">
      <c r="B42" s="210"/>
      <c r="C42" s="818"/>
      <c r="D42" s="819"/>
      <c r="E42" s="820"/>
      <c r="F42" s="773"/>
      <c r="G42" s="774" t="str">
        <f t="shared" si="0"/>
        <v/>
      </c>
      <c r="H42" s="773"/>
      <c r="I42" s="774" t="str">
        <f t="shared" si="1"/>
        <v/>
      </c>
      <c r="J42" s="821" t="str">
        <f t="shared" si="2"/>
        <v/>
      </c>
      <c r="K42" s="773"/>
      <c r="L42" s="774" t="str">
        <f t="shared" si="3"/>
        <v/>
      </c>
      <c r="M42" s="773"/>
      <c r="N42" s="774" t="str">
        <f t="shared" ref="N42" si="70">IF(OR($C42="",M42=""),"",INDEX(randopsluiting_scores,MATCH(M42,randopsluiting_keuzes,0)))</f>
        <v/>
      </c>
      <c r="O42" s="821" t="str">
        <f t="shared" si="5"/>
        <v/>
      </c>
      <c r="P42" s="778"/>
      <c r="Q42" s="822" t="str">
        <f t="shared" si="6"/>
        <v/>
      </c>
      <c r="R42" s="14"/>
      <c r="S42" s="823"/>
      <c r="T42" s="777" t="str">
        <f t="shared" ref="T42" si="71">IF(OR($C42="",S42=""),"",INDEX(kwaliteitsfactor_scores,MATCH(S42,kwaliteitsfactor_keuzes,0)))</f>
        <v/>
      </c>
      <c r="U42" s="776"/>
      <c r="V42" s="784" t="str">
        <f t="shared" ref="V42" si="72">IF(OR($C42="",U42=""),"",INDEX(marktwaarde_scores,MATCH(U42,marktwaarde_keuzes,0)))</f>
        <v/>
      </c>
      <c r="W42" s="824" t="str">
        <f t="shared" si="9"/>
        <v/>
      </c>
      <c r="X42" s="780"/>
    </row>
    <row r="43" spans="2:24" s="116" customFormat="1" hidden="1" outlineLevel="1">
      <c r="B43" s="210"/>
      <c r="C43" s="818"/>
      <c r="D43" s="819"/>
      <c r="E43" s="820"/>
      <c r="F43" s="773"/>
      <c r="G43" s="774" t="str">
        <f t="shared" si="0"/>
        <v/>
      </c>
      <c r="H43" s="773"/>
      <c r="I43" s="774" t="str">
        <f t="shared" si="1"/>
        <v/>
      </c>
      <c r="J43" s="821" t="str">
        <f t="shared" si="2"/>
        <v/>
      </c>
      <c r="K43" s="773"/>
      <c r="L43" s="774" t="str">
        <f t="shared" si="3"/>
        <v/>
      </c>
      <c r="M43" s="773"/>
      <c r="N43" s="774" t="str">
        <f t="shared" ref="N43" si="73">IF(OR($C43="",M43=""),"",INDEX(randopsluiting_scores,MATCH(M43,randopsluiting_keuzes,0)))</f>
        <v/>
      </c>
      <c r="O43" s="821" t="str">
        <f t="shared" si="5"/>
        <v/>
      </c>
      <c r="P43" s="778"/>
      <c r="Q43" s="822" t="str">
        <f t="shared" si="6"/>
        <v/>
      </c>
      <c r="R43" s="14"/>
      <c r="S43" s="823"/>
      <c r="T43" s="777" t="str">
        <f t="shared" ref="T43" si="74">IF(OR($C43="",S43=""),"",INDEX(kwaliteitsfactor_scores,MATCH(S43,kwaliteitsfactor_keuzes,0)))</f>
        <v/>
      </c>
      <c r="U43" s="776"/>
      <c r="V43" s="784" t="str">
        <f t="shared" ref="V43" si="75">IF(OR($C43="",U43=""),"",INDEX(marktwaarde_scores,MATCH(U43,marktwaarde_keuzes,0)))</f>
        <v/>
      </c>
      <c r="W43" s="824" t="str">
        <f t="shared" si="9"/>
        <v/>
      </c>
      <c r="X43" s="780"/>
    </row>
    <row r="44" spans="2:24" s="116" customFormat="1" hidden="1" outlineLevel="1">
      <c r="B44" s="210"/>
      <c r="C44" s="818"/>
      <c r="D44" s="819"/>
      <c r="E44" s="820"/>
      <c r="F44" s="773"/>
      <c r="G44" s="774" t="str">
        <f t="shared" si="0"/>
        <v/>
      </c>
      <c r="H44" s="773"/>
      <c r="I44" s="774" t="str">
        <f t="shared" si="1"/>
        <v/>
      </c>
      <c r="J44" s="821" t="str">
        <f t="shared" si="2"/>
        <v/>
      </c>
      <c r="K44" s="773"/>
      <c r="L44" s="774" t="str">
        <f t="shared" si="3"/>
        <v/>
      </c>
      <c r="M44" s="773"/>
      <c r="N44" s="774" t="str">
        <f t="shared" ref="N44" si="76">IF(OR($C44="",M44=""),"",INDEX(randopsluiting_scores,MATCH(M44,randopsluiting_keuzes,0)))</f>
        <v/>
      </c>
      <c r="O44" s="821" t="str">
        <f t="shared" si="5"/>
        <v/>
      </c>
      <c r="P44" s="778"/>
      <c r="Q44" s="822" t="str">
        <f t="shared" si="6"/>
        <v/>
      </c>
      <c r="R44" s="14"/>
      <c r="S44" s="823"/>
      <c r="T44" s="777" t="str">
        <f t="shared" ref="T44" si="77">IF(OR($C44="",S44=""),"",INDEX(kwaliteitsfactor_scores,MATCH(S44,kwaliteitsfactor_keuzes,0)))</f>
        <v/>
      </c>
      <c r="U44" s="776"/>
      <c r="V44" s="784" t="str">
        <f t="shared" ref="V44" si="78">IF(OR($C44="",U44=""),"",INDEX(marktwaarde_scores,MATCH(U44,marktwaarde_keuzes,0)))</f>
        <v/>
      </c>
      <c r="W44" s="824" t="str">
        <f t="shared" si="9"/>
        <v/>
      </c>
      <c r="X44" s="780"/>
    </row>
    <row r="45" spans="2:24" s="116" customFormat="1" hidden="1" outlineLevel="1">
      <c r="B45" s="210"/>
      <c r="C45" s="818"/>
      <c r="D45" s="819"/>
      <c r="E45" s="820"/>
      <c r="F45" s="773"/>
      <c r="G45" s="774" t="str">
        <f t="shared" si="0"/>
        <v/>
      </c>
      <c r="H45" s="773"/>
      <c r="I45" s="774" t="str">
        <f t="shared" si="1"/>
        <v/>
      </c>
      <c r="J45" s="821" t="str">
        <f t="shared" si="2"/>
        <v/>
      </c>
      <c r="K45" s="773"/>
      <c r="L45" s="774" t="str">
        <f t="shared" si="3"/>
        <v/>
      </c>
      <c r="M45" s="773"/>
      <c r="N45" s="774" t="str">
        <f t="shared" ref="N45" si="79">IF(OR($C45="",M45=""),"",INDEX(randopsluiting_scores,MATCH(M45,randopsluiting_keuzes,0)))</f>
        <v/>
      </c>
      <c r="O45" s="821" t="str">
        <f t="shared" si="5"/>
        <v/>
      </c>
      <c r="P45" s="778"/>
      <c r="Q45" s="822" t="str">
        <f t="shared" si="6"/>
        <v/>
      </c>
      <c r="R45" s="14"/>
      <c r="S45" s="823"/>
      <c r="T45" s="777" t="str">
        <f t="shared" ref="T45" si="80">IF(OR($C45="",S45=""),"",INDEX(kwaliteitsfactor_scores,MATCH(S45,kwaliteitsfactor_keuzes,0)))</f>
        <v/>
      </c>
      <c r="U45" s="776"/>
      <c r="V45" s="784" t="str">
        <f t="shared" ref="V45" si="81">IF(OR($C45="",U45=""),"",INDEX(marktwaarde_scores,MATCH(U45,marktwaarde_keuzes,0)))</f>
        <v/>
      </c>
      <c r="W45" s="824" t="str">
        <f t="shared" si="9"/>
        <v/>
      </c>
      <c r="X45" s="780"/>
    </row>
    <row r="46" spans="2:24" s="116" customFormat="1" hidden="1" outlineLevel="1">
      <c r="B46" s="210"/>
      <c r="C46" s="818"/>
      <c r="D46" s="819"/>
      <c r="E46" s="820"/>
      <c r="F46" s="773"/>
      <c r="G46" s="774" t="str">
        <f t="shared" si="0"/>
        <v/>
      </c>
      <c r="H46" s="773"/>
      <c r="I46" s="774" t="str">
        <f t="shared" si="1"/>
        <v/>
      </c>
      <c r="J46" s="821" t="str">
        <f t="shared" si="2"/>
        <v/>
      </c>
      <c r="K46" s="773"/>
      <c r="L46" s="774" t="str">
        <f t="shared" si="3"/>
        <v/>
      </c>
      <c r="M46" s="773"/>
      <c r="N46" s="774" t="str">
        <f t="shared" ref="N46" si="82">IF(OR($C46="",M46=""),"",INDEX(randopsluiting_scores,MATCH(M46,randopsluiting_keuzes,0)))</f>
        <v/>
      </c>
      <c r="O46" s="821" t="str">
        <f t="shared" si="5"/>
        <v/>
      </c>
      <c r="P46" s="778"/>
      <c r="Q46" s="822" t="str">
        <f t="shared" si="6"/>
        <v/>
      </c>
      <c r="R46" s="14"/>
      <c r="S46" s="823"/>
      <c r="T46" s="777" t="str">
        <f t="shared" ref="T46" si="83">IF(OR($C46="",S46=""),"",INDEX(kwaliteitsfactor_scores,MATCH(S46,kwaliteitsfactor_keuzes,0)))</f>
        <v/>
      </c>
      <c r="U46" s="776"/>
      <c r="V46" s="784" t="str">
        <f t="shared" ref="V46" si="84">IF(OR($C46="",U46=""),"",INDEX(marktwaarde_scores,MATCH(U46,marktwaarde_keuzes,0)))</f>
        <v/>
      </c>
      <c r="W46" s="824" t="str">
        <f t="shared" si="9"/>
        <v/>
      </c>
      <c r="X46" s="780"/>
    </row>
    <row r="47" spans="2:24" s="116" customFormat="1" hidden="1" outlineLevel="1">
      <c r="B47" s="210"/>
      <c r="C47" s="818"/>
      <c r="D47" s="819"/>
      <c r="E47" s="820"/>
      <c r="F47" s="773"/>
      <c r="G47" s="774" t="str">
        <f t="shared" si="0"/>
        <v/>
      </c>
      <c r="H47" s="773"/>
      <c r="I47" s="774" t="str">
        <f t="shared" si="1"/>
        <v/>
      </c>
      <c r="J47" s="821" t="str">
        <f t="shared" si="2"/>
        <v/>
      </c>
      <c r="K47" s="773"/>
      <c r="L47" s="774" t="str">
        <f t="shared" si="3"/>
        <v/>
      </c>
      <c r="M47" s="773"/>
      <c r="N47" s="774" t="str">
        <f t="shared" ref="N47" si="85">IF(OR($C47="",M47=""),"",INDEX(randopsluiting_scores,MATCH(M47,randopsluiting_keuzes,0)))</f>
        <v/>
      </c>
      <c r="O47" s="821" t="str">
        <f t="shared" si="5"/>
        <v/>
      </c>
      <c r="P47" s="778"/>
      <c r="Q47" s="822" t="str">
        <f t="shared" si="6"/>
        <v/>
      </c>
      <c r="R47" s="14"/>
      <c r="S47" s="823"/>
      <c r="T47" s="777" t="str">
        <f t="shared" ref="T47" si="86">IF(OR($C47="",S47=""),"",INDEX(kwaliteitsfactor_scores,MATCH(S47,kwaliteitsfactor_keuzes,0)))</f>
        <v/>
      </c>
      <c r="U47" s="776"/>
      <c r="V47" s="784" t="str">
        <f t="shared" ref="V47" si="87">IF(OR($C47="",U47=""),"",INDEX(marktwaarde_scores,MATCH(U47,marktwaarde_keuzes,0)))</f>
        <v/>
      </c>
      <c r="W47" s="824" t="str">
        <f t="shared" si="9"/>
        <v/>
      </c>
      <c r="X47" s="780"/>
    </row>
    <row r="48" spans="2:24" s="116" customFormat="1" hidden="1" outlineLevel="1">
      <c r="B48" s="210"/>
      <c r="C48" s="818"/>
      <c r="D48" s="819"/>
      <c r="E48" s="820"/>
      <c r="F48" s="773"/>
      <c r="G48" s="774" t="str">
        <f t="shared" si="0"/>
        <v/>
      </c>
      <c r="H48" s="773"/>
      <c r="I48" s="774" t="str">
        <f t="shared" si="1"/>
        <v/>
      </c>
      <c r="J48" s="821" t="str">
        <f t="shared" si="2"/>
        <v/>
      </c>
      <c r="K48" s="773"/>
      <c r="L48" s="774" t="str">
        <f t="shared" si="3"/>
        <v/>
      </c>
      <c r="M48" s="773"/>
      <c r="N48" s="774" t="str">
        <f t="shared" ref="N48" si="88">IF(OR($C48="",M48=""),"",INDEX(randopsluiting_scores,MATCH(M48,randopsluiting_keuzes,0)))</f>
        <v/>
      </c>
      <c r="O48" s="821" t="str">
        <f t="shared" si="5"/>
        <v/>
      </c>
      <c r="P48" s="778"/>
      <c r="Q48" s="822" t="str">
        <f t="shared" si="6"/>
        <v/>
      </c>
      <c r="R48" s="14"/>
      <c r="S48" s="823"/>
      <c r="T48" s="777" t="str">
        <f t="shared" ref="T48" si="89">IF(OR($C48="",S48=""),"",INDEX(kwaliteitsfactor_scores,MATCH(S48,kwaliteitsfactor_keuzes,0)))</f>
        <v/>
      </c>
      <c r="U48" s="776"/>
      <c r="V48" s="784" t="str">
        <f t="shared" ref="V48" si="90">IF(OR($C48="",U48=""),"",INDEX(marktwaarde_scores,MATCH(U48,marktwaarde_keuzes,0)))</f>
        <v/>
      </c>
      <c r="W48" s="824" t="str">
        <f t="shared" si="9"/>
        <v/>
      </c>
      <c r="X48" s="780"/>
    </row>
    <row r="49" spans="2:24" s="116" customFormat="1" hidden="1" outlineLevel="1">
      <c r="B49" s="210"/>
      <c r="C49" s="818"/>
      <c r="D49" s="819"/>
      <c r="E49" s="820"/>
      <c r="F49" s="773"/>
      <c r="G49" s="774" t="str">
        <f t="shared" si="0"/>
        <v/>
      </c>
      <c r="H49" s="773"/>
      <c r="I49" s="774" t="str">
        <f t="shared" si="1"/>
        <v/>
      </c>
      <c r="J49" s="821" t="str">
        <f t="shared" si="2"/>
        <v/>
      </c>
      <c r="K49" s="773"/>
      <c r="L49" s="774" t="str">
        <f t="shared" si="3"/>
        <v/>
      </c>
      <c r="M49" s="773"/>
      <c r="N49" s="774" t="str">
        <f t="shared" ref="N49" si="91">IF(OR($C49="",M49=""),"",INDEX(randopsluiting_scores,MATCH(M49,randopsluiting_keuzes,0)))</f>
        <v/>
      </c>
      <c r="O49" s="821" t="str">
        <f t="shared" si="5"/>
        <v/>
      </c>
      <c r="P49" s="778"/>
      <c r="Q49" s="822" t="str">
        <f t="shared" si="6"/>
        <v/>
      </c>
      <c r="R49" s="14"/>
      <c r="S49" s="823"/>
      <c r="T49" s="777" t="str">
        <f t="shared" ref="T49" si="92">IF(OR($C49="",S49=""),"",INDEX(kwaliteitsfactor_scores,MATCH(S49,kwaliteitsfactor_keuzes,0)))</f>
        <v/>
      </c>
      <c r="U49" s="776"/>
      <c r="V49" s="784" t="str">
        <f t="shared" ref="V49" si="93">IF(OR($C49="",U49=""),"",INDEX(marktwaarde_scores,MATCH(U49,marktwaarde_keuzes,0)))</f>
        <v/>
      </c>
      <c r="W49" s="824" t="str">
        <f t="shared" si="9"/>
        <v/>
      </c>
      <c r="X49" s="780"/>
    </row>
    <row r="50" spans="2:24" s="116" customFormat="1" hidden="1" outlineLevel="1">
      <c r="B50" s="210"/>
      <c r="C50" s="818"/>
      <c r="D50" s="819"/>
      <c r="E50" s="820"/>
      <c r="F50" s="773"/>
      <c r="G50" s="774" t="str">
        <f t="shared" si="0"/>
        <v/>
      </c>
      <c r="H50" s="773"/>
      <c r="I50" s="774" t="str">
        <f t="shared" si="1"/>
        <v/>
      </c>
      <c r="J50" s="821" t="str">
        <f t="shared" si="2"/>
        <v/>
      </c>
      <c r="K50" s="773"/>
      <c r="L50" s="774" t="str">
        <f t="shared" si="3"/>
        <v/>
      </c>
      <c r="M50" s="773"/>
      <c r="N50" s="774" t="str">
        <f t="shared" ref="N50" si="94">IF(OR($C50="",M50=""),"",INDEX(randopsluiting_scores,MATCH(M50,randopsluiting_keuzes,0)))</f>
        <v/>
      </c>
      <c r="O50" s="821" t="str">
        <f t="shared" si="5"/>
        <v/>
      </c>
      <c r="P50" s="778"/>
      <c r="Q50" s="822" t="str">
        <f t="shared" si="6"/>
        <v/>
      </c>
      <c r="R50" s="14"/>
      <c r="S50" s="823"/>
      <c r="T50" s="777" t="str">
        <f t="shared" ref="T50" si="95">IF(OR($C50="",S50=""),"",INDEX(kwaliteitsfactor_scores,MATCH(S50,kwaliteitsfactor_keuzes,0)))</f>
        <v/>
      </c>
      <c r="U50" s="776"/>
      <c r="V50" s="784" t="str">
        <f t="shared" ref="V50" si="96">IF(OR($C50="",U50=""),"",INDEX(marktwaarde_scores,MATCH(U50,marktwaarde_keuzes,0)))</f>
        <v/>
      </c>
      <c r="W50" s="824" t="str">
        <f t="shared" si="9"/>
        <v/>
      </c>
      <c r="X50" s="780"/>
    </row>
    <row r="51" spans="2:24" s="116" customFormat="1" hidden="1" outlineLevel="1">
      <c r="B51" s="210"/>
      <c r="C51" s="818"/>
      <c r="D51" s="819"/>
      <c r="E51" s="820"/>
      <c r="F51" s="773"/>
      <c r="G51" s="774" t="str">
        <f t="shared" si="0"/>
        <v/>
      </c>
      <c r="H51" s="773"/>
      <c r="I51" s="774" t="str">
        <f t="shared" si="1"/>
        <v/>
      </c>
      <c r="J51" s="821" t="str">
        <f t="shared" si="2"/>
        <v/>
      </c>
      <c r="K51" s="773"/>
      <c r="L51" s="774" t="str">
        <f t="shared" si="3"/>
        <v/>
      </c>
      <c r="M51" s="773"/>
      <c r="N51" s="774" t="str">
        <f t="shared" ref="N51" si="97">IF(OR($C51="",M51=""),"",INDEX(randopsluiting_scores,MATCH(M51,randopsluiting_keuzes,0)))</f>
        <v/>
      </c>
      <c r="O51" s="821" t="str">
        <f t="shared" si="5"/>
        <v/>
      </c>
      <c r="P51" s="778"/>
      <c r="Q51" s="822" t="str">
        <f t="shared" si="6"/>
        <v/>
      </c>
      <c r="R51" s="14"/>
      <c r="S51" s="823"/>
      <c r="T51" s="777" t="str">
        <f t="shared" ref="T51" si="98">IF(OR($C51="",S51=""),"",INDEX(kwaliteitsfactor_scores,MATCH(S51,kwaliteitsfactor_keuzes,0)))</f>
        <v/>
      </c>
      <c r="U51" s="776"/>
      <c r="V51" s="784" t="str">
        <f t="shared" ref="V51" si="99">IF(OR($C51="",U51=""),"",INDEX(marktwaarde_scores,MATCH(U51,marktwaarde_keuzes,0)))</f>
        <v/>
      </c>
      <c r="W51" s="824" t="str">
        <f t="shared" si="9"/>
        <v/>
      </c>
      <c r="X51" s="780"/>
    </row>
    <row r="52" spans="2:24" s="116" customFormat="1" hidden="1" outlineLevel="1">
      <c r="B52" s="210"/>
      <c r="C52" s="818"/>
      <c r="D52" s="819"/>
      <c r="E52" s="820"/>
      <c r="F52" s="773"/>
      <c r="G52" s="774" t="str">
        <f t="shared" si="0"/>
        <v/>
      </c>
      <c r="H52" s="773"/>
      <c r="I52" s="774" t="str">
        <f t="shared" si="1"/>
        <v/>
      </c>
      <c r="J52" s="821" t="str">
        <f t="shared" si="2"/>
        <v/>
      </c>
      <c r="K52" s="773"/>
      <c r="L52" s="774" t="str">
        <f t="shared" si="3"/>
        <v/>
      </c>
      <c r="M52" s="773"/>
      <c r="N52" s="774" t="str">
        <f t="shared" ref="N52" si="100">IF(OR($C52="",M52=""),"",INDEX(randopsluiting_scores,MATCH(M52,randopsluiting_keuzes,0)))</f>
        <v/>
      </c>
      <c r="O52" s="821" t="str">
        <f t="shared" si="5"/>
        <v/>
      </c>
      <c r="P52" s="778"/>
      <c r="Q52" s="822" t="str">
        <f t="shared" si="6"/>
        <v/>
      </c>
      <c r="R52" s="14"/>
      <c r="S52" s="823"/>
      <c r="T52" s="777" t="str">
        <f t="shared" ref="T52" si="101">IF(OR($C52="",S52=""),"",INDEX(kwaliteitsfactor_scores,MATCH(S52,kwaliteitsfactor_keuzes,0)))</f>
        <v/>
      </c>
      <c r="U52" s="776"/>
      <c r="V52" s="784" t="str">
        <f t="shared" ref="V52" si="102">IF(OR($C52="",U52=""),"",INDEX(marktwaarde_scores,MATCH(U52,marktwaarde_keuzes,0)))</f>
        <v/>
      </c>
      <c r="W52" s="824" t="str">
        <f t="shared" si="9"/>
        <v/>
      </c>
      <c r="X52" s="780"/>
    </row>
    <row r="53" spans="2:24" s="116" customFormat="1" hidden="1" outlineLevel="1">
      <c r="B53" s="210"/>
      <c r="C53" s="818"/>
      <c r="D53" s="819"/>
      <c r="E53" s="820"/>
      <c r="F53" s="773"/>
      <c r="G53" s="774" t="str">
        <f t="shared" ref="G53:G84" si="103">IF(OR($C53="",F53=""),"",INDEX(type_verbinding_scores,MATCH(F53,type_verbinding_keuzes,0)))</f>
        <v/>
      </c>
      <c r="H53" s="773"/>
      <c r="I53" s="774" t="str">
        <f t="shared" ref="I53:I84" si="104">IF(OR($C53="",H53=""),"",INDEX(toegankelijkheid_verbinding_scores,MATCH(H53,toegankelijkheid_verbinding_keuzes,0)))</f>
        <v/>
      </c>
      <c r="J53" s="821" t="str">
        <f t="shared" ref="J53:J84" si="105">IF(OR($C53="",$G53="",$I53=""),"",2/((1/G53)+(1/I53)))</f>
        <v/>
      </c>
      <c r="K53" s="773"/>
      <c r="L53" s="774" t="str">
        <f t="shared" ref="L53:L84" si="106">IF(OR($C53="",K53=""),"",INDEX(doorkruisingen_scores,MATCH(K53,doorkruisingen_keuzes,0)))</f>
        <v/>
      </c>
      <c r="M53" s="773"/>
      <c r="N53" s="774" t="str">
        <f t="shared" ref="N53" si="107">IF(OR($C53="",M53=""),"",INDEX(randopsluiting_scores,MATCH(M53,randopsluiting_keuzes,0)))</f>
        <v/>
      </c>
      <c r="O53" s="821" t="str">
        <f t="shared" ref="O53:O84" si="108">IF(OR($C53="",$K53="",$M53=""),"",2/((1/L53)+(1/N53)))</f>
        <v/>
      </c>
      <c r="P53" s="778"/>
      <c r="Q53" s="822" t="str">
        <f t="shared" ref="Q53:Q84" si="109">IF(OR($C53="",$G53="",$I53="",$L53="",$N53=""),"",4/((1/G53)+(1/I53)+(1/L53)+(1/N53)))</f>
        <v/>
      </c>
      <c r="R53" s="14"/>
      <c r="S53" s="823"/>
      <c r="T53" s="777" t="str">
        <f t="shared" ref="T53" si="110">IF(OR($C53="",S53=""),"",INDEX(kwaliteitsfactor_scores,MATCH(S53,kwaliteitsfactor_keuzes,0)))</f>
        <v/>
      </c>
      <c r="U53" s="776"/>
      <c r="V53" s="784" t="str">
        <f t="shared" ref="V53" si="111">IF(OR($C53="",U53=""),"",INDEX(marktwaarde_scores,MATCH(U53,marktwaarde_keuzes,0)))</f>
        <v/>
      </c>
      <c r="W53" s="824" t="str">
        <f t="shared" ref="W53:W84" si="112">IF(OR($C53="",$P53="",$Q53="",$T53="",$V53="",),"",P53*Q53*T53*V53)</f>
        <v/>
      </c>
      <c r="X53" s="780"/>
    </row>
    <row r="54" spans="2:24" s="116" customFormat="1" hidden="1" outlineLevel="1">
      <c r="B54" s="210"/>
      <c r="C54" s="818"/>
      <c r="D54" s="819"/>
      <c r="E54" s="820"/>
      <c r="F54" s="773"/>
      <c r="G54" s="774" t="str">
        <f t="shared" si="103"/>
        <v/>
      </c>
      <c r="H54" s="773"/>
      <c r="I54" s="774" t="str">
        <f t="shared" si="104"/>
        <v/>
      </c>
      <c r="J54" s="821" t="str">
        <f t="shared" si="105"/>
        <v/>
      </c>
      <c r="K54" s="773"/>
      <c r="L54" s="774" t="str">
        <f t="shared" si="106"/>
        <v/>
      </c>
      <c r="M54" s="773"/>
      <c r="N54" s="774" t="str">
        <f t="shared" ref="N54" si="113">IF(OR($C54="",M54=""),"",INDEX(randopsluiting_scores,MATCH(M54,randopsluiting_keuzes,0)))</f>
        <v/>
      </c>
      <c r="O54" s="821" t="str">
        <f t="shared" si="108"/>
        <v/>
      </c>
      <c r="P54" s="778"/>
      <c r="Q54" s="822" t="str">
        <f t="shared" si="109"/>
        <v/>
      </c>
      <c r="R54" s="14"/>
      <c r="S54" s="823"/>
      <c r="T54" s="777" t="str">
        <f t="shared" ref="T54" si="114">IF(OR($C54="",S54=""),"",INDEX(kwaliteitsfactor_scores,MATCH(S54,kwaliteitsfactor_keuzes,0)))</f>
        <v/>
      </c>
      <c r="U54" s="776"/>
      <c r="V54" s="784" t="str">
        <f t="shared" ref="V54" si="115">IF(OR($C54="",U54=""),"",INDEX(marktwaarde_scores,MATCH(U54,marktwaarde_keuzes,0)))</f>
        <v/>
      </c>
      <c r="W54" s="824" t="str">
        <f t="shared" si="112"/>
        <v/>
      </c>
      <c r="X54" s="780"/>
    </row>
    <row r="55" spans="2:24" s="116" customFormat="1" hidden="1" outlineLevel="1">
      <c r="B55" s="210"/>
      <c r="C55" s="818"/>
      <c r="D55" s="819"/>
      <c r="E55" s="820"/>
      <c r="F55" s="773"/>
      <c r="G55" s="774" t="str">
        <f t="shared" si="103"/>
        <v/>
      </c>
      <c r="H55" s="773"/>
      <c r="I55" s="774" t="str">
        <f t="shared" si="104"/>
        <v/>
      </c>
      <c r="J55" s="821" t="str">
        <f t="shared" si="105"/>
        <v/>
      </c>
      <c r="K55" s="773"/>
      <c r="L55" s="774" t="str">
        <f t="shared" si="106"/>
        <v/>
      </c>
      <c r="M55" s="773"/>
      <c r="N55" s="774" t="str">
        <f t="shared" ref="N55" si="116">IF(OR($C55="",M55=""),"",INDEX(randopsluiting_scores,MATCH(M55,randopsluiting_keuzes,0)))</f>
        <v/>
      </c>
      <c r="O55" s="821" t="str">
        <f t="shared" si="108"/>
        <v/>
      </c>
      <c r="P55" s="778"/>
      <c r="Q55" s="822" t="str">
        <f t="shared" si="109"/>
        <v/>
      </c>
      <c r="R55" s="14"/>
      <c r="S55" s="823"/>
      <c r="T55" s="777" t="str">
        <f t="shared" ref="T55" si="117">IF(OR($C55="",S55=""),"",INDEX(kwaliteitsfactor_scores,MATCH(S55,kwaliteitsfactor_keuzes,0)))</f>
        <v/>
      </c>
      <c r="U55" s="776"/>
      <c r="V55" s="784" t="str">
        <f t="shared" ref="V55" si="118">IF(OR($C55="",U55=""),"",INDEX(marktwaarde_scores,MATCH(U55,marktwaarde_keuzes,0)))</f>
        <v/>
      </c>
      <c r="W55" s="824" t="str">
        <f t="shared" si="112"/>
        <v/>
      </c>
      <c r="X55" s="780"/>
    </row>
    <row r="56" spans="2:24" s="116" customFormat="1" hidden="1" outlineLevel="1">
      <c r="B56" s="210"/>
      <c r="C56" s="818"/>
      <c r="D56" s="819"/>
      <c r="E56" s="820"/>
      <c r="F56" s="773"/>
      <c r="G56" s="774" t="str">
        <f t="shared" si="103"/>
        <v/>
      </c>
      <c r="H56" s="773"/>
      <c r="I56" s="774" t="str">
        <f t="shared" si="104"/>
        <v/>
      </c>
      <c r="J56" s="821" t="str">
        <f t="shared" si="105"/>
        <v/>
      </c>
      <c r="K56" s="773"/>
      <c r="L56" s="774" t="str">
        <f t="shared" si="106"/>
        <v/>
      </c>
      <c r="M56" s="773"/>
      <c r="N56" s="774" t="str">
        <f t="shared" ref="N56" si="119">IF(OR($C56="",M56=""),"",INDEX(randopsluiting_scores,MATCH(M56,randopsluiting_keuzes,0)))</f>
        <v/>
      </c>
      <c r="O56" s="821" t="str">
        <f t="shared" si="108"/>
        <v/>
      </c>
      <c r="P56" s="778"/>
      <c r="Q56" s="822" t="str">
        <f t="shared" si="109"/>
        <v/>
      </c>
      <c r="R56" s="14"/>
      <c r="S56" s="823"/>
      <c r="T56" s="777" t="str">
        <f t="shared" ref="T56" si="120">IF(OR($C56="",S56=""),"",INDEX(kwaliteitsfactor_scores,MATCH(S56,kwaliteitsfactor_keuzes,0)))</f>
        <v/>
      </c>
      <c r="U56" s="776"/>
      <c r="V56" s="784" t="str">
        <f t="shared" ref="V56" si="121">IF(OR($C56="",U56=""),"",INDEX(marktwaarde_scores,MATCH(U56,marktwaarde_keuzes,0)))</f>
        <v/>
      </c>
      <c r="W56" s="824" t="str">
        <f t="shared" si="112"/>
        <v/>
      </c>
      <c r="X56" s="780"/>
    </row>
    <row r="57" spans="2:24" s="116" customFormat="1" hidden="1" outlineLevel="1">
      <c r="B57" s="210"/>
      <c r="C57" s="818"/>
      <c r="D57" s="819"/>
      <c r="E57" s="820"/>
      <c r="F57" s="773"/>
      <c r="G57" s="774" t="str">
        <f t="shared" si="103"/>
        <v/>
      </c>
      <c r="H57" s="773"/>
      <c r="I57" s="774" t="str">
        <f t="shared" si="104"/>
        <v/>
      </c>
      <c r="J57" s="821" t="str">
        <f t="shared" si="105"/>
        <v/>
      </c>
      <c r="K57" s="773"/>
      <c r="L57" s="774" t="str">
        <f t="shared" si="106"/>
        <v/>
      </c>
      <c r="M57" s="773"/>
      <c r="N57" s="774" t="str">
        <f t="shared" ref="N57" si="122">IF(OR($C57="",M57=""),"",INDEX(randopsluiting_scores,MATCH(M57,randopsluiting_keuzes,0)))</f>
        <v/>
      </c>
      <c r="O57" s="821" t="str">
        <f t="shared" si="108"/>
        <v/>
      </c>
      <c r="P57" s="778"/>
      <c r="Q57" s="822" t="str">
        <f t="shared" si="109"/>
        <v/>
      </c>
      <c r="R57" s="14"/>
      <c r="S57" s="823"/>
      <c r="T57" s="777" t="str">
        <f t="shared" ref="T57" si="123">IF(OR($C57="",S57=""),"",INDEX(kwaliteitsfactor_scores,MATCH(S57,kwaliteitsfactor_keuzes,0)))</f>
        <v/>
      </c>
      <c r="U57" s="776"/>
      <c r="V57" s="784" t="str">
        <f t="shared" ref="V57" si="124">IF(OR($C57="",U57=""),"",INDEX(marktwaarde_scores,MATCH(U57,marktwaarde_keuzes,0)))</f>
        <v/>
      </c>
      <c r="W57" s="824" t="str">
        <f t="shared" si="112"/>
        <v/>
      </c>
      <c r="X57" s="780"/>
    </row>
    <row r="58" spans="2:24" s="116" customFormat="1" hidden="1" outlineLevel="1">
      <c r="B58" s="210"/>
      <c r="C58" s="818"/>
      <c r="D58" s="819"/>
      <c r="E58" s="820"/>
      <c r="F58" s="773"/>
      <c r="G58" s="774" t="str">
        <f t="shared" si="103"/>
        <v/>
      </c>
      <c r="H58" s="773"/>
      <c r="I58" s="774" t="str">
        <f t="shared" si="104"/>
        <v/>
      </c>
      <c r="J58" s="821" t="str">
        <f t="shared" si="105"/>
        <v/>
      </c>
      <c r="K58" s="773"/>
      <c r="L58" s="774" t="str">
        <f t="shared" si="106"/>
        <v/>
      </c>
      <c r="M58" s="773"/>
      <c r="N58" s="774" t="str">
        <f t="shared" ref="N58" si="125">IF(OR($C58="",M58=""),"",INDEX(randopsluiting_scores,MATCH(M58,randopsluiting_keuzes,0)))</f>
        <v/>
      </c>
      <c r="O58" s="821" t="str">
        <f t="shared" si="108"/>
        <v/>
      </c>
      <c r="P58" s="778"/>
      <c r="Q58" s="822" t="str">
        <f t="shared" si="109"/>
        <v/>
      </c>
      <c r="R58" s="14"/>
      <c r="S58" s="823"/>
      <c r="T58" s="777" t="str">
        <f t="shared" ref="T58" si="126">IF(OR($C58="",S58=""),"",INDEX(kwaliteitsfactor_scores,MATCH(S58,kwaliteitsfactor_keuzes,0)))</f>
        <v/>
      </c>
      <c r="U58" s="776"/>
      <c r="V58" s="784" t="str">
        <f t="shared" ref="V58" si="127">IF(OR($C58="",U58=""),"",INDEX(marktwaarde_scores,MATCH(U58,marktwaarde_keuzes,0)))</f>
        <v/>
      </c>
      <c r="W58" s="824" t="str">
        <f t="shared" si="112"/>
        <v/>
      </c>
      <c r="X58" s="780"/>
    </row>
    <row r="59" spans="2:24" s="116" customFormat="1" hidden="1" outlineLevel="1">
      <c r="B59" s="210"/>
      <c r="C59" s="818"/>
      <c r="D59" s="819"/>
      <c r="E59" s="820"/>
      <c r="F59" s="773"/>
      <c r="G59" s="774" t="str">
        <f t="shared" si="103"/>
        <v/>
      </c>
      <c r="H59" s="773"/>
      <c r="I59" s="774" t="str">
        <f t="shared" si="104"/>
        <v/>
      </c>
      <c r="J59" s="821" t="str">
        <f t="shared" si="105"/>
        <v/>
      </c>
      <c r="K59" s="773"/>
      <c r="L59" s="774" t="str">
        <f t="shared" si="106"/>
        <v/>
      </c>
      <c r="M59" s="773"/>
      <c r="N59" s="774" t="str">
        <f t="shared" ref="N59" si="128">IF(OR($C59="",M59=""),"",INDEX(randopsluiting_scores,MATCH(M59,randopsluiting_keuzes,0)))</f>
        <v/>
      </c>
      <c r="O59" s="821" t="str">
        <f t="shared" si="108"/>
        <v/>
      </c>
      <c r="P59" s="778"/>
      <c r="Q59" s="822" t="str">
        <f t="shared" si="109"/>
        <v/>
      </c>
      <c r="R59" s="14"/>
      <c r="S59" s="823"/>
      <c r="T59" s="777" t="str">
        <f t="shared" ref="T59" si="129">IF(OR($C59="",S59=""),"",INDEX(kwaliteitsfactor_scores,MATCH(S59,kwaliteitsfactor_keuzes,0)))</f>
        <v/>
      </c>
      <c r="U59" s="776"/>
      <c r="V59" s="784" t="str">
        <f t="shared" ref="V59" si="130">IF(OR($C59="",U59=""),"",INDEX(marktwaarde_scores,MATCH(U59,marktwaarde_keuzes,0)))</f>
        <v/>
      </c>
      <c r="W59" s="824" t="str">
        <f t="shared" si="112"/>
        <v/>
      </c>
      <c r="X59" s="780"/>
    </row>
    <row r="60" spans="2:24" s="116" customFormat="1" hidden="1" outlineLevel="1">
      <c r="B60" s="210"/>
      <c r="C60" s="818"/>
      <c r="D60" s="819"/>
      <c r="E60" s="820"/>
      <c r="F60" s="773"/>
      <c r="G60" s="774" t="str">
        <f t="shared" si="103"/>
        <v/>
      </c>
      <c r="H60" s="773"/>
      <c r="I60" s="774" t="str">
        <f t="shared" si="104"/>
        <v/>
      </c>
      <c r="J60" s="821" t="str">
        <f t="shared" si="105"/>
        <v/>
      </c>
      <c r="K60" s="773"/>
      <c r="L60" s="774" t="str">
        <f t="shared" si="106"/>
        <v/>
      </c>
      <c r="M60" s="773"/>
      <c r="N60" s="774" t="str">
        <f t="shared" ref="N60" si="131">IF(OR($C60="",M60=""),"",INDEX(randopsluiting_scores,MATCH(M60,randopsluiting_keuzes,0)))</f>
        <v/>
      </c>
      <c r="O60" s="821" t="str">
        <f t="shared" si="108"/>
        <v/>
      </c>
      <c r="P60" s="778"/>
      <c r="Q60" s="822" t="str">
        <f t="shared" si="109"/>
        <v/>
      </c>
      <c r="R60" s="14"/>
      <c r="S60" s="823"/>
      <c r="T60" s="777" t="str">
        <f t="shared" ref="T60" si="132">IF(OR($C60="",S60=""),"",INDEX(kwaliteitsfactor_scores,MATCH(S60,kwaliteitsfactor_keuzes,0)))</f>
        <v/>
      </c>
      <c r="U60" s="776"/>
      <c r="V60" s="784" t="str">
        <f t="shared" ref="V60" si="133">IF(OR($C60="",U60=""),"",INDEX(marktwaarde_scores,MATCH(U60,marktwaarde_keuzes,0)))</f>
        <v/>
      </c>
      <c r="W60" s="824" t="str">
        <f t="shared" si="112"/>
        <v/>
      </c>
      <c r="X60" s="780"/>
    </row>
    <row r="61" spans="2:24" s="116" customFormat="1" hidden="1" outlineLevel="1">
      <c r="B61" s="210"/>
      <c r="C61" s="818"/>
      <c r="D61" s="819"/>
      <c r="E61" s="820"/>
      <c r="F61" s="773"/>
      <c r="G61" s="774" t="str">
        <f t="shared" si="103"/>
        <v/>
      </c>
      <c r="H61" s="773"/>
      <c r="I61" s="774" t="str">
        <f t="shared" si="104"/>
        <v/>
      </c>
      <c r="J61" s="821" t="str">
        <f t="shared" si="105"/>
        <v/>
      </c>
      <c r="K61" s="773"/>
      <c r="L61" s="774" t="str">
        <f t="shared" si="106"/>
        <v/>
      </c>
      <c r="M61" s="773"/>
      <c r="N61" s="774" t="str">
        <f t="shared" ref="N61" si="134">IF(OR($C61="",M61=""),"",INDEX(randopsluiting_scores,MATCH(M61,randopsluiting_keuzes,0)))</f>
        <v/>
      </c>
      <c r="O61" s="821" t="str">
        <f t="shared" si="108"/>
        <v/>
      </c>
      <c r="P61" s="778"/>
      <c r="Q61" s="822" t="str">
        <f t="shared" si="109"/>
        <v/>
      </c>
      <c r="R61" s="14"/>
      <c r="S61" s="823"/>
      <c r="T61" s="777" t="str">
        <f t="shared" ref="T61" si="135">IF(OR($C61="",S61=""),"",INDEX(kwaliteitsfactor_scores,MATCH(S61,kwaliteitsfactor_keuzes,0)))</f>
        <v/>
      </c>
      <c r="U61" s="776"/>
      <c r="V61" s="784" t="str">
        <f t="shared" ref="V61" si="136">IF(OR($C61="",U61=""),"",INDEX(marktwaarde_scores,MATCH(U61,marktwaarde_keuzes,0)))</f>
        <v/>
      </c>
      <c r="W61" s="824" t="str">
        <f t="shared" si="112"/>
        <v/>
      </c>
      <c r="X61" s="780"/>
    </row>
    <row r="62" spans="2:24" s="116" customFormat="1" hidden="1" outlineLevel="1">
      <c r="B62" s="210"/>
      <c r="C62" s="818"/>
      <c r="D62" s="819"/>
      <c r="E62" s="820"/>
      <c r="F62" s="773"/>
      <c r="G62" s="774" t="str">
        <f t="shared" si="103"/>
        <v/>
      </c>
      <c r="H62" s="773"/>
      <c r="I62" s="774" t="str">
        <f t="shared" si="104"/>
        <v/>
      </c>
      <c r="J62" s="821" t="str">
        <f t="shared" si="105"/>
        <v/>
      </c>
      <c r="K62" s="773"/>
      <c r="L62" s="774" t="str">
        <f t="shared" si="106"/>
        <v/>
      </c>
      <c r="M62" s="773"/>
      <c r="N62" s="774" t="str">
        <f t="shared" ref="N62" si="137">IF(OR($C62="",M62=""),"",INDEX(randopsluiting_scores,MATCH(M62,randopsluiting_keuzes,0)))</f>
        <v/>
      </c>
      <c r="O62" s="821" t="str">
        <f t="shared" si="108"/>
        <v/>
      </c>
      <c r="P62" s="778"/>
      <c r="Q62" s="822" t="str">
        <f t="shared" si="109"/>
        <v/>
      </c>
      <c r="R62" s="14"/>
      <c r="S62" s="823"/>
      <c r="T62" s="777" t="str">
        <f t="shared" ref="T62" si="138">IF(OR($C62="",S62=""),"",INDEX(kwaliteitsfactor_scores,MATCH(S62,kwaliteitsfactor_keuzes,0)))</f>
        <v/>
      </c>
      <c r="U62" s="776"/>
      <c r="V62" s="784" t="str">
        <f t="shared" ref="V62" si="139">IF(OR($C62="",U62=""),"",INDEX(marktwaarde_scores,MATCH(U62,marktwaarde_keuzes,0)))</f>
        <v/>
      </c>
      <c r="W62" s="824" t="str">
        <f t="shared" si="112"/>
        <v/>
      </c>
      <c r="X62" s="780"/>
    </row>
    <row r="63" spans="2:24" s="116" customFormat="1" hidden="1" outlineLevel="1">
      <c r="B63" s="210"/>
      <c r="C63" s="818"/>
      <c r="D63" s="819"/>
      <c r="E63" s="820"/>
      <c r="F63" s="773"/>
      <c r="G63" s="774" t="str">
        <f t="shared" si="103"/>
        <v/>
      </c>
      <c r="H63" s="773"/>
      <c r="I63" s="774" t="str">
        <f t="shared" si="104"/>
        <v/>
      </c>
      <c r="J63" s="821" t="str">
        <f t="shared" si="105"/>
        <v/>
      </c>
      <c r="K63" s="773"/>
      <c r="L63" s="774" t="str">
        <f t="shared" si="106"/>
        <v/>
      </c>
      <c r="M63" s="773"/>
      <c r="N63" s="774" t="str">
        <f t="shared" ref="N63" si="140">IF(OR($C63="",M63=""),"",INDEX(randopsluiting_scores,MATCH(M63,randopsluiting_keuzes,0)))</f>
        <v/>
      </c>
      <c r="O63" s="821" t="str">
        <f t="shared" si="108"/>
        <v/>
      </c>
      <c r="P63" s="778"/>
      <c r="Q63" s="822" t="str">
        <f t="shared" si="109"/>
        <v/>
      </c>
      <c r="R63" s="14"/>
      <c r="S63" s="823"/>
      <c r="T63" s="777" t="str">
        <f t="shared" ref="T63" si="141">IF(OR($C63="",S63=""),"",INDEX(kwaliteitsfactor_scores,MATCH(S63,kwaliteitsfactor_keuzes,0)))</f>
        <v/>
      </c>
      <c r="U63" s="776"/>
      <c r="V63" s="784" t="str">
        <f t="shared" ref="V63" si="142">IF(OR($C63="",U63=""),"",INDEX(marktwaarde_scores,MATCH(U63,marktwaarde_keuzes,0)))</f>
        <v/>
      </c>
      <c r="W63" s="824" t="str">
        <f t="shared" si="112"/>
        <v/>
      </c>
      <c r="X63" s="780"/>
    </row>
    <row r="64" spans="2:24" s="116" customFormat="1" hidden="1" outlineLevel="1">
      <c r="B64" s="210"/>
      <c r="C64" s="818"/>
      <c r="D64" s="819"/>
      <c r="E64" s="820"/>
      <c r="F64" s="773"/>
      <c r="G64" s="774" t="str">
        <f t="shared" si="103"/>
        <v/>
      </c>
      <c r="H64" s="773"/>
      <c r="I64" s="774" t="str">
        <f t="shared" si="104"/>
        <v/>
      </c>
      <c r="J64" s="821" t="str">
        <f t="shared" si="105"/>
        <v/>
      </c>
      <c r="K64" s="773"/>
      <c r="L64" s="774" t="str">
        <f t="shared" si="106"/>
        <v/>
      </c>
      <c r="M64" s="773"/>
      <c r="N64" s="774" t="str">
        <f t="shared" ref="N64" si="143">IF(OR($C64="",M64=""),"",INDEX(randopsluiting_scores,MATCH(M64,randopsluiting_keuzes,0)))</f>
        <v/>
      </c>
      <c r="O64" s="821" t="str">
        <f t="shared" si="108"/>
        <v/>
      </c>
      <c r="P64" s="778"/>
      <c r="Q64" s="822" t="str">
        <f t="shared" si="109"/>
        <v/>
      </c>
      <c r="R64" s="14"/>
      <c r="S64" s="823"/>
      <c r="T64" s="777" t="str">
        <f t="shared" ref="T64" si="144">IF(OR($C64="",S64=""),"",INDEX(kwaliteitsfactor_scores,MATCH(S64,kwaliteitsfactor_keuzes,0)))</f>
        <v/>
      </c>
      <c r="U64" s="776"/>
      <c r="V64" s="784" t="str">
        <f t="shared" ref="V64" si="145">IF(OR($C64="",U64=""),"",INDEX(marktwaarde_scores,MATCH(U64,marktwaarde_keuzes,0)))</f>
        <v/>
      </c>
      <c r="W64" s="824" t="str">
        <f t="shared" si="112"/>
        <v/>
      </c>
      <c r="X64" s="780"/>
    </row>
    <row r="65" spans="2:24" s="116" customFormat="1" hidden="1" outlineLevel="1">
      <c r="B65" s="210"/>
      <c r="C65" s="818"/>
      <c r="D65" s="819"/>
      <c r="E65" s="820"/>
      <c r="F65" s="773"/>
      <c r="G65" s="774" t="str">
        <f t="shared" si="103"/>
        <v/>
      </c>
      <c r="H65" s="773"/>
      <c r="I65" s="774" t="str">
        <f t="shared" si="104"/>
        <v/>
      </c>
      <c r="J65" s="821" t="str">
        <f t="shared" si="105"/>
        <v/>
      </c>
      <c r="K65" s="773"/>
      <c r="L65" s="774" t="str">
        <f t="shared" si="106"/>
        <v/>
      </c>
      <c r="M65" s="773"/>
      <c r="N65" s="774" t="str">
        <f t="shared" ref="N65" si="146">IF(OR($C65="",M65=""),"",INDEX(randopsluiting_scores,MATCH(M65,randopsluiting_keuzes,0)))</f>
        <v/>
      </c>
      <c r="O65" s="821" t="str">
        <f t="shared" si="108"/>
        <v/>
      </c>
      <c r="P65" s="778"/>
      <c r="Q65" s="822" t="str">
        <f t="shared" si="109"/>
        <v/>
      </c>
      <c r="R65" s="14"/>
      <c r="S65" s="823"/>
      <c r="T65" s="777" t="str">
        <f t="shared" ref="T65" si="147">IF(OR($C65="",S65=""),"",INDEX(kwaliteitsfactor_scores,MATCH(S65,kwaliteitsfactor_keuzes,0)))</f>
        <v/>
      </c>
      <c r="U65" s="776"/>
      <c r="V65" s="784" t="str">
        <f t="shared" ref="V65" si="148">IF(OR($C65="",U65=""),"",INDEX(marktwaarde_scores,MATCH(U65,marktwaarde_keuzes,0)))</f>
        <v/>
      </c>
      <c r="W65" s="824" t="str">
        <f t="shared" si="112"/>
        <v/>
      </c>
      <c r="X65" s="780"/>
    </row>
    <row r="66" spans="2:24" s="116" customFormat="1" hidden="1" outlineLevel="1">
      <c r="B66" s="210"/>
      <c r="C66" s="818"/>
      <c r="D66" s="819"/>
      <c r="E66" s="820"/>
      <c r="F66" s="773"/>
      <c r="G66" s="774" t="str">
        <f t="shared" si="103"/>
        <v/>
      </c>
      <c r="H66" s="773"/>
      <c r="I66" s="774" t="str">
        <f t="shared" si="104"/>
        <v/>
      </c>
      <c r="J66" s="821" t="str">
        <f t="shared" si="105"/>
        <v/>
      </c>
      <c r="K66" s="773"/>
      <c r="L66" s="774" t="str">
        <f t="shared" si="106"/>
        <v/>
      </c>
      <c r="M66" s="773"/>
      <c r="N66" s="774" t="str">
        <f t="shared" ref="N66" si="149">IF(OR($C66="",M66=""),"",INDEX(randopsluiting_scores,MATCH(M66,randopsluiting_keuzes,0)))</f>
        <v/>
      </c>
      <c r="O66" s="821" t="str">
        <f t="shared" si="108"/>
        <v/>
      </c>
      <c r="P66" s="778"/>
      <c r="Q66" s="822" t="str">
        <f t="shared" si="109"/>
        <v/>
      </c>
      <c r="R66" s="14"/>
      <c r="S66" s="823"/>
      <c r="T66" s="777" t="str">
        <f t="shared" ref="T66" si="150">IF(OR($C66="",S66=""),"",INDEX(kwaliteitsfactor_scores,MATCH(S66,kwaliteitsfactor_keuzes,0)))</f>
        <v/>
      </c>
      <c r="U66" s="776"/>
      <c r="V66" s="784" t="str">
        <f t="shared" ref="V66" si="151">IF(OR($C66="",U66=""),"",INDEX(marktwaarde_scores,MATCH(U66,marktwaarde_keuzes,0)))</f>
        <v/>
      </c>
      <c r="W66" s="824" t="str">
        <f t="shared" si="112"/>
        <v/>
      </c>
      <c r="X66" s="780"/>
    </row>
    <row r="67" spans="2:24" s="116" customFormat="1" hidden="1" outlineLevel="1">
      <c r="B67" s="210"/>
      <c r="C67" s="818"/>
      <c r="D67" s="819"/>
      <c r="E67" s="820"/>
      <c r="F67" s="773"/>
      <c r="G67" s="774" t="str">
        <f t="shared" si="103"/>
        <v/>
      </c>
      <c r="H67" s="773"/>
      <c r="I67" s="774" t="str">
        <f t="shared" si="104"/>
        <v/>
      </c>
      <c r="J67" s="821" t="str">
        <f t="shared" si="105"/>
        <v/>
      </c>
      <c r="K67" s="773"/>
      <c r="L67" s="774" t="str">
        <f t="shared" si="106"/>
        <v/>
      </c>
      <c r="M67" s="773"/>
      <c r="N67" s="774" t="str">
        <f t="shared" ref="N67" si="152">IF(OR($C67="",M67=""),"",INDEX(randopsluiting_scores,MATCH(M67,randopsluiting_keuzes,0)))</f>
        <v/>
      </c>
      <c r="O67" s="821" t="str">
        <f t="shared" si="108"/>
        <v/>
      </c>
      <c r="P67" s="778"/>
      <c r="Q67" s="822" t="str">
        <f t="shared" si="109"/>
        <v/>
      </c>
      <c r="R67" s="14"/>
      <c r="S67" s="823"/>
      <c r="T67" s="777" t="str">
        <f t="shared" ref="T67" si="153">IF(OR($C67="",S67=""),"",INDEX(kwaliteitsfactor_scores,MATCH(S67,kwaliteitsfactor_keuzes,0)))</f>
        <v/>
      </c>
      <c r="U67" s="776"/>
      <c r="V67" s="784" t="str">
        <f t="shared" ref="V67" si="154">IF(OR($C67="",U67=""),"",INDEX(marktwaarde_scores,MATCH(U67,marktwaarde_keuzes,0)))</f>
        <v/>
      </c>
      <c r="W67" s="824" t="str">
        <f t="shared" si="112"/>
        <v/>
      </c>
      <c r="X67" s="780"/>
    </row>
    <row r="68" spans="2:24" s="116" customFormat="1" hidden="1" outlineLevel="1">
      <c r="B68" s="210"/>
      <c r="C68" s="818"/>
      <c r="D68" s="819"/>
      <c r="E68" s="820"/>
      <c r="F68" s="773"/>
      <c r="G68" s="774" t="str">
        <f t="shared" si="103"/>
        <v/>
      </c>
      <c r="H68" s="773"/>
      <c r="I68" s="774" t="str">
        <f t="shared" si="104"/>
        <v/>
      </c>
      <c r="J68" s="821" t="str">
        <f t="shared" si="105"/>
        <v/>
      </c>
      <c r="K68" s="773"/>
      <c r="L68" s="774" t="str">
        <f t="shared" si="106"/>
        <v/>
      </c>
      <c r="M68" s="773"/>
      <c r="N68" s="774" t="str">
        <f t="shared" ref="N68" si="155">IF(OR($C68="",M68=""),"",INDEX(randopsluiting_scores,MATCH(M68,randopsluiting_keuzes,0)))</f>
        <v/>
      </c>
      <c r="O68" s="821" t="str">
        <f t="shared" si="108"/>
        <v/>
      </c>
      <c r="P68" s="778"/>
      <c r="Q68" s="822" t="str">
        <f t="shared" si="109"/>
        <v/>
      </c>
      <c r="R68" s="14"/>
      <c r="S68" s="823"/>
      <c r="T68" s="777" t="str">
        <f t="shared" ref="T68" si="156">IF(OR($C68="",S68=""),"",INDEX(kwaliteitsfactor_scores,MATCH(S68,kwaliteitsfactor_keuzes,0)))</f>
        <v/>
      </c>
      <c r="U68" s="776"/>
      <c r="V68" s="784" t="str">
        <f t="shared" ref="V68" si="157">IF(OR($C68="",U68=""),"",INDEX(marktwaarde_scores,MATCH(U68,marktwaarde_keuzes,0)))</f>
        <v/>
      </c>
      <c r="W68" s="824" t="str">
        <f t="shared" si="112"/>
        <v/>
      </c>
      <c r="X68" s="780"/>
    </row>
    <row r="69" spans="2:24" s="116" customFormat="1" hidden="1" outlineLevel="1">
      <c r="B69" s="210"/>
      <c r="C69" s="818"/>
      <c r="D69" s="819"/>
      <c r="E69" s="820"/>
      <c r="F69" s="773"/>
      <c r="G69" s="774" t="str">
        <f t="shared" si="103"/>
        <v/>
      </c>
      <c r="H69" s="773"/>
      <c r="I69" s="774" t="str">
        <f t="shared" si="104"/>
        <v/>
      </c>
      <c r="J69" s="821" t="str">
        <f t="shared" si="105"/>
        <v/>
      </c>
      <c r="K69" s="773"/>
      <c r="L69" s="774" t="str">
        <f t="shared" si="106"/>
        <v/>
      </c>
      <c r="M69" s="773"/>
      <c r="N69" s="774" t="str">
        <f t="shared" ref="N69" si="158">IF(OR($C69="",M69=""),"",INDEX(randopsluiting_scores,MATCH(M69,randopsluiting_keuzes,0)))</f>
        <v/>
      </c>
      <c r="O69" s="821" t="str">
        <f t="shared" si="108"/>
        <v/>
      </c>
      <c r="P69" s="778"/>
      <c r="Q69" s="822" t="str">
        <f t="shared" si="109"/>
        <v/>
      </c>
      <c r="R69" s="14"/>
      <c r="S69" s="823"/>
      <c r="T69" s="777" t="str">
        <f t="shared" ref="T69" si="159">IF(OR($C69="",S69=""),"",INDEX(kwaliteitsfactor_scores,MATCH(S69,kwaliteitsfactor_keuzes,0)))</f>
        <v/>
      </c>
      <c r="U69" s="776"/>
      <c r="V69" s="784" t="str">
        <f t="shared" ref="V69" si="160">IF(OR($C69="",U69=""),"",INDEX(marktwaarde_scores,MATCH(U69,marktwaarde_keuzes,0)))</f>
        <v/>
      </c>
      <c r="W69" s="824" t="str">
        <f t="shared" si="112"/>
        <v/>
      </c>
      <c r="X69" s="780"/>
    </row>
    <row r="70" spans="2:24" s="116" customFormat="1" hidden="1" outlineLevel="1">
      <c r="B70" s="210"/>
      <c r="C70" s="818"/>
      <c r="D70" s="819"/>
      <c r="E70" s="820"/>
      <c r="F70" s="773"/>
      <c r="G70" s="774" t="str">
        <f t="shared" si="103"/>
        <v/>
      </c>
      <c r="H70" s="773"/>
      <c r="I70" s="774" t="str">
        <f t="shared" si="104"/>
        <v/>
      </c>
      <c r="J70" s="821" t="str">
        <f t="shared" si="105"/>
        <v/>
      </c>
      <c r="K70" s="773"/>
      <c r="L70" s="774" t="str">
        <f t="shared" si="106"/>
        <v/>
      </c>
      <c r="M70" s="773"/>
      <c r="N70" s="774" t="str">
        <f t="shared" ref="N70" si="161">IF(OR($C70="",M70=""),"",INDEX(randopsluiting_scores,MATCH(M70,randopsluiting_keuzes,0)))</f>
        <v/>
      </c>
      <c r="O70" s="821" t="str">
        <f t="shared" si="108"/>
        <v/>
      </c>
      <c r="P70" s="778"/>
      <c r="Q70" s="822" t="str">
        <f t="shared" si="109"/>
        <v/>
      </c>
      <c r="R70" s="14"/>
      <c r="S70" s="823"/>
      <c r="T70" s="777" t="str">
        <f t="shared" ref="T70" si="162">IF(OR($C70="",S70=""),"",INDEX(kwaliteitsfactor_scores,MATCH(S70,kwaliteitsfactor_keuzes,0)))</f>
        <v/>
      </c>
      <c r="U70" s="776"/>
      <c r="V70" s="784" t="str">
        <f t="shared" ref="V70" si="163">IF(OR($C70="",U70=""),"",INDEX(marktwaarde_scores,MATCH(U70,marktwaarde_keuzes,0)))</f>
        <v/>
      </c>
      <c r="W70" s="824" t="str">
        <f t="shared" si="112"/>
        <v/>
      </c>
      <c r="X70" s="780"/>
    </row>
    <row r="71" spans="2:24" s="116" customFormat="1" hidden="1" outlineLevel="1">
      <c r="B71" s="210"/>
      <c r="C71" s="818"/>
      <c r="D71" s="819"/>
      <c r="E71" s="820"/>
      <c r="F71" s="773"/>
      <c r="G71" s="774" t="str">
        <f t="shared" si="103"/>
        <v/>
      </c>
      <c r="H71" s="773"/>
      <c r="I71" s="774" t="str">
        <f t="shared" si="104"/>
        <v/>
      </c>
      <c r="J71" s="821" t="str">
        <f t="shared" si="105"/>
        <v/>
      </c>
      <c r="K71" s="773"/>
      <c r="L71" s="774" t="str">
        <f t="shared" si="106"/>
        <v/>
      </c>
      <c r="M71" s="773"/>
      <c r="N71" s="774" t="str">
        <f t="shared" ref="N71" si="164">IF(OR($C71="",M71=""),"",INDEX(randopsluiting_scores,MATCH(M71,randopsluiting_keuzes,0)))</f>
        <v/>
      </c>
      <c r="O71" s="821" t="str">
        <f t="shared" si="108"/>
        <v/>
      </c>
      <c r="P71" s="778"/>
      <c r="Q71" s="822" t="str">
        <f t="shared" si="109"/>
        <v/>
      </c>
      <c r="R71" s="14"/>
      <c r="S71" s="823"/>
      <c r="T71" s="777" t="str">
        <f t="shared" ref="T71" si="165">IF(OR($C71="",S71=""),"",INDEX(kwaliteitsfactor_scores,MATCH(S71,kwaliteitsfactor_keuzes,0)))</f>
        <v/>
      </c>
      <c r="U71" s="776"/>
      <c r="V71" s="784" t="str">
        <f t="shared" ref="V71" si="166">IF(OR($C71="",U71=""),"",INDEX(marktwaarde_scores,MATCH(U71,marktwaarde_keuzes,0)))</f>
        <v/>
      </c>
      <c r="W71" s="824" t="str">
        <f t="shared" si="112"/>
        <v/>
      </c>
      <c r="X71" s="780"/>
    </row>
    <row r="72" spans="2:24" s="116" customFormat="1" hidden="1" outlineLevel="1">
      <c r="B72" s="210"/>
      <c r="C72" s="818"/>
      <c r="D72" s="819"/>
      <c r="E72" s="820"/>
      <c r="F72" s="773"/>
      <c r="G72" s="774" t="str">
        <f t="shared" si="103"/>
        <v/>
      </c>
      <c r="H72" s="773"/>
      <c r="I72" s="774" t="str">
        <f t="shared" si="104"/>
        <v/>
      </c>
      <c r="J72" s="821" t="str">
        <f t="shared" si="105"/>
        <v/>
      </c>
      <c r="K72" s="773"/>
      <c r="L72" s="774" t="str">
        <f t="shared" si="106"/>
        <v/>
      </c>
      <c r="M72" s="773"/>
      <c r="N72" s="774" t="str">
        <f t="shared" ref="N72" si="167">IF(OR($C72="",M72=""),"",INDEX(randopsluiting_scores,MATCH(M72,randopsluiting_keuzes,0)))</f>
        <v/>
      </c>
      <c r="O72" s="821" t="str">
        <f t="shared" si="108"/>
        <v/>
      </c>
      <c r="P72" s="778"/>
      <c r="Q72" s="822" t="str">
        <f t="shared" si="109"/>
        <v/>
      </c>
      <c r="R72" s="14"/>
      <c r="S72" s="823"/>
      <c r="T72" s="777" t="str">
        <f t="shared" ref="T72" si="168">IF(OR($C72="",S72=""),"",INDEX(kwaliteitsfactor_scores,MATCH(S72,kwaliteitsfactor_keuzes,0)))</f>
        <v/>
      </c>
      <c r="U72" s="776"/>
      <c r="V72" s="784" t="str">
        <f t="shared" ref="V72" si="169">IF(OR($C72="",U72=""),"",INDEX(marktwaarde_scores,MATCH(U72,marktwaarde_keuzes,0)))</f>
        <v/>
      </c>
      <c r="W72" s="824" t="str">
        <f t="shared" si="112"/>
        <v/>
      </c>
      <c r="X72" s="780"/>
    </row>
    <row r="73" spans="2:24" s="116" customFormat="1" hidden="1" outlineLevel="1">
      <c r="B73" s="210"/>
      <c r="C73" s="818"/>
      <c r="D73" s="819"/>
      <c r="E73" s="820"/>
      <c r="F73" s="773"/>
      <c r="G73" s="774" t="str">
        <f t="shared" si="103"/>
        <v/>
      </c>
      <c r="H73" s="773"/>
      <c r="I73" s="774" t="str">
        <f t="shared" si="104"/>
        <v/>
      </c>
      <c r="J73" s="821" t="str">
        <f t="shared" si="105"/>
        <v/>
      </c>
      <c r="K73" s="773"/>
      <c r="L73" s="774" t="str">
        <f t="shared" si="106"/>
        <v/>
      </c>
      <c r="M73" s="773"/>
      <c r="N73" s="774" t="str">
        <f t="shared" ref="N73" si="170">IF(OR($C73="",M73=""),"",INDEX(randopsluiting_scores,MATCH(M73,randopsluiting_keuzes,0)))</f>
        <v/>
      </c>
      <c r="O73" s="821" t="str">
        <f t="shared" si="108"/>
        <v/>
      </c>
      <c r="P73" s="778"/>
      <c r="Q73" s="822" t="str">
        <f t="shared" si="109"/>
        <v/>
      </c>
      <c r="R73" s="14"/>
      <c r="S73" s="823"/>
      <c r="T73" s="777" t="str">
        <f t="shared" ref="T73" si="171">IF(OR($C73="",S73=""),"",INDEX(kwaliteitsfactor_scores,MATCH(S73,kwaliteitsfactor_keuzes,0)))</f>
        <v/>
      </c>
      <c r="U73" s="776"/>
      <c r="V73" s="784" t="str">
        <f t="shared" ref="V73" si="172">IF(OR($C73="",U73=""),"",INDEX(marktwaarde_scores,MATCH(U73,marktwaarde_keuzes,0)))</f>
        <v/>
      </c>
      <c r="W73" s="824" t="str">
        <f t="shared" si="112"/>
        <v/>
      </c>
      <c r="X73" s="780"/>
    </row>
    <row r="74" spans="2:24" s="116" customFormat="1" hidden="1" outlineLevel="1">
      <c r="B74" s="210"/>
      <c r="C74" s="818"/>
      <c r="D74" s="819"/>
      <c r="E74" s="820"/>
      <c r="F74" s="773"/>
      <c r="G74" s="774" t="str">
        <f t="shared" si="103"/>
        <v/>
      </c>
      <c r="H74" s="773"/>
      <c r="I74" s="774" t="str">
        <f t="shared" si="104"/>
        <v/>
      </c>
      <c r="J74" s="821" t="str">
        <f t="shared" si="105"/>
        <v/>
      </c>
      <c r="K74" s="773"/>
      <c r="L74" s="774" t="str">
        <f t="shared" si="106"/>
        <v/>
      </c>
      <c r="M74" s="773"/>
      <c r="N74" s="774" t="str">
        <f t="shared" ref="N74" si="173">IF(OR($C74="",M74=""),"",INDEX(randopsluiting_scores,MATCH(M74,randopsluiting_keuzes,0)))</f>
        <v/>
      </c>
      <c r="O74" s="821" t="str">
        <f t="shared" si="108"/>
        <v/>
      </c>
      <c r="P74" s="778"/>
      <c r="Q74" s="822" t="str">
        <f t="shared" si="109"/>
        <v/>
      </c>
      <c r="R74" s="14"/>
      <c r="S74" s="823"/>
      <c r="T74" s="777" t="str">
        <f t="shared" ref="T74" si="174">IF(OR($C74="",S74=""),"",INDEX(kwaliteitsfactor_scores,MATCH(S74,kwaliteitsfactor_keuzes,0)))</f>
        <v/>
      </c>
      <c r="U74" s="776"/>
      <c r="V74" s="784" t="str">
        <f t="shared" ref="V74" si="175">IF(OR($C74="",U74=""),"",INDEX(marktwaarde_scores,MATCH(U74,marktwaarde_keuzes,0)))</f>
        <v/>
      </c>
      <c r="W74" s="824" t="str">
        <f t="shared" si="112"/>
        <v/>
      </c>
      <c r="X74" s="780"/>
    </row>
    <row r="75" spans="2:24" s="116" customFormat="1" hidden="1" outlineLevel="1">
      <c r="B75" s="210"/>
      <c r="C75" s="818"/>
      <c r="D75" s="819"/>
      <c r="E75" s="820"/>
      <c r="F75" s="773"/>
      <c r="G75" s="774" t="str">
        <f t="shared" si="103"/>
        <v/>
      </c>
      <c r="H75" s="773"/>
      <c r="I75" s="774" t="str">
        <f t="shared" si="104"/>
        <v/>
      </c>
      <c r="J75" s="821" t="str">
        <f t="shared" si="105"/>
        <v/>
      </c>
      <c r="K75" s="773"/>
      <c r="L75" s="774" t="str">
        <f t="shared" si="106"/>
        <v/>
      </c>
      <c r="M75" s="773"/>
      <c r="N75" s="774" t="str">
        <f t="shared" ref="N75" si="176">IF(OR($C75="",M75=""),"",INDEX(randopsluiting_scores,MATCH(M75,randopsluiting_keuzes,0)))</f>
        <v/>
      </c>
      <c r="O75" s="821" t="str">
        <f t="shared" si="108"/>
        <v/>
      </c>
      <c r="P75" s="778"/>
      <c r="Q75" s="822" t="str">
        <f t="shared" si="109"/>
        <v/>
      </c>
      <c r="R75" s="14"/>
      <c r="S75" s="823"/>
      <c r="T75" s="777" t="str">
        <f t="shared" ref="T75" si="177">IF(OR($C75="",S75=""),"",INDEX(kwaliteitsfactor_scores,MATCH(S75,kwaliteitsfactor_keuzes,0)))</f>
        <v/>
      </c>
      <c r="U75" s="776"/>
      <c r="V75" s="784" t="str">
        <f t="shared" ref="V75" si="178">IF(OR($C75="",U75=""),"",INDEX(marktwaarde_scores,MATCH(U75,marktwaarde_keuzes,0)))</f>
        <v/>
      </c>
      <c r="W75" s="824" t="str">
        <f t="shared" si="112"/>
        <v/>
      </c>
      <c r="X75" s="780"/>
    </row>
    <row r="76" spans="2:24" s="116" customFormat="1" hidden="1" outlineLevel="1">
      <c r="B76" s="210"/>
      <c r="C76" s="818"/>
      <c r="D76" s="819"/>
      <c r="E76" s="820"/>
      <c r="F76" s="773"/>
      <c r="G76" s="774" t="str">
        <f t="shared" si="103"/>
        <v/>
      </c>
      <c r="H76" s="773"/>
      <c r="I76" s="774" t="str">
        <f t="shared" si="104"/>
        <v/>
      </c>
      <c r="J76" s="821" t="str">
        <f t="shared" si="105"/>
        <v/>
      </c>
      <c r="K76" s="773"/>
      <c r="L76" s="774" t="str">
        <f t="shared" si="106"/>
        <v/>
      </c>
      <c r="M76" s="773"/>
      <c r="N76" s="774" t="str">
        <f t="shared" ref="N76" si="179">IF(OR($C76="",M76=""),"",INDEX(randopsluiting_scores,MATCH(M76,randopsluiting_keuzes,0)))</f>
        <v/>
      </c>
      <c r="O76" s="821" t="str">
        <f t="shared" si="108"/>
        <v/>
      </c>
      <c r="P76" s="778"/>
      <c r="Q76" s="822" t="str">
        <f t="shared" si="109"/>
        <v/>
      </c>
      <c r="R76" s="14"/>
      <c r="S76" s="823"/>
      <c r="T76" s="777" t="str">
        <f t="shared" ref="T76" si="180">IF(OR($C76="",S76=""),"",INDEX(kwaliteitsfactor_scores,MATCH(S76,kwaliteitsfactor_keuzes,0)))</f>
        <v/>
      </c>
      <c r="U76" s="776"/>
      <c r="V76" s="784" t="str">
        <f t="shared" ref="V76" si="181">IF(OR($C76="",U76=""),"",INDEX(marktwaarde_scores,MATCH(U76,marktwaarde_keuzes,0)))</f>
        <v/>
      </c>
      <c r="W76" s="824" t="str">
        <f t="shared" si="112"/>
        <v/>
      </c>
      <c r="X76" s="780"/>
    </row>
    <row r="77" spans="2:24" s="116" customFormat="1" hidden="1" outlineLevel="1">
      <c r="B77" s="210"/>
      <c r="C77" s="818"/>
      <c r="D77" s="819"/>
      <c r="E77" s="820"/>
      <c r="F77" s="773"/>
      <c r="G77" s="774" t="str">
        <f t="shared" si="103"/>
        <v/>
      </c>
      <c r="H77" s="773"/>
      <c r="I77" s="774" t="str">
        <f t="shared" si="104"/>
        <v/>
      </c>
      <c r="J77" s="821" t="str">
        <f t="shared" si="105"/>
        <v/>
      </c>
      <c r="K77" s="773"/>
      <c r="L77" s="774" t="str">
        <f t="shared" si="106"/>
        <v/>
      </c>
      <c r="M77" s="773"/>
      <c r="N77" s="774" t="str">
        <f t="shared" ref="N77" si="182">IF(OR($C77="",M77=""),"",INDEX(randopsluiting_scores,MATCH(M77,randopsluiting_keuzes,0)))</f>
        <v/>
      </c>
      <c r="O77" s="821" t="str">
        <f t="shared" si="108"/>
        <v/>
      </c>
      <c r="P77" s="778"/>
      <c r="Q77" s="822" t="str">
        <f t="shared" si="109"/>
        <v/>
      </c>
      <c r="R77" s="14"/>
      <c r="S77" s="823"/>
      <c r="T77" s="777" t="str">
        <f t="shared" ref="T77" si="183">IF(OR($C77="",S77=""),"",INDEX(kwaliteitsfactor_scores,MATCH(S77,kwaliteitsfactor_keuzes,0)))</f>
        <v/>
      </c>
      <c r="U77" s="776"/>
      <c r="V77" s="784" t="str">
        <f t="shared" ref="V77" si="184">IF(OR($C77="",U77=""),"",INDEX(marktwaarde_scores,MATCH(U77,marktwaarde_keuzes,0)))</f>
        <v/>
      </c>
      <c r="W77" s="824" t="str">
        <f t="shared" si="112"/>
        <v/>
      </c>
      <c r="X77" s="780"/>
    </row>
    <row r="78" spans="2:24" s="116" customFormat="1" hidden="1" outlineLevel="1">
      <c r="B78" s="210"/>
      <c r="C78" s="818"/>
      <c r="D78" s="819"/>
      <c r="E78" s="820"/>
      <c r="F78" s="773"/>
      <c r="G78" s="774" t="str">
        <f t="shared" si="103"/>
        <v/>
      </c>
      <c r="H78" s="773"/>
      <c r="I78" s="774" t="str">
        <f t="shared" si="104"/>
        <v/>
      </c>
      <c r="J78" s="821" t="str">
        <f t="shared" si="105"/>
        <v/>
      </c>
      <c r="K78" s="773"/>
      <c r="L78" s="774" t="str">
        <f t="shared" si="106"/>
        <v/>
      </c>
      <c r="M78" s="773"/>
      <c r="N78" s="774" t="str">
        <f t="shared" ref="N78" si="185">IF(OR($C78="",M78=""),"",INDEX(randopsluiting_scores,MATCH(M78,randopsluiting_keuzes,0)))</f>
        <v/>
      </c>
      <c r="O78" s="821" t="str">
        <f t="shared" si="108"/>
        <v/>
      </c>
      <c r="P78" s="778"/>
      <c r="Q78" s="822" t="str">
        <f t="shared" si="109"/>
        <v/>
      </c>
      <c r="R78" s="14"/>
      <c r="S78" s="823"/>
      <c r="T78" s="777" t="str">
        <f t="shared" ref="T78" si="186">IF(OR($C78="",S78=""),"",INDEX(kwaliteitsfactor_scores,MATCH(S78,kwaliteitsfactor_keuzes,0)))</f>
        <v/>
      </c>
      <c r="U78" s="776"/>
      <c r="V78" s="784" t="str">
        <f t="shared" ref="V78" si="187">IF(OR($C78="",U78=""),"",INDEX(marktwaarde_scores,MATCH(U78,marktwaarde_keuzes,0)))</f>
        <v/>
      </c>
      <c r="W78" s="824" t="str">
        <f t="shared" si="112"/>
        <v/>
      </c>
      <c r="X78" s="780"/>
    </row>
    <row r="79" spans="2:24" s="116" customFormat="1" hidden="1" outlineLevel="1">
      <c r="B79" s="210"/>
      <c r="C79" s="818"/>
      <c r="D79" s="819"/>
      <c r="E79" s="820"/>
      <c r="F79" s="773"/>
      <c r="G79" s="774" t="str">
        <f t="shared" si="103"/>
        <v/>
      </c>
      <c r="H79" s="773"/>
      <c r="I79" s="774" t="str">
        <f t="shared" si="104"/>
        <v/>
      </c>
      <c r="J79" s="821" t="str">
        <f t="shared" si="105"/>
        <v/>
      </c>
      <c r="K79" s="773"/>
      <c r="L79" s="774" t="str">
        <f t="shared" si="106"/>
        <v/>
      </c>
      <c r="M79" s="773"/>
      <c r="N79" s="774" t="str">
        <f t="shared" ref="N79" si="188">IF(OR($C79="",M79=""),"",INDEX(randopsluiting_scores,MATCH(M79,randopsluiting_keuzes,0)))</f>
        <v/>
      </c>
      <c r="O79" s="821" t="str">
        <f t="shared" si="108"/>
        <v/>
      </c>
      <c r="P79" s="778"/>
      <c r="Q79" s="822" t="str">
        <f t="shared" si="109"/>
        <v/>
      </c>
      <c r="R79" s="14"/>
      <c r="S79" s="823"/>
      <c r="T79" s="777" t="str">
        <f t="shared" ref="T79" si="189">IF(OR($C79="",S79=""),"",INDEX(kwaliteitsfactor_scores,MATCH(S79,kwaliteitsfactor_keuzes,0)))</f>
        <v/>
      </c>
      <c r="U79" s="776"/>
      <c r="V79" s="784" t="str">
        <f t="shared" ref="V79" si="190">IF(OR($C79="",U79=""),"",INDEX(marktwaarde_scores,MATCH(U79,marktwaarde_keuzes,0)))</f>
        <v/>
      </c>
      <c r="W79" s="824" t="str">
        <f t="shared" si="112"/>
        <v/>
      </c>
      <c r="X79" s="780"/>
    </row>
    <row r="80" spans="2:24" s="116" customFormat="1" hidden="1" outlineLevel="1">
      <c r="B80" s="210"/>
      <c r="C80" s="818"/>
      <c r="D80" s="819"/>
      <c r="E80" s="820"/>
      <c r="F80" s="773"/>
      <c r="G80" s="774" t="str">
        <f t="shared" si="103"/>
        <v/>
      </c>
      <c r="H80" s="773"/>
      <c r="I80" s="774" t="str">
        <f t="shared" si="104"/>
        <v/>
      </c>
      <c r="J80" s="821" t="str">
        <f t="shared" si="105"/>
        <v/>
      </c>
      <c r="K80" s="773"/>
      <c r="L80" s="774" t="str">
        <f t="shared" si="106"/>
        <v/>
      </c>
      <c r="M80" s="773"/>
      <c r="N80" s="774" t="str">
        <f t="shared" ref="N80" si="191">IF(OR($C80="",M80=""),"",INDEX(randopsluiting_scores,MATCH(M80,randopsluiting_keuzes,0)))</f>
        <v/>
      </c>
      <c r="O80" s="821" t="str">
        <f t="shared" si="108"/>
        <v/>
      </c>
      <c r="P80" s="778"/>
      <c r="Q80" s="822" t="str">
        <f t="shared" si="109"/>
        <v/>
      </c>
      <c r="R80" s="14"/>
      <c r="S80" s="823"/>
      <c r="T80" s="777" t="str">
        <f t="shared" ref="T80" si="192">IF(OR($C80="",S80=""),"",INDEX(kwaliteitsfactor_scores,MATCH(S80,kwaliteitsfactor_keuzes,0)))</f>
        <v/>
      </c>
      <c r="U80" s="776"/>
      <c r="V80" s="784" t="str">
        <f t="shared" ref="V80" si="193">IF(OR($C80="",U80=""),"",INDEX(marktwaarde_scores,MATCH(U80,marktwaarde_keuzes,0)))</f>
        <v/>
      </c>
      <c r="W80" s="824" t="str">
        <f t="shared" si="112"/>
        <v/>
      </c>
      <c r="X80" s="780"/>
    </row>
    <row r="81" spans="2:24" s="116" customFormat="1" hidden="1" outlineLevel="1">
      <c r="B81" s="210"/>
      <c r="C81" s="818"/>
      <c r="D81" s="819"/>
      <c r="E81" s="820"/>
      <c r="F81" s="773"/>
      <c r="G81" s="774" t="str">
        <f t="shared" si="103"/>
        <v/>
      </c>
      <c r="H81" s="773"/>
      <c r="I81" s="774" t="str">
        <f t="shared" si="104"/>
        <v/>
      </c>
      <c r="J81" s="821" t="str">
        <f t="shared" si="105"/>
        <v/>
      </c>
      <c r="K81" s="773"/>
      <c r="L81" s="774" t="str">
        <f t="shared" si="106"/>
        <v/>
      </c>
      <c r="M81" s="773"/>
      <c r="N81" s="774" t="str">
        <f t="shared" ref="N81" si="194">IF(OR($C81="",M81=""),"",INDEX(randopsluiting_scores,MATCH(M81,randopsluiting_keuzes,0)))</f>
        <v/>
      </c>
      <c r="O81" s="821" t="str">
        <f t="shared" si="108"/>
        <v/>
      </c>
      <c r="P81" s="778"/>
      <c r="Q81" s="822" t="str">
        <f t="shared" si="109"/>
        <v/>
      </c>
      <c r="R81" s="14"/>
      <c r="S81" s="823"/>
      <c r="T81" s="777" t="str">
        <f t="shared" ref="T81" si="195">IF(OR($C81="",S81=""),"",INDEX(kwaliteitsfactor_scores,MATCH(S81,kwaliteitsfactor_keuzes,0)))</f>
        <v/>
      </c>
      <c r="U81" s="776"/>
      <c r="V81" s="784" t="str">
        <f t="shared" ref="V81" si="196">IF(OR($C81="",U81=""),"",INDEX(marktwaarde_scores,MATCH(U81,marktwaarde_keuzes,0)))</f>
        <v/>
      </c>
      <c r="W81" s="824" t="str">
        <f t="shared" si="112"/>
        <v/>
      </c>
      <c r="X81" s="780"/>
    </row>
    <row r="82" spans="2:24" s="116" customFormat="1" hidden="1" outlineLevel="1">
      <c r="B82" s="210"/>
      <c r="C82" s="818"/>
      <c r="D82" s="819"/>
      <c r="E82" s="820"/>
      <c r="F82" s="773"/>
      <c r="G82" s="774" t="str">
        <f t="shared" si="103"/>
        <v/>
      </c>
      <c r="H82" s="773"/>
      <c r="I82" s="774" t="str">
        <f t="shared" si="104"/>
        <v/>
      </c>
      <c r="J82" s="821" t="str">
        <f t="shared" si="105"/>
        <v/>
      </c>
      <c r="K82" s="773"/>
      <c r="L82" s="774" t="str">
        <f t="shared" si="106"/>
        <v/>
      </c>
      <c r="M82" s="773"/>
      <c r="N82" s="774" t="str">
        <f t="shared" ref="N82" si="197">IF(OR($C82="",M82=""),"",INDEX(randopsluiting_scores,MATCH(M82,randopsluiting_keuzes,0)))</f>
        <v/>
      </c>
      <c r="O82" s="821" t="str">
        <f t="shared" si="108"/>
        <v/>
      </c>
      <c r="P82" s="778"/>
      <c r="Q82" s="822" t="str">
        <f t="shared" si="109"/>
        <v/>
      </c>
      <c r="R82" s="14"/>
      <c r="S82" s="823"/>
      <c r="T82" s="777" t="str">
        <f t="shared" ref="T82" si="198">IF(OR($C82="",S82=""),"",INDEX(kwaliteitsfactor_scores,MATCH(S82,kwaliteitsfactor_keuzes,0)))</f>
        <v/>
      </c>
      <c r="U82" s="776"/>
      <c r="V82" s="784" t="str">
        <f t="shared" ref="V82" si="199">IF(OR($C82="",U82=""),"",INDEX(marktwaarde_scores,MATCH(U82,marktwaarde_keuzes,0)))</f>
        <v/>
      </c>
      <c r="W82" s="824" t="str">
        <f t="shared" si="112"/>
        <v/>
      </c>
      <c r="X82" s="780"/>
    </row>
    <row r="83" spans="2:24" s="116" customFormat="1" hidden="1" outlineLevel="1">
      <c r="B83" s="210"/>
      <c r="C83" s="818"/>
      <c r="D83" s="819"/>
      <c r="E83" s="820"/>
      <c r="F83" s="773"/>
      <c r="G83" s="774" t="str">
        <f t="shared" si="103"/>
        <v/>
      </c>
      <c r="H83" s="773"/>
      <c r="I83" s="774" t="str">
        <f t="shared" si="104"/>
        <v/>
      </c>
      <c r="J83" s="821" t="str">
        <f t="shared" si="105"/>
        <v/>
      </c>
      <c r="K83" s="773"/>
      <c r="L83" s="774" t="str">
        <f t="shared" si="106"/>
        <v/>
      </c>
      <c r="M83" s="773"/>
      <c r="N83" s="774" t="str">
        <f t="shared" ref="N83" si="200">IF(OR($C83="",M83=""),"",INDEX(randopsluiting_scores,MATCH(M83,randopsluiting_keuzes,0)))</f>
        <v/>
      </c>
      <c r="O83" s="821" t="str">
        <f t="shared" si="108"/>
        <v/>
      </c>
      <c r="P83" s="778"/>
      <c r="Q83" s="822" t="str">
        <f t="shared" si="109"/>
        <v/>
      </c>
      <c r="R83" s="14"/>
      <c r="S83" s="823"/>
      <c r="T83" s="777" t="str">
        <f t="shared" ref="T83" si="201">IF(OR($C83="",S83=""),"",INDEX(kwaliteitsfactor_scores,MATCH(S83,kwaliteitsfactor_keuzes,0)))</f>
        <v/>
      </c>
      <c r="U83" s="776"/>
      <c r="V83" s="784" t="str">
        <f t="shared" ref="V83" si="202">IF(OR($C83="",U83=""),"",INDEX(marktwaarde_scores,MATCH(U83,marktwaarde_keuzes,0)))</f>
        <v/>
      </c>
      <c r="W83" s="824" t="str">
        <f t="shared" si="112"/>
        <v/>
      </c>
      <c r="X83" s="780"/>
    </row>
    <row r="84" spans="2:24" s="116" customFormat="1" hidden="1" outlineLevel="1">
      <c r="B84" s="210"/>
      <c r="C84" s="818"/>
      <c r="D84" s="819"/>
      <c r="E84" s="820"/>
      <c r="F84" s="773"/>
      <c r="G84" s="774" t="str">
        <f t="shared" si="103"/>
        <v/>
      </c>
      <c r="H84" s="773"/>
      <c r="I84" s="774" t="str">
        <f t="shared" si="104"/>
        <v/>
      </c>
      <c r="J84" s="821" t="str">
        <f t="shared" si="105"/>
        <v/>
      </c>
      <c r="K84" s="773"/>
      <c r="L84" s="774" t="str">
        <f t="shared" si="106"/>
        <v/>
      </c>
      <c r="M84" s="773"/>
      <c r="N84" s="774" t="str">
        <f t="shared" ref="N84" si="203">IF(OR($C84="",M84=""),"",INDEX(randopsluiting_scores,MATCH(M84,randopsluiting_keuzes,0)))</f>
        <v/>
      </c>
      <c r="O84" s="821" t="str">
        <f t="shared" si="108"/>
        <v/>
      </c>
      <c r="P84" s="778"/>
      <c r="Q84" s="822" t="str">
        <f t="shared" si="109"/>
        <v/>
      </c>
      <c r="R84" s="14"/>
      <c r="S84" s="823"/>
      <c r="T84" s="777" t="str">
        <f t="shared" ref="T84" si="204">IF(OR($C84="",S84=""),"",INDEX(kwaliteitsfactor_scores,MATCH(S84,kwaliteitsfactor_keuzes,0)))</f>
        <v/>
      </c>
      <c r="U84" s="776"/>
      <c r="V84" s="784" t="str">
        <f t="shared" ref="V84" si="205">IF(OR($C84="",U84=""),"",INDEX(marktwaarde_scores,MATCH(U84,marktwaarde_keuzes,0)))</f>
        <v/>
      </c>
      <c r="W84" s="824" t="str">
        <f t="shared" si="112"/>
        <v/>
      </c>
      <c r="X84" s="780"/>
    </row>
    <row r="85" spans="2:24" s="116" customFormat="1" hidden="1" outlineLevel="1">
      <c r="B85" s="210"/>
      <c r="C85" s="818"/>
      <c r="D85" s="819"/>
      <c r="E85" s="820"/>
      <c r="F85" s="773"/>
      <c r="G85" s="774" t="str">
        <f t="shared" ref="G85:G114" si="206">IF(OR($C85="",F85=""),"",INDEX(type_verbinding_scores,MATCH(F85,type_verbinding_keuzes,0)))</f>
        <v/>
      </c>
      <c r="H85" s="773"/>
      <c r="I85" s="774" t="str">
        <f t="shared" ref="I85:I114" si="207">IF(OR($C85="",H85=""),"",INDEX(toegankelijkheid_verbinding_scores,MATCH(H85,toegankelijkheid_verbinding_keuzes,0)))</f>
        <v/>
      </c>
      <c r="J85" s="821" t="str">
        <f t="shared" ref="J85:J114" si="208">IF(OR($C85="",$G85="",$I85=""),"",2/((1/G85)+(1/I85)))</f>
        <v/>
      </c>
      <c r="K85" s="773"/>
      <c r="L85" s="774" t="str">
        <f t="shared" ref="L85:L114" si="209">IF(OR($C85="",K85=""),"",INDEX(doorkruisingen_scores,MATCH(K85,doorkruisingen_keuzes,0)))</f>
        <v/>
      </c>
      <c r="M85" s="773"/>
      <c r="N85" s="774" t="str">
        <f t="shared" ref="N85" si="210">IF(OR($C85="",M85=""),"",INDEX(randopsluiting_scores,MATCH(M85,randopsluiting_keuzes,0)))</f>
        <v/>
      </c>
      <c r="O85" s="821" t="str">
        <f t="shared" ref="O85:O114" si="211">IF(OR($C85="",$K85="",$M85=""),"",2/((1/L85)+(1/N85)))</f>
        <v/>
      </c>
      <c r="P85" s="778"/>
      <c r="Q85" s="822" t="str">
        <f t="shared" ref="Q85:Q114" si="212">IF(OR($C85="",$G85="",$I85="",$L85="",$N85=""),"",4/((1/G85)+(1/I85)+(1/L85)+(1/N85)))</f>
        <v/>
      </c>
      <c r="R85" s="14"/>
      <c r="S85" s="823"/>
      <c r="T85" s="777" t="str">
        <f t="shared" ref="T85" si="213">IF(OR($C85="",S85=""),"",INDEX(kwaliteitsfactor_scores,MATCH(S85,kwaliteitsfactor_keuzes,0)))</f>
        <v/>
      </c>
      <c r="U85" s="776"/>
      <c r="V85" s="784" t="str">
        <f t="shared" ref="V85" si="214">IF(OR($C85="",U85=""),"",INDEX(marktwaarde_scores,MATCH(U85,marktwaarde_keuzes,0)))</f>
        <v/>
      </c>
      <c r="W85" s="824" t="str">
        <f t="shared" ref="W85:W114" si="215">IF(OR($C85="",$P85="",$Q85="",$T85="",$V85="",),"",P85*Q85*T85*V85)</f>
        <v/>
      </c>
      <c r="X85" s="780"/>
    </row>
    <row r="86" spans="2:24" s="116" customFormat="1" hidden="1" outlineLevel="1">
      <c r="B86" s="210"/>
      <c r="C86" s="818"/>
      <c r="D86" s="819"/>
      <c r="E86" s="820"/>
      <c r="F86" s="773"/>
      <c r="G86" s="774" t="str">
        <f t="shared" si="206"/>
        <v/>
      </c>
      <c r="H86" s="773"/>
      <c r="I86" s="774" t="str">
        <f t="shared" si="207"/>
        <v/>
      </c>
      <c r="J86" s="821" t="str">
        <f t="shared" si="208"/>
        <v/>
      </c>
      <c r="K86" s="773"/>
      <c r="L86" s="774" t="str">
        <f t="shared" si="209"/>
        <v/>
      </c>
      <c r="M86" s="773"/>
      <c r="N86" s="774" t="str">
        <f t="shared" ref="N86" si="216">IF(OR($C86="",M86=""),"",INDEX(randopsluiting_scores,MATCH(M86,randopsluiting_keuzes,0)))</f>
        <v/>
      </c>
      <c r="O86" s="821" t="str">
        <f t="shared" si="211"/>
        <v/>
      </c>
      <c r="P86" s="778"/>
      <c r="Q86" s="822" t="str">
        <f t="shared" si="212"/>
        <v/>
      </c>
      <c r="R86" s="14"/>
      <c r="S86" s="823"/>
      <c r="T86" s="777" t="str">
        <f t="shared" ref="T86" si="217">IF(OR($C86="",S86=""),"",INDEX(kwaliteitsfactor_scores,MATCH(S86,kwaliteitsfactor_keuzes,0)))</f>
        <v/>
      </c>
      <c r="U86" s="776"/>
      <c r="V86" s="784" t="str">
        <f t="shared" ref="V86" si="218">IF(OR($C86="",U86=""),"",INDEX(marktwaarde_scores,MATCH(U86,marktwaarde_keuzes,0)))</f>
        <v/>
      </c>
      <c r="W86" s="824" t="str">
        <f t="shared" si="215"/>
        <v/>
      </c>
      <c r="X86" s="780"/>
    </row>
    <row r="87" spans="2:24" s="116" customFormat="1" hidden="1" outlineLevel="1">
      <c r="B87" s="210"/>
      <c r="C87" s="818"/>
      <c r="D87" s="819"/>
      <c r="E87" s="820"/>
      <c r="F87" s="773"/>
      <c r="G87" s="774" t="str">
        <f t="shared" si="206"/>
        <v/>
      </c>
      <c r="H87" s="773"/>
      <c r="I87" s="774" t="str">
        <f t="shared" si="207"/>
        <v/>
      </c>
      <c r="J87" s="821" t="str">
        <f t="shared" si="208"/>
        <v/>
      </c>
      <c r="K87" s="773"/>
      <c r="L87" s="774" t="str">
        <f t="shared" si="209"/>
        <v/>
      </c>
      <c r="M87" s="773"/>
      <c r="N87" s="774" t="str">
        <f t="shared" ref="N87" si="219">IF(OR($C87="",M87=""),"",INDEX(randopsluiting_scores,MATCH(M87,randopsluiting_keuzes,0)))</f>
        <v/>
      </c>
      <c r="O87" s="821" t="str">
        <f t="shared" si="211"/>
        <v/>
      </c>
      <c r="P87" s="778"/>
      <c r="Q87" s="822" t="str">
        <f t="shared" si="212"/>
        <v/>
      </c>
      <c r="R87" s="14"/>
      <c r="S87" s="823"/>
      <c r="T87" s="777" t="str">
        <f t="shared" ref="T87" si="220">IF(OR($C87="",S87=""),"",INDEX(kwaliteitsfactor_scores,MATCH(S87,kwaliteitsfactor_keuzes,0)))</f>
        <v/>
      </c>
      <c r="U87" s="776"/>
      <c r="V87" s="784" t="str">
        <f t="shared" ref="V87" si="221">IF(OR($C87="",U87=""),"",INDEX(marktwaarde_scores,MATCH(U87,marktwaarde_keuzes,0)))</f>
        <v/>
      </c>
      <c r="W87" s="824" t="str">
        <f t="shared" si="215"/>
        <v/>
      </c>
      <c r="X87" s="780"/>
    </row>
    <row r="88" spans="2:24" s="116" customFormat="1" hidden="1" outlineLevel="1">
      <c r="B88" s="210"/>
      <c r="C88" s="818"/>
      <c r="D88" s="819"/>
      <c r="E88" s="820"/>
      <c r="F88" s="773"/>
      <c r="G88" s="774" t="str">
        <f t="shared" si="206"/>
        <v/>
      </c>
      <c r="H88" s="773"/>
      <c r="I88" s="774" t="str">
        <f t="shared" si="207"/>
        <v/>
      </c>
      <c r="J88" s="821" t="str">
        <f t="shared" si="208"/>
        <v/>
      </c>
      <c r="K88" s="773"/>
      <c r="L88" s="774" t="str">
        <f t="shared" si="209"/>
        <v/>
      </c>
      <c r="M88" s="773"/>
      <c r="N88" s="774" t="str">
        <f t="shared" ref="N88" si="222">IF(OR($C88="",M88=""),"",INDEX(randopsluiting_scores,MATCH(M88,randopsluiting_keuzes,0)))</f>
        <v/>
      </c>
      <c r="O88" s="821" t="str">
        <f t="shared" si="211"/>
        <v/>
      </c>
      <c r="P88" s="778"/>
      <c r="Q88" s="822" t="str">
        <f t="shared" si="212"/>
        <v/>
      </c>
      <c r="R88" s="14"/>
      <c r="S88" s="823"/>
      <c r="T88" s="777" t="str">
        <f t="shared" ref="T88" si="223">IF(OR($C88="",S88=""),"",INDEX(kwaliteitsfactor_scores,MATCH(S88,kwaliteitsfactor_keuzes,0)))</f>
        <v/>
      </c>
      <c r="U88" s="776"/>
      <c r="V88" s="784" t="str">
        <f t="shared" ref="V88" si="224">IF(OR($C88="",U88=""),"",INDEX(marktwaarde_scores,MATCH(U88,marktwaarde_keuzes,0)))</f>
        <v/>
      </c>
      <c r="W88" s="824" t="str">
        <f t="shared" si="215"/>
        <v/>
      </c>
      <c r="X88" s="780"/>
    </row>
    <row r="89" spans="2:24" s="116" customFormat="1" hidden="1" outlineLevel="1">
      <c r="B89" s="210"/>
      <c r="C89" s="818"/>
      <c r="D89" s="819"/>
      <c r="E89" s="820"/>
      <c r="F89" s="773"/>
      <c r="G89" s="774" t="str">
        <f t="shared" si="206"/>
        <v/>
      </c>
      <c r="H89" s="773"/>
      <c r="I89" s="774" t="str">
        <f t="shared" si="207"/>
        <v/>
      </c>
      <c r="J89" s="821" t="str">
        <f t="shared" si="208"/>
        <v/>
      </c>
      <c r="K89" s="773"/>
      <c r="L89" s="774" t="str">
        <f t="shared" si="209"/>
        <v/>
      </c>
      <c r="M89" s="773"/>
      <c r="N89" s="774" t="str">
        <f t="shared" ref="N89" si="225">IF(OR($C89="",M89=""),"",INDEX(randopsluiting_scores,MATCH(M89,randopsluiting_keuzes,0)))</f>
        <v/>
      </c>
      <c r="O89" s="821" t="str">
        <f t="shared" si="211"/>
        <v/>
      </c>
      <c r="P89" s="778"/>
      <c r="Q89" s="822" t="str">
        <f t="shared" si="212"/>
        <v/>
      </c>
      <c r="R89" s="14"/>
      <c r="S89" s="823"/>
      <c r="T89" s="777" t="str">
        <f t="shared" ref="T89" si="226">IF(OR($C89="",S89=""),"",INDEX(kwaliteitsfactor_scores,MATCH(S89,kwaliteitsfactor_keuzes,0)))</f>
        <v/>
      </c>
      <c r="U89" s="776"/>
      <c r="V89" s="784" t="str">
        <f t="shared" ref="V89" si="227">IF(OR($C89="",U89=""),"",INDEX(marktwaarde_scores,MATCH(U89,marktwaarde_keuzes,0)))</f>
        <v/>
      </c>
      <c r="W89" s="824" t="str">
        <f t="shared" si="215"/>
        <v/>
      </c>
      <c r="X89" s="780"/>
    </row>
    <row r="90" spans="2:24" s="116" customFormat="1" hidden="1" outlineLevel="1">
      <c r="B90" s="210"/>
      <c r="C90" s="818"/>
      <c r="D90" s="819"/>
      <c r="E90" s="820"/>
      <c r="F90" s="773"/>
      <c r="G90" s="774" t="str">
        <f t="shared" si="206"/>
        <v/>
      </c>
      <c r="H90" s="773"/>
      <c r="I90" s="774" t="str">
        <f t="shared" si="207"/>
        <v/>
      </c>
      <c r="J90" s="821" t="str">
        <f t="shared" si="208"/>
        <v/>
      </c>
      <c r="K90" s="773"/>
      <c r="L90" s="774" t="str">
        <f t="shared" si="209"/>
        <v/>
      </c>
      <c r="M90" s="773"/>
      <c r="N90" s="774" t="str">
        <f t="shared" ref="N90" si="228">IF(OR($C90="",M90=""),"",INDEX(randopsluiting_scores,MATCH(M90,randopsluiting_keuzes,0)))</f>
        <v/>
      </c>
      <c r="O90" s="821" t="str">
        <f t="shared" si="211"/>
        <v/>
      </c>
      <c r="P90" s="778"/>
      <c r="Q90" s="822" t="str">
        <f t="shared" si="212"/>
        <v/>
      </c>
      <c r="R90" s="14"/>
      <c r="S90" s="823"/>
      <c r="T90" s="777" t="str">
        <f t="shared" ref="T90" si="229">IF(OR($C90="",S90=""),"",INDEX(kwaliteitsfactor_scores,MATCH(S90,kwaliteitsfactor_keuzes,0)))</f>
        <v/>
      </c>
      <c r="U90" s="776"/>
      <c r="V90" s="784" t="str">
        <f t="shared" ref="V90" si="230">IF(OR($C90="",U90=""),"",INDEX(marktwaarde_scores,MATCH(U90,marktwaarde_keuzes,0)))</f>
        <v/>
      </c>
      <c r="W90" s="824" t="str">
        <f t="shared" si="215"/>
        <v/>
      </c>
      <c r="X90" s="780"/>
    </row>
    <row r="91" spans="2:24" s="116" customFormat="1" hidden="1" outlineLevel="1">
      <c r="B91" s="210"/>
      <c r="C91" s="818"/>
      <c r="D91" s="819"/>
      <c r="E91" s="820"/>
      <c r="F91" s="773"/>
      <c r="G91" s="774" t="str">
        <f t="shared" si="206"/>
        <v/>
      </c>
      <c r="H91" s="773"/>
      <c r="I91" s="774" t="str">
        <f t="shared" si="207"/>
        <v/>
      </c>
      <c r="J91" s="821" t="str">
        <f t="shared" si="208"/>
        <v/>
      </c>
      <c r="K91" s="773"/>
      <c r="L91" s="774" t="str">
        <f t="shared" si="209"/>
        <v/>
      </c>
      <c r="M91" s="773"/>
      <c r="N91" s="774" t="str">
        <f t="shared" ref="N91" si="231">IF(OR($C91="",M91=""),"",INDEX(randopsluiting_scores,MATCH(M91,randopsluiting_keuzes,0)))</f>
        <v/>
      </c>
      <c r="O91" s="821" t="str">
        <f t="shared" si="211"/>
        <v/>
      </c>
      <c r="P91" s="778"/>
      <c r="Q91" s="822" t="str">
        <f t="shared" si="212"/>
        <v/>
      </c>
      <c r="R91" s="14"/>
      <c r="S91" s="823"/>
      <c r="T91" s="777" t="str">
        <f t="shared" ref="T91" si="232">IF(OR($C91="",S91=""),"",INDEX(kwaliteitsfactor_scores,MATCH(S91,kwaliteitsfactor_keuzes,0)))</f>
        <v/>
      </c>
      <c r="U91" s="776"/>
      <c r="V91" s="784" t="str">
        <f t="shared" ref="V91" si="233">IF(OR($C91="",U91=""),"",INDEX(marktwaarde_scores,MATCH(U91,marktwaarde_keuzes,0)))</f>
        <v/>
      </c>
      <c r="W91" s="824" t="str">
        <f t="shared" si="215"/>
        <v/>
      </c>
      <c r="X91" s="780"/>
    </row>
    <row r="92" spans="2:24" s="116" customFormat="1" hidden="1" outlineLevel="1">
      <c r="B92" s="210"/>
      <c r="C92" s="818"/>
      <c r="D92" s="819"/>
      <c r="E92" s="820"/>
      <c r="F92" s="773"/>
      <c r="G92" s="774" t="str">
        <f t="shared" si="206"/>
        <v/>
      </c>
      <c r="H92" s="773"/>
      <c r="I92" s="774" t="str">
        <f t="shared" si="207"/>
        <v/>
      </c>
      <c r="J92" s="821" t="str">
        <f t="shared" si="208"/>
        <v/>
      </c>
      <c r="K92" s="773"/>
      <c r="L92" s="774" t="str">
        <f t="shared" si="209"/>
        <v/>
      </c>
      <c r="M92" s="773"/>
      <c r="N92" s="774" t="str">
        <f t="shared" ref="N92" si="234">IF(OR($C92="",M92=""),"",INDEX(randopsluiting_scores,MATCH(M92,randopsluiting_keuzes,0)))</f>
        <v/>
      </c>
      <c r="O92" s="821" t="str">
        <f t="shared" si="211"/>
        <v/>
      </c>
      <c r="P92" s="778"/>
      <c r="Q92" s="822" t="str">
        <f t="shared" si="212"/>
        <v/>
      </c>
      <c r="R92" s="14"/>
      <c r="S92" s="823"/>
      <c r="T92" s="777" t="str">
        <f t="shared" ref="T92" si="235">IF(OR($C92="",S92=""),"",INDEX(kwaliteitsfactor_scores,MATCH(S92,kwaliteitsfactor_keuzes,0)))</f>
        <v/>
      </c>
      <c r="U92" s="776"/>
      <c r="V92" s="784" t="str">
        <f t="shared" ref="V92" si="236">IF(OR($C92="",U92=""),"",INDEX(marktwaarde_scores,MATCH(U92,marktwaarde_keuzes,0)))</f>
        <v/>
      </c>
      <c r="W92" s="824" t="str">
        <f t="shared" si="215"/>
        <v/>
      </c>
      <c r="X92" s="780"/>
    </row>
    <row r="93" spans="2:24" s="116" customFormat="1" hidden="1" outlineLevel="1">
      <c r="B93" s="210"/>
      <c r="C93" s="818"/>
      <c r="D93" s="819"/>
      <c r="E93" s="820"/>
      <c r="F93" s="773"/>
      <c r="G93" s="774" t="str">
        <f t="shared" si="206"/>
        <v/>
      </c>
      <c r="H93" s="773"/>
      <c r="I93" s="774" t="str">
        <f t="shared" si="207"/>
        <v/>
      </c>
      <c r="J93" s="821" t="str">
        <f t="shared" si="208"/>
        <v/>
      </c>
      <c r="K93" s="773"/>
      <c r="L93" s="774" t="str">
        <f t="shared" si="209"/>
        <v/>
      </c>
      <c r="M93" s="773"/>
      <c r="N93" s="774" t="str">
        <f t="shared" ref="N93" si="237">IF(OR($C93="",M93=""),"",INDEX(randopsluiting_scores,MATCH(M93,randopsluiting_keuzes,0)))</f>
        <v/>
      </c>
      <c r="O93" s="821" t="str">
        <f t="shared" si="211"/>
        <v/>
      </c>
      <c r="P93" s="778"/>
      <c r="Q93" s="822" t="str">
        <f t="shared" si="212"/>
        <v/>
      </c>
      <c r="R93" s="14"/>
      <c r="S93" s="823"/>
      <c r="T93" s="777" t="str">
        <f t="shared" ref="T93" si="238">IF(OR($C93="",S93=""),"",INDEX(kwaliteitsfactor_scores,MATCH(S93,kwaliteitsfactor_keuzes,0)))</f>
        <v/>
      </c>
      <c r="U93" s="776"/>
      <c r="V93" s="784" t="str">
        <f t="shared" ref="V93" si="239">IF(OR($C93="",U93=""),"",INDEX(marktwaarde_scores,MATCH(U93,marktwaarde_keuzes,0)))</f>
        <v/>
      </c>
      <c r="W93" s="824" t="str">
        <f t="shared" si="215"/>
        <v/>
      </c>
      <c r="X93" s="780"/>
    </row>
    <row r="94" spans="2:24" s="116" customFormat="1" hidden="1" outlineLevel="1">
      <c r="B94" s="210"/>
      <c r="C94" s="818"/>
      <c r="D94" s="819"/>
      <c r="E94" s="820"/>
      <c r="F94" s="773"/>
      <c r="G94" s="774" t="str">
        <f t="shared" si="206"/>
        <v/>
      </c>
      <c r="H94" s="773"/>
      <c r="I94" s="774" t="str">
        <f t="shared" si="207"/>
        <v/>
      </c>
      <c r="J94" s="821" t="str">
        <f t="shared" si="208"/>
        <v/>
      </c>
      <c r="K94" s="773"/>
      <c r="L94" s="774" t="str">
        <f t="shared" si="209"/>
        <v/>
      </c>
      <c r="M94" s="773"/>
      <c r="N94" s="774" t="str">
        <f t="shared" ref="N94" si="240">IF(OR($C94="",M94=""),"",INDEX(randopsluiting_scores,MATCH(M94,randopsluiting_keuzes,0)))</f>
        <v/>
      </c>
      <c r="O94" s="821" t="str">
        <f t="shared" si="211"/>
        <v/>
      </c>
      <c r="P94" s="778"/>
      <c r="Q94" s="822" t="str">
        <f t="shared" si="212"/>
        <v/>
      </c>
      <c r="R94" s="14"/>
      <c r="S94" s="823"/>
      <c r="T94" s="777" t="str">
        <f t="shared" ref="T94" si="241">IF(OR($C94="",S94=""),"",INDEX(kwaliteitsfactor_scores,MATCH(S94,kwaliteitsfactor_keuzes,0)))</f>
        <v/>
      </c>
      <c r="U94" s="776"/>
      <c r="V94" s="784" t="str">
        <f t="shared" ref="V94" si="242">IF(OR($C94="",U94=""),"",INDEX(marktwaarde_scores,MATCH(U94,marktwaarde_keuzes,0)))</f>
        <v/>
      </c>
      <c r="W94" s="824" t="str">
        <f t="shared" si="215"/>
        <v/>
      </c>
      <c r="X94" s="780"/>
    </row>
    <row r="95" spans="2:24" s="116" customFormat="1" hidden="1" outlineLevel="1">
      <c r="B95" s="210"/>
      <c r="C95" s="818"/>
      <c r="D95" s="819"/>
      <c r="E95" s="820"/>
      <c r="F95" s="773"/>
      <c r="G95" s="774" t="str">
        <f t="shared" si="206"/>
        <v/>
      </c>
      <c r="H95" s="773"/>
      <c r="I95" s="774" t="str">
        <f t="shared" si="207"/>
        <v/>
      </c>
      <c r="J95" s="821" t="str">
        <f t="shared" si="208"/>
        <v/>
      </c>
      <c r="K95" s="773"/>
      <c r="L95" s="774" t="str">
        <f t="shared" si="209"/>
        <v/>
      </c>
      <c r="M95" s="773"/>
      <c r="N95" s="774" t="str">
        <f t="shared" ref="N95" si="243">IF(OR($C95="",M95=""),"",INDEX(randopsluiting_scores,MATCH(M95,randopsluiting_keuzes,0)))</f>
        <v/>
      </c>
      <c r="O95" s="821" t="str">
        <f t="shared" si="211"/>
        <v/>
      </c>
      <c r="P95" s="778"/>
      <c r="Q95" s="822" t="str">
        <f t="shared" si="212"/>
        <v/>
      </c>
      <c r="R95" s="14"/>
      <c r="S95" s="823"/>
      <c r="T95" s="777" t="str">
        <f t="shared" ref="T95" si="244">IF(OR($C95="",S95=""),"",INDEX(kwaliteitsfactor_scores,MATCH(S95,kwaliteitsfactor_keuzes,0)))</f>
        <v/>
      </c>
      <c r="U95" s="776"/>
      <c r="V95" s="784" t="str">
        <f t="shared" ref="V95" si="245">IF(OR($C95="",U95=""),"",INDEX(marktwaarde_scores,MATCH(U95,marktwaarde_keuzes,0)))</f>
        <v/>
      </c>
      <c r="W95" s="824" t="str">
        <f t="shared" si="215"/>
        <v/>
      </c>
      <c r="X95" s="780"/>
    </row>
    <row r="96" spans="2:24" s="116" customFormat="1" hidden="1" outlineLevel="1">
      <c r="B96" s="210"/>
      <c r="C96" s="818"/>
      <c r="D96" s="819"/>
      <c r="E96" s="820"/>
      <c r="F96" s="773"/>
      <c r="G96" s="774" t="str">
        <f t="shared" si="206"/>
        <v/>
      </c>
      <c r="H96" s="773"/>
      <c r="I96" s="774" t="str">
        <f t="shared" si="207"/>
        <v/>
      </c>
      <c r="J96" s="821" t="str">
        <f t="shared" si="208"/>
        <v/>
      </c>
      <c r="K96" s="773"/>
      <c r="L96" s="774" t="str">
        <f t="shared" si="209"/>
        <v/>
      </c>
      <c r="M96" s="773"/>
      <c r="N96" s="774" t="str">
        <f t="shared" ref="N96" si="246">IF(OR($C96="",M96=""),"",INDEX(randopsluiting_scores,MATCH(M96,randopsluiting_keuzes,0)))</f>
        <v/>
      </c>
      <c r="O96" s="821" t="str">
        <f t="shared" si="211"/>
        <v/>
      </c>
      <c r="P96" s="778"/>
      <c r="Q96" s="822" t="str">
        <f t="shared" si="212"/>
        <v/>
      </c>
      <c r="R96" s="14"/>
      <c r="S96" s="823"/>
      <c r="T96" s="777" t="str">
        <f t="shared" ref="T96" si="247">IF(OR($C96="",S96=""),"",INDEX(kwaliteitsfactor_scores,MATCH(S96,kwaliteitsfactor_keuzes,0)))</f>
        <v/>
      </c>
      <c r="U96" s="776"/>
      <c r="V96" s="784" t="str">
        <f t="shared" ref="V96" si="248">IF(OR($C96="",U96=""),"",INDEX(marktwaarde_scores,MATCH(U96,marktwaarde_keuzes,0)))</f>
        <v/>
      </c>
      <c r="W96" s="824" t="str">
        <f t="shared" si="215"/>
        <v/>
      </c>
      <c r="X96" s="780"/>
    </row>
    <row r="97" spans="2:24" s="116" customFormat="1" hidden="1" outlineLevel="1">
      <c r="B97" s="210"/>
      <c r="C97" s="818"/>
      <c r="D97" s="819"/>
      <c r="E97" s="820"/>
      <c r="F97" s="773"/>
      <c r="G97" s="774" t="str">
        <f t="shared" si="206"/>
        <v/>
      </c>
      <c r="H97" s="773"/>
      <c r="I97" s="774" t="str">
        <f t="shared" si="207"/>
        <v/>
      </c>
      <c r="J97" s="821" t="str">
        <f t="shared" si="208"/>
        <v/>
      </c>
      <c r="K97" s="773"/>
      <c r="L97" s="774" t="str">
        <f t="shared" si="209"/>
        <v/>
      </c>
      <c r="M97" s="773"/>
      <c r="N97" s="774" t="str">
        <f t="shared" ref="N97" si="249">IF(OR($C97="",M97=""),"",INDEX(randopsluiting_scores,MATCH(M97,randopsluiting_keuzes,0)))</f>
        <v/>
      </c>
      <c r="O97" s="821" t="str">
        <f t="shared" si="211"/>
        <v/>
      </c>
      <c r="P97" s="778"/>
      <c r="Q97" s="822" t="str">
        <f t="shared" si="212"/>
        <v/>
      </c>
      <c r="R97" s="14"/>
      <c r="S97" s="823"/>
      <c r="T97" s="777" t="str">
        <f t="shared" ref="T97" si="250">IF(OR($C97="",S97=""),"",INDEX(kwaliteitsfactor_scores,MATCH(S97,kwaliteitsfactor_keuzes,0)))</f>
        <v/>
      </c>
      <c r="U97" s="776"/>
      <c r="V97" s="784" t="str">
        <f t="shared" ref="V97" si="251">IF(OR($C97="",U97=""),"",INDEX(marktwaarde_scores,MATCH(U97,marktwaarde_keuzes,0)))</f>
        <v/>
      </c>
      <c r="W97" s="824" t="str">
        <f t="shared" si="215"/>
        <v/>
      </c>
      <c r="X97" s="780"/>
    </row>
    <row r="98" spans="2:24" s="116" customFormat="1" hidden="1" outlineLevel="1">
      <c r="B98" s="210"/>
      <c r="C98" s="818"/>
      <c r="D98" s="819"/>
      <c r="E98" s="820"/>
      <c r="F98" s="773"/>
      <c r="G98" s="774" t="str">
        <f t="shared" si="206"/>
        <v/>
      </c>
      <c r="H98" s="773"/>
      <c r="I98" s="774" t="str">
        <f t="shared" si="207"/>
        <v/>
      </c>
      <c r="J98" s="821" t="str">
        <f t="shared" si="208"/>
        <v/>
      </c>
      <c r="K98" s="773"/>
      <c r="L98" s="774" t="str">
        <f t="shared" si="209"/>
        <v/>
      </c>
      <c r="M98" s="773"/>
      <c r="N98" s="774" t="str">
        <f t="shared" ref="N98" si="252">IF(OR($C98="",M98=""),"",INDEX(randopsluiting_scores,MATCH(M98,randopsluiting_keuzes,0)))</f>
        <v/>
      </c>
      <c r="O98" s="821" t="str">
        <f t="shared" si="211"/>
        <v/>
      </c>
      <c r="P98" s="778"/>
      <c r="Q98" s="822" t="str">
        <f t="shared" si="212"/>
        <v/>
      </c>
      <c r="R98" s="14"/>
      <c r="S98" s="823"/>
      <c r="T98" s="777" t="str">
        <f t="shared" ref="T98" si="253">IF(OR($C98="",S98=""),"",INDEX(kwaliteitsfactor_scores,MATCH(S98,kwaliteitsfactor_keuzes,0)))</f>
        <v/>
      </c>
      <c r="U98" s="776"/>
      <c r="V98" s="784" t="str">
        <f t="shared" ref="V98" si="254">IF(OR($C98="",U98=""),"",INDEX(marktwaarde_scores,MATCH(U98,marktwaarde_keuzes,0)))</f>
        <v/>
      </c>
      <c r="W98" s="824" t="str">
        <f t="shared" si="215"/>
        <v/>
      </c>
      <c r="X98" s="780"/>
    </row>
    <row r="99" spans="2:24" s="116" customFormat="1" hidden="1" outlineLevel="1">
      <c r="B99" s="210"/>
      <c r="C99" s="818"/>
      <c r="D99" s="819"/>
      <c r="E99" s="820"/>
      <c r="F99" s="773"/>
      <c r="G99" s="774" t="str">
        <f t="shared" si="206"/>
        <v/>
      </c>
      <c r="H99" s="773"/>
      <c r="I99" s="774" t="str">
        <f t="shared" si="207"/>
        <v/>
      </c>
      <c r="J99" s="821" t="str">
        <f t="shared" si="208"/>
        <v/>
      </c>
      <c r="K99" s="773"/>
      <c r="L99" s="774" t="str">
        <f t="shared" si="209"/>
        <v/>
      </c>
      <c r="M99" s="773"/>
      <c r="N99" s="774" t="str">
        <f t="shared" ref="N99" si="255">IF(OR($C99="",M99=""),"",INDEX(randopsluiting_scores,MATCH(M99,randopsluiting_keuzes,0)))</f>
        <v/>
      </c>
      <c r="O99" s="821" t="str">
        <f t="shared" si="211"/>
        <v/>
      </c>
      <c r="P99" s="778"/>
      <c r="Q99" s="822" t="str">
        <f t="shared" si="212"/>
        <v/>
      </c>
      <c r="R99" s="14"/>
      <c r="S99" s="823"/>
      <c r="T99" s="777" t="str">
        <f t="shared" ref="T99" si="256">IF(OR($C99="",S99=""),"",INDEX(kwaliteitsfactor_scores,MATCH(S99,kwaliteitsfactor_keuzes,0)))</f>
        <v/>
      </c>
      <c r="U99" s="776"/>
      <c r="V99" s="784" t="str">
        <f t="shared" ref="V99" si="257">IF(OR($C99="",U99=""),"",INDEX(marktwaarde_scores,MATCH(U99,marktwaarde_keuzes,0)))</f>
        <v/>
      </c>
      <c r="W99" s="824" t="str">
        <f t="shared" si="215"/>
        <v/>
      </c>
      <c r="X99" s="780"/>
    </row>
    <row r="100" spans="2:24" s="116" customFormat="1" hidden="1" outlineLevel="1">
      <c r="B100" s="210"/>
      <c r="C100" s="818"/>
      <c r="D100" s="819"/>
      <c r="E100" s="820"/>
      <c r="F100" s="773"/>
      <c r="G100" s="774" t="str">
        <f t="shared" si="206"/>
        <v/>
      </c>
      <c r="H100" s="773"/>
      <c r="I100" s="774" t="str">
        <f t="shared" si="207"/>
        <v/>
      </c>
      <c r="J100" s="821" t="str">
        <f t="shared" si="208"/>
        <v/>
      </c>
      <c r="K100" s="773"/>
      <c r="L100" s="774" t="str">
        <f t="shared" si="209"/>
        <v/>
      </c>
      <c r="M100" s="773"/>
      <c r="N100" s="774" t="str">
        <f t="shared" ref="N100" si="258">IF(OR($C100="",M100=""),"",INDEX(randopsluiting_scores,MATCH(M100,randopsluiting_keuzes,0)))</f>
        <v/>
      </c>
      <c r="O100" s="821" t="str">
        <f t="shared" si="211"/>
        <v/>
      </c>
      <c r="P100" s="778"/>
      <c r="Q100" s="822" t="str">
        <f t="shared" si="212"/>
        <v/>
      </c>
      <c r="R100" s="14"/>
      <c r="S100" s="823"/>
      <c r="T100" s="777" t="str">
        <f t="shared" ref="T100" si="259">IF(OR($C100="",S100=""),"",INDEX(kwaliteitsfactor_scores,MATCH(S100,kwaliteitsfactor_keuzes,0)))</f>
        <v/>
      </c>
      <c r="U100" s="776"/>
      <c r="V100" s="784" t="str">
        <f t="shared" ref="V100" si="260">IF(OR($C100="",U100=""),"",INDEX(marktwaarde_scores,MATCH(U100,marktwaarde_keuzes,0)))</f>
        <v/>
      </c>
      <c r="W100" s="824" t="str">
        <f t="shared" si="215"/>
        <v/>
      </c>
      <c r="X100" s="780"/>
    </row>
    <row r="101" spans="2:24" s="116" customFormat="1" hidden="1" outlineLevel="1">
      <c r="B101" s="210"/>
      <c r="C101" s="818"/>
      <c r="D101" s="819"/>
      <c r="E101" s="820"/>
      <c r="F101" s="773"/>
      <c r="G101" s="774" t="str">
        <f t="shared" si="206"/>
        <v/>
      </c>
      <c r="H101" s="773"/>
      <c r="I101" s="774" t="str">
        <f t="shared" si="207"/>
        <v/>
      </c>
      <c r="J101" s="821" t="str">
        <f t="shared" si="208"/>
        <v/>
      </c>
      <c r="K101" s="773"/>
      <c r="L101" s="774" t="str">
        <f t="shared" si="209"/>
        <v/>
      </c>
      <c r="M101" s="773"/>
      <c r="N101" s="774" t="str">
        <f t="shared" ref="N101" si="261">IF(OR($C101="",M101=""),"",INDEX(randopsluiting_scores,MATCH(M101,randopsluiting_keuzes,0)))</f>
        <v/>
      </c>
      <c r="O101" s="821" t="str">
        <f t="shared" si="211"/>
        <v/>
      </c>
      <c r="P101" s="778"/>
      <c r="Q101" s="822" t="str">
        <f t="shared" si="212"/>
        <v/>
      </c>
      <c r="R101" s="14"/>
      <c r="S101" s="823"/>
      <c r="T101" s="777" t="str">
        <f t="shared" ref="T101" si="262">IF(OR($C101="",S101=""),"",INDEX(kwaliteitsfactor_scores,MATCH(S101,kwaliteitsfactor_keuzes,0)))</f>
        <v/>
      </c>
      <c r="U101" s="776"/>
      <c r="V101" s="784" t="str">
        <f t="shared" ref="V101" si="263">IF(OR($C101="",U101=""),"",INDEX(marktwaarde_scores,MATCH(U101,marktwaarde_keuzes,0)))</f>
        <v/>
      </c>
      <c r="W101" s="824" t="str">
        <f t="shared" si="215"/>
        <v/>
      </c>
      <c r="X101" s="780"/>
    </row>
    <row r="102" spans="2:24" s="116" customFormat="1" hidden="1" outlineLevel="1">
      <c r="B102" s="210"/>
      <c r="C102" s="818"/>
      <c r="D102" s="819"/>
      <c r="E102" s="820"/>
      <c r="F102" s="773"/>
      <c r="G102" s="774" t="str">
        <f t="shared" si="206"/>
        <v/>
      </c>
      <c r="H102" s="773"/>
      <c r="I102" s="774" t="str">
        <f t="shared" si="207"/>
        <v/>
      </c>
      <c r="J102" s="821" t="str">
        <f t="shared" si="208"/>
        <v/>
      </c>
      <c r="K102" s="773"/>
      <c r="L102" s="774" t="str">
        <f t="shared" si="209"/>
        <v/>
      </c>
      <c r="M102" s="773"/>
      <c r="N102" s="774" t="str">
        <f t="shared" ref="N102" si="264">IF(OR($C102="",M102=""),"",INDEX(randopsluiting_scores,MATCH(M102,randopsluiting_keuzes,0)))</f>
        <v/>
      </c>
      <c r="O102" s="821" t="str">
        <f t="shared" si="211"/>
        <v/>
      </c>
      <c r="P102" s="778"/>
      <c r="Q102" s="822" t="str">
        <f t="shared" si="212"/>
        <v/>
      </c>
      <c r="R102" s="14"/>
      <c r="S102" s="823"/>
      <c r="T102" s="777" t="str">
        <f t="shared" ref="T102" si="265">IF(OR($C102="",S102=""),"",INDEX(kwaliteitsfactor_scores,MATCH(S102,kwaliteitsfactor_keuzes,0)))</f>
        <v/>
      </c>
      <c r="U102" s="776"/>
      <c r="V102" s="784" t="str">
        <f t="shared" ref="V102" si="266">IF(OR($C102="",U102=""),"",INDEX(marktwaarde_scores,MATCH(U102,marktwaarde_keuzes,0)))</f>
        <v/>
      </c>
      <c r="W102" s="824" t="str">
        <f t="shared" si="215"/>
        <v/>
      </c>
      <c r="X102" s="780"/>
    </row>
    <row r="103" spans="2:24" s="116" customFormat="1" hidden="1" outlineLevel="1">
      <c r="B103" s="210"/>
      <c r="C103" s="818"/>
      <c r="D103" s="819"/>
      <c r="E103" s="820"/>
      <c r="F103" s="773"/>
      <c r="G103" s="774" t="str">
        <f t="shared" si="206"/>
        <v/>
      </c>
      <c r="H103" s="773"/>
      <c r="I103" s="774" t="str">
        <f t="shared" si="207"/>
        <v/>
      </c>
      <c r="J103" s="821" t="str">
        <f t="shared" si="208"/>
        <v/>
      </c>
      <c r="K103" s="773"/>
      <c r="L103" s="774" t="str">
        <f t="shared" si="209"/>
        <v/>
      </c>
      <c r="M103" s="773"/>
      <c r="N103" s="774" t="str">
        <f t="shared" ref="N103" si="267">IF(OR($C103="",M103=""),"",INDEX(randopsluiting_scores,MATCH(M103,randopsluiting_keuzes,0)))</f>
        <v/>
      </c>
      <c r="O103" s="821" t="str">
        <f t="shared" si="211"/>
        <v/>
      </c>
      <c r="P103" s="778"/>
      <c r="Q103" s="822" t="str">
        <f t="shared" si="212"/>
        <v/>
      </c>
      <c r="R103" s="14"/>
      <c r="S103" s="823"/>
      <c r="T103" s="777" t="str">
        <f t="shared" ref="T103" si="268">IF(OR($C103="",S103=""),"",INDEX(kwaliteitsfactor_scores,MATCH(S103,kwaliteitsfactor_keuzes,0)))</f>
        <v/>
      </c>
      <c r="U103" s="776"/>
      <c r="V103" s="784" t="str">
        <f t="shared" ref="V103" si="269">IF(OR($C103="",U103=""),"",INDEX(marktwaarde_scores,MATCH(U103,marktwaarde_keuzes,0)))</f>
        <v/>
      </c>
      <c r="W103" s="824" t="str">
        <f t="shared" si="215"/>
        <v/>
      </c>
      <c r="X103" s="780"/>
    </row>
    <row r="104" spans="2:24" s="116" customFormat="1" hidden="1" outlineLevel="1">
      <c r="B104" s="210"/>
      <c r="C104" s="818"/>
      <c r="D104" s="819"/>
      <c r="E104" s="820"/>
      <c r="F104" s="773"/>
      <c r="G104" s="774" t="str">
        <f t="shared" si="206"/>
        <v/>
      </c>
      <c r="H104" s="773"/>
      <c r="I104" s="774" t="str">
        <f t="shared" si="207"/>
        <v/>
      </c>
      <c r="J104" s="821" t="str">
        <f t="shared" si="208"/>
        <v/>
      </c>
      <c r="K104" s="773"/>
      <c r="L104" s="774" t="str">
        <f t="shared" si="209"/>
        <v/>
      </c>
      <c r="M104" s="773"/>
      <c r="N104" s="774" t="str">
        <f t="shared" ref="N104" si="270">IF(OR($C104="",M104=""),"",INDEX(randopsluiting_scores,MATCH(M104,randopsluiting_keuzes,0)))</f>
        <v/>
      </c>
      <c r="O104" s="821" t="str">
        <f t="shared" si="211"/>
        <v/>
      </c>
      <c r="P104" s="778"/>
      <c r="Q104" s="822" t="str">
        <f t="shared" si="212"/>
        <v/>
      </c>
      <c r="R104" s="14"/>
      <c r="S104" s="823"/>
      <c r="T104" s="777" t="str">
        <f t="shared" ref="T104" si="271">IF(OR($C104="",S104=""),"",INDEX(kwaliteitsfactor_scores,MATCH(S104,kwaliteitsfactor_keuzes,0)))</f>
        <v/>
      </c>
      <c r="U104" s="776"/>
      <c r="V104" s="784" t="str">
        <f t="shared" ref="V104" si="272">IF(OR($C104="",U104=""),"",INDEX(marktwaarde_scores,MATCH(U104,marktwaarde_keuzes,0)))</f>
        <v/>
      </c>
      <c r="W104" s="824" t="str">
        <f t="shared" si="215"/>
        <v/>
      </c>
      <c r="X104" s="780"/>
    </row>
    <row r="105" spans="2:24" s="116" customFormat="1" hidden="1" outlineLevel="1">
      <c r="B105" s="210"/>
      <c r="C105" s="818"/>
      <c r="D105" s="819"/>
      <c r="E105" s="820"/>
      <c r="F105" s="773"/>
      <c r="G105" s="774" t="str">
        <f t="shared" si="206"/>
        <v/>
      </c>
      <c r="H105" s="773"/>
      <c r="I105" s="774" t="str">
        <f t="shared" si="207"/>
        <v/>
      </c>
      <c r="J105" s="821" t="str">
        <f t="shared" si="208"/>
        <v/>
      </c>
      <c r="K105" s="773"/>
      <c r="L105" s="774" t="str">
        <f t="shared" si="209"/>
        <v/>
      </c>
      <c r="M105" s="773"/>
      <c r="N105" s="774" t="str">
        <f t="shared" ref="N105" si="273">IF(OR($C105="",M105=""),"",INDEX(randopsluiting_scores,MATCH(M105,randopsluiting_keuzes,0)))</f>
        <v/>
      </c>
      <c r="O105" s="821" t="str">
        <f t="shared" si="211"/>
        <v/>
      </c>
      <c r="P105" s="778"/>
      <c r="Q105" s="822" t="str">
        <f t="shared" si="212"/>
        <v/>
      </c>
      <c r="R105" s="14"/>
      <c r="S105" s="823"/>
      <c r="T105" s="777" t="str">
        <f t="shared" ref="T105" si="274">IF(OR($C105="",S105=""),"",INDEX(kwaliteitsfactor_scores,MATCH(S105,kwaliteitsfactor_keuzes,0)))</f>
        <v/>
      </c>
      <c r="U105" s="776"/>
      <c r="V105" s="784" t="str">
        <f t="shared" ref="V105" si="275">IF(OR($C105="",U105=""),"",INDEX(marktwaarde_scores,MATCH(U105,marktwaarde_keuzes,0)))</f>
        <v/>
      </c>
      <c r="W105" s="824" t="str">
        <f t="shared" si="215"/>
        <v/>
      </c>
      <c r="X105" s="780"/>
    </row>
    <row r="106" spans="2:24" s="116" customFormat="1" hidden="1" outlineLevel="1">
      <c r="B106" s="210"/>
      <c r="C106" s="818"/>
      <c r="D106" s="819"/>
      <c r="E106" s="820"/>
      <c r="F106" s="773"/>
      <c r="G106" s="774" t="str">
        <f t="shared" si="206"/>
        <v/>
      </c>
      <c r="H106" s="773"/>
      <c r="I106" s="774" t="str">
        <f t="shared" si="207"/>
        <v/>
      </c>
      <c r="J106" s="821" t="str">
        <f t="shared" si="208"/>
        <v/>
      </c>
      <c r="K106" s="773"/>
      <c r="L106" s="774" t="str">
        <f t="shared" si="209"/>
        <v/>
      </c>
      <c r="M106" s="773"/>
      <c r="N106" s="774" t="str">
        <f t="shared" ref="N106" si="276">IF(OR($C106="",M106=""),"",INDEX(randopsluiting_scores,MATCH(M106,randopsluiting_keuzes,0)))</f>
        <v/>
      </c>
      <c r="O106" s="821" t="str">
        <f t="shared" si="211"/>
        <v/>
      </c>
      <c r="P106" s="778"/>
      <c r="Q106" s="822" t="str">
        <f t="shared" si="212"/>
        <v/>
      </c>
      <c r="R106" s="14"/>
      <c r="S106" s="823"/>
      <c r="T106" s="777" t="str">
        <f t="shared" ref="T106" si="277">IF(OR($C106="",S106=""),"",INDEX(kwaliteitsfactor_scores,MATCH(S106,kwaliteitsfactor_keuzes,0)))</f>
        <v/>
      </c>
      <c r="U106" s="776"/>
      <c r="V106" s="784" t="str">
        <f t="shared" ref="V106" si="278">IF(OR($C106="",U106=""),"",INDEX(marktwaarde_scores,MATCH(U106,marktwaarde_keuzes,0)))</f>
        <v/>
      </c>
      <c r="W106" s="824" t="str">
        <f t="shared" si="215"/>
        <v/>
      </c>
      <c r="X106" s="780"/>
    </row>
    <row r="107" spans="2:24" s="116" customFormat="1" hidden="1" outlineLevel="1">
      <c r="B107" s="210"/>
      <c r="C107" s="818"/>
      <c r="D107" s="819"/>
      <c r="E107" s="820"/>
      <c r="F107" s="773"/>
      <c r="G107" s="774" t="str">
        <f t="shared" si="206"/>
        <v/>
      </c>
      <c r="H107" s="773"/>
      <c r="I107" s="774" t="str">
        <f t="shared" si="207"/>
        <v/>
      </c>
      <c r="J107" s="821" t="str">
        <f t="shared" si="208"/>
        <v/>
      </c>
      <c r="K107" s="773"/>
      <c r="L107" s="774" t="str">
        <f t="shared" si="209"/>
        <v/>
      </c>
      <c r="M107" s="773"/>
      <c r="N107" s="774" t="str">
        <f t="shared" ref="N107" si="279">IF(OR($C107="",M107=""),"",INDEX(randopsluiting_scores,MATCH(M107,randopsluiting_keuzes,0)))</f>
        <v/>
      </c>
      <c r="O107" s="821" t="str">
        <f t="shared" si="211"/>
        <v/>
      </c>
      <c r="P107" s="778"/>
      <c r="Q107" s="822" t="str">
        <f t="shared" si="212"/>
        <v/>
      </c>
      <c r="R107" s="14"/>
      <c r="S107" s="823"/>
      <c r="T107" s="777" t="str">
        <f t="shared" ref="T107" si="280">IF(OR($C107="",S107=""),"",INDEX(kwaliteitsfactor_scores,MATCH(S107,kwaliteitsfactor_keuzes,0)))</f>
        <v/>
      </c>
      <c r="U107" s="776"/>
      <c r="V107" s="784" t="str">
        <f t="shared" ref="V107" si="281">IF(OR($C107="",U107=""),"",INDEX(marktwaarde_scores,MATCH(U107,marktwaarde_keuzes,0)))</f>
        <v/>
      </c>
      <c r="W107" s="824" t="str">
        <f t="shared" si="215"/>
        <v/>
      </c>
      <c r="X107" s="780"/>
    </row>
    <row r="108" spans="2:24" s="116" customFormat="1" hidden="1" outlineLevel="1">
      <c r="B108" s="210"/>
      <c r="C108" s="818"/>
      <c r="D108" s="819"/>
      <c r="E108" s="820"/>
      <c r="F108" s="773"/>
      <c r="G108" s="774" t="str">
        <f t="shared" si="206"/>
        <v/>
      </c>
      <c r="H108" s="773"/>
      <c r="I108" s="774" t="str">
        <f t="shared" si="207"/>
        <v/>
      </c>
      <c r="J108" s="821" t="str">
        <f t="shared" si="208"/>
        <v/>
      </c>
      <c r="K108" s="773"/>
      <c r="L108" s="774" t="str">
        <f t="shared" si="209"/>
        <v/>
      </c>
      <c r="M108" s="773"/>
      <c r="N108" s="774" t="str">
        <f t="shared" ref="N108" si="282">IF(OR($C108="",M108=""),"",INDEX(randopsluiting_scores,MATCH(M108,randopsluiting_keuzes,0)))</f>
        <v/>
      </c>
      <c r="O108" s="821" t="str">
        <f t="shared" si="211"/>
        <v/>
      </c>
      <c r="P108" s="778"/>
      <c r="Q108" s="822" t="str">
        <f t="shared" si="212"/>
        <v/>
      </c>
      <c r="R108" s="14"/>
      <c r="S108" s="823"/>
      <c r="T108" s="777" t="str">
        <f t="shared" ref="T108" si="283">IF(OR($C108="",S108=""),"",INDEX(kwaliteitsfactor_scores,MATCH(S108,kwaliteitsfactor_keuzes,0)))</f>
        <v/>
      </c>
      <c r="U108" s="776"/>
      <c r="V108" s="784" t="str">
        <f t="shared" ref="V108" si="284">IF(OR($C108="",U108=""),"",INDEX(marktwaarde_scores,MATCH(U108,marktwaarde_keuzes,0)))</f>
        <v/>
      </c>
      <c r="W108" s="824" t="str">
        <f t="shared" si="215"/>
        <v/>
      </c>
      <c r="X108" s="780"/>
    </row>
    <row r="109" spans="2:24" s="116" customFormat="1" hidden="1" outlineLevel="1">
      <c r="B109" s="210"/>
      <c r="C109" s="818"/>
      <c r="D109" s="819"/>
      <c r="E109" s="820"/>
      <c r="F109" s="773"/>
      <c r="G109" s="774" t="str">
        <f t="shared" si="206"/>
        <v/>
      </c>
      <c r="H109" s="773"/>
      <c r="I109" s="774" t="str">
        <f t="shared" si="207"/>
        <v/>
      </c>
      <c r="J109" s="821" t="str">
        <f t="shared" si="208"/>
        <v/>
      </c>
      <c r="K109" s="773"/>
      <c r="L109" s="774" t="str">
        <f t="shared" si="209"/>
        <v/>
      </c>
      <c r="M109" s="773"/>
      <c r="N109" s="774" t="str">
        <f t="shared" ref="N109" si="285">IF(OR($C109="",M109=""),"",INDEX(randopsluiting_scores,MATCH(M109,randopsluiting_keuzes,0)))</f>
        <v/>
      </c>
      <c r="O109" s="821" t="str">
        <f t="shared" si="211"/>
        <v/>
      </c>
      <c r="P109" s="778"/>
      <c r="Q109" s="822" t="str">
        <f t="shared" si="212"/>
        <v/>
      </c>
      <c r="R109" s="14"/>
      <c r="S109" s="823"/>
      <c r="T109" s="777" t="str">
        <f t="shared" ref="T109" si="286">IF(OR($C109="",S109=""),"",INDEX(kwaliteitsfactor_scores,MATCH(S109,kwaliteitsfactor_keuzes,0)))</f>
        <v/>
      </c>
      <c r="U109" s="776"/>
      <c r="V109" s="784" t="str">
        <f t="shared" ref="V109" si="287">IF(OR($C109="",U109=""),"",INDEX(marktwaarde_scores,MATCH(U109,marktwaarde_keuzes,0)))</f>
        <v/>
      </c>
      <c r="W109" s="824" t="str">
        <f t="shared" si="215"/>
        <v/>
      </c>
      <c r="X109" s="780"/>
    </row>
    <row r="110" spans="2:24" s="116" customFormat="1" hidden="1" outlineLevel="1">
      <c r="B110" s="210"/>
      <c r="C110" s="818"/>
      <c r="D110" s="819"/>
      <c r="E110" s="820"/>
      <c r="F110" s="773"/>
      <c r="G110" s="774" t="str">
        <f t="shared" si="206"/>
        <v/>
      </c>
      <c r="H110" s="773"/>
      <c r="I110" s="774" t="str">
        <f t="shared" si="207"/>
        <v/>
      </c>
      <c r="J110" s="821" t="str">
        <f t="shared" si="208"/>
        <v/>
      </c>
      <c r="K110" s="773"/>
      <c r="L110" s="774" t="str">
        <f t="shared" si="209"/>
        <v/>
      </c>
      <c r="M110" s="773"/>
      <c r="N110" s="774" t="str">
        <f t="shared" ref="N110" si="288">IF(OR($C110="",M110=""),"",INDEX(randopsluiting_scores,MATCH(M110,randopsluiting_keuzes,0)))</f>
        <v/>
      </c>
      <c r="O110" s="821" t="str">
        <f t="shared" si="211"/>
        <v/>
      </c>
      <c r="P110" s="778"/>
      <c r="Q110" s="822" t="str">
        <f t="shared" si="212"/>
        <v/>
      </c>
      <c r="R110" s="14"/>
      <c r="S110" s="823"/>
      <c r="T110" s="777" t="str">
        <f t="shared" ref="T110" si="289">IF(OR($C110="",S110=""),"",INDEX(kwaliteitsfactor_scores,MATCH(S110,kwaliteitsfactor_keuzes,0)))</f>
        <v/>
      </c>
      <c r="U110" s="776"/>
      <c r="V110" s="784" t="str">
        <f t="shared" ref="V110" si="290">IF(OR($C110="",U110=""),"",INDEX(marktwaarde_scores,MATCH(U110,marktwaarde_keuzes,0)))</f>
        <v/>
      </c>
      <c r="W110" s="824" t="str">
        <f t="shared" si="215"/>
        <v/>
      </c>
      <c r="X110" s="780"/>
    </row>
    <row r="111" spans="2:24" s="116" customFormat="1" hidden="1" outlineLevel="1">
      <c r="B111" s="210"/>
      <c r="C111" s="818"/>
      <c r="D111" s="819"/>
      <c r="E111" s="820"/>
      <c r="F111" s="773"/>
      <c r="G111" s="774" t="str">
        <f t="shared" si="206"/>
        <v/>
      </c>
      <c r="H111" s="773"/>
      <c r="I111" s="774" t="str">
        <f t="shared" si="207"/>
        <v/>
      </c>
      <c r="J111" s="821" t="str">
        <f t="shared" si="208"/>
        <v/>
      </c>
      <c r="K111" s="773"/>
      <c r="L111" s="774" t="str">
        <f t="shared" si="209"/>
        <v/>
      </c>
      <c r="M111" s="773"/>
      <c r="N111" s="774" t="str">
        <f t="shared" ref="N111" si="291">IF(OR($C111="",M111=""),"",INDEX(randopsluiting_scores,MATCH(M111,randopsluiting_keuzes,0)))</f>
        <v/>
      </c>
      <c r="O111" s="821" t="str">
        <f t="shared" si="211"/>
        <v/>
      </c>
      <c r="P111" s="778"/>
      <c r="Q111" s="822" t="str">
        <f t="shared" si="212"/>
        <v/>
      </c>
      <c r="R111" s="14"/>
      <c r="S111" s="823"/>
      <c r="T111" s="777" t="str">
        <f t="shared" ref="T111" si="292">IF(OR($C111="",S111=""),"",INDEX(kwaliteitsfactor_scores,MATCH(S111,kwaliteitsfactor_keuzes,0)))</f>
        <v/>
      </c>
      <c r="U111" s="776"/>
      <c r="V111" s="784" t="str">
        <f t="shared" ref="V111" si="293">IF(OR($C111="",U111=""),"",INDEX(marktwaarde_scores,MATCH(U111,marktwaarde_keuzes,0)))</f>
        <v/>
      </c>
      <c r="W111" s="824" t="str">
        <f t="shared" si="215"/>
        <v/>
      </c>
      <c r="X111" s="780"/>
    </row>
    <row r="112" spans="2:24" s="116" customFormat="1" hidden="1" outlineLevel="1">
      <c r="B112" s="210"/>
      <c r="C112" s="818"/>
      <c r="D112" s="819"/>
      <c r="E112" s="820"/>
      <c r="F112" s="773"/>
      <c r="G112" s="774" t="str">
        <f t="shared" si="206"/>
        <v/>
      </c>
      <c r="H112" s="773"/>
      <c r="I112" s="774" t="str">
        <f t="shared" si="207"/>
        <v/>
      </c>
      <c r="J112" s="821" t="str">
        <f t="shared" si="208"/>
        <v/>
      </c>
      <c r="K112" s="773"/>
      <c r="L112" s="774" t="str">
        <f t="shared" si="209"/>
        <v/>
      </c>
      <c r="M112" s="773"/>
      <c r="N112" s="774" t="str">
        <f t="shared" ref="N112" si="294">IF(OR($C112="",M112=""),"",INDEX(randopsluiting_scores,MATCH(M112,randopsluiting_keuzes,0)))</f>
        <v/>
      </c>
      <c r="O112" s="821" t="str">
        <f t="shared" si="211"/>
        <v/>
      </c>
      <c r="P112" s="778"/>
      <c r="Q112" s="822" t="str">
        <f t="shared" si="212"/>
        <v/>
      </c>
      <c r="R112" s="14"/>
      <c r="S112" s="823"/>
      <c r="T112" s="777" t="str">
        <f t="shared" ref="T112" si="295">IF(OR($C112="",S112=""),"",INDEX(kwaliteitsfactor_scores,MATCH(S112,kwaliteitsfactor_keuzes,0)))</f>
        <v/>
      </c>
      <c r="U112" s="776"/>
      <c r="V112" s="784" t="str">
        <f t="shared" ref="V112" si="296">IF(OR($C112="",U112=""),"",INDEX(marktwaarde_scores,MATCH(U112,marktwaarde_keuzes,0)))</f>
        <v/>
      </c>
      <c r="W112" s="824" t="str">
        <f t="shared" si="215"/>
        <v/>
      </c>
      <c r="X112" s="780"/>
    </row>
    <row r="113" spans="1:24" s="116" customFormat="1" hidden="1" outlineLevel="1">
      <c r="B113" s="210"/>
      <c r="C113" s="818"/>
      <c r="D113" s="819"/>
      <c r="E113" s="820"/>
      <c r="F113" s="773"/>
      <c r="G113" s="774" t="str">
        <f t="shared" si="206"/>
        <v/>
      </c>
      <c r="H113" s="773"/>
      <c r="I113" s="774" t="str">
        <f t="shared" si="207"/>
        <v/>
      </c>
      <c r="J113" s="821" t="str">
        <f t="shared" si="208"/>
        <v/>
      </c>
      <c r="K113" s="773"/>
      <c r="L113" s="774" t="str">
        <f t="shared" si="209"/>
        <v/>
      </c>
      <c r="M113" s="773"/>
      <c r="N113" s="774" t="str">
        <f t="shared" ref="N113" si="297">IF(OR($C113="",M113=""),"",INDEX(randopsluiting_scores,MATCH(M113,randopsluiting_keuzes,0)))</f>
        <v/>
      </c>
      <c r="O113" s="821" t="str">
        <f t="shared" si="211"/>
        <v/>
      </c>
      <c r="P113" s="778"/>
      <c r="Q113" s="822" t="str">
        <f t="shared" si="212"/>
        <v/>
      </c>
      <c r="R113" s="14"/>
      <c r="S113" s="823"/>
      <c r="T113" s="777" t="str">
        <f t="shared" ref="T113" si="298">IF(OR($C113="",S113=""),"",INDEX(kwaliteitsfactor_scores,MATCH(S113,kwaliteitsfactor_keuzes,0)))</f>
        <v/>
      </c>
      <c r="U113" s="776"/>
      <c r="V113" s="784" t="str">
        <f t="shared" ref="V113" si="299">IF(OR($C113="",U113=""),"",INDEX(marktwaarde_scores,MATCH(U113,marktwaarde_keuzes,0)))</f>
        <v/>
      </c>
      <c r="W113" s="824" t="str">
        <f t="shared" si="215"/>
        <v/>
      </c>
      <c r="X113" s="780"/>
    </row>
    <row r="114" spans="1:24" s="116" customFormat="1" hidden="1" outlineLevel="1">
      <c r="B114" s="210"/>
      <c r="C114" s="818"/>
      <c r="D114" s="819"/>
      <c r="E114" s="820"/>
      <c r="F114" s="773"/>
      <c r="G114" s="774" t="str">
        <f t="shared" si="206"/>
        <v/>
      </c>
      <c r="H114" s="773"/>
      <c r="I114" s="774" t="str">
        <f t="shared" si="207"/>
        <v/>
      </c>
      <c r="J114" s="821" t="str">
        <f t="shared" si="208"/>
        <v/>
      </c>
      <c r="K114" s="773"/>
      <c r="L114" s="774" t="str">
        <f t="shared" si="209"/>
        <v/>
      </c>
      <c r="M114" s="773"/>
      <c r="N114" s="774" t="str">
        <f t="shared" ref="N114" si="300">IF(OR($C114="",M114=""),"",INDEX(randopsluiting_scores,MATCH(M114,randopsluiting_keuzes,0)))</f>
        <v/>
      </c>
      <c r="O114" s="821" t="str">
        <f t="shared" si="211"/>
        <v/>
      </c>
      <c r="P114" s="778"/>
      <c r="Q114" s="822" t="str">
        <f t="shared" si="212"/>
        <v/>
      </c>
      <c r="R114" s="14"/>
      <c r="S114" s="823"/>
      <c r="T114" s="777" t="str">
        <f t="shared" ref="T114" si="301">IF(OR($C114="",S114=""),"",INDEX(kwaliteitsfactor_scores,MATCH(S114,kwaliteitsfactor_keuzes,0)))</f>
        <v/>
      </c>
      <c r="U114" s="776"/>
      <c r="V114" s="784" t="str">
        <f t="shared" ref="V114" si="302">IF(OR($C114="",U114=""),"",INDEX(marktwaarde_scores,MATCH(U114,marktwaarde_keuzes,0)))</f>
        <v/>
      </c>
      <c r="W114" s="824" t="str">
        <f t="shared" si="215"/>
        <v/>
      </c>
      <c r="X114" s="780"/>
    </row>
    <row r="115" spans="1:24" s="116" customFormat="1" hidden="1" outlineLevel="1">
      <c r="B115" s="210"/>
      <c r="C115" s="818"/>
      <c r="D115" s="819"/>
      <c r="E115" s="820"/>
      <c r="F115" s="773"/>
      <c r="G115" s="774" t="str">
        <f t="shared" ref="G115:G121" si="303">IF(OR($C115="",F115=""),"",INDEX(type_verbinding_scores,MATCH(F115,type_verbinding_keuzes,0)))</f>
        <v/>
      </c>
      <c r="H115" s="773"/>
      <c r="I115" s="774" t="str">
        <f t="shared" ref="I115:I121" si="304">IF(OR($C115="",H115=""),"",INDEX(toegankelijkheid_verbinding_scores,MATCH(H115,toegankelijkheid_verbinding_keuzes,0)))</f>
        <v/>
      </c>
      <c r="J115" s="821" t="str">
        <f t="shared" ref="J115:J121" si="305">IF(OR($C115="",$G115="",$I115=""),"",2/((1/G115)+(1/I115)))</f>
        <v/>
      </c>
      <c r="K115" s="773"/>
      <c r="L115" s="774" t="str">
        <f t="shared" ref="L115:L121" si="306">IF(OR($C115="",K115=""),"",INDEX(doorkruisingen_scores,MATCH(K115,doorkruisingen_keuzes,0)))</f>
        <v/>
      </c>
      <c r="M115" s="773"/>
      <c r="N115" s="774" t="str">
        <f t="shared" ref="N115:N119" si="307">IF(OR($C115="",M115=""),"",INDEX(randopsluiting_scores,MATCH(M115,randopsluiting_keuzes,0)))</f>
        <v/>
      </c>
      <c r="O115" s="821" t="str">
        <f t="shared" ref="O115:O121" si="308">IF(OR($C115="",$K115="",$M115=""),"",2/((1/L115)+(1/N115)))</f>
        <v/>
      </c>
      <c r="P115" s="778"/>
      <c r="Q115" s="822" t="str">
        <f t="shared" ref="Q115:Q119" si="309">IF(OR($C115="",$G115="",$I115="",$L115="",$N115=""),"",4/((1/G115)+(1/I115)+(1/L115)+(1/N115)))</f>
        <v/>
      </c>
      <c r="R115" s="14"/>
      <c r="S115" s="823"/>
      <c r="T115" s="777" t="str">
        <f t="shared" ref="T115:T121" si="310">IF(OR($C115="",S115=""),"",INDEX(kwaliteitsfactor_scores,MATCH(S115,kwaliteitsfactor_keuzes,0)))</f>
        <v/>
      </c>
      <c r="U115" s="776"/>
      <c r="V115" s="784" t="str">
        <f t="shared" ref="V115:V121" si="311">IF(OR($C115="",U115=""),"",INDEX(marktwaarde_scores,MATCH(U115,marktwaarde_keuzes,0)))</f>
        <v/>
      </c>
      <c r="W115" s="824"/>
      <c r="X115" s="780"/>
    </row>
    <row r="116" spans="1:24" s="116" customFormat="1" hidden="1" outlineLevel="1">
      <c r="B116" s="210"/>
      <c r="C116" s="818"/>
      <c r="D116" s="819"/>
      <c r="E116" s="820"/>
      <c r="F116" s="773"/>
      <c r="G116" s="774" t="str">
        <f t="shared" si="303"/>
        <v/>
      </c>
      <c r="H116" s="773"/>
      <c r="I116" s="774" t="str">
        <f t="shared" si="304"/>
        <v/>
      </c>
      <c r="J116" s="821" t="str">
        <f t="shared" si="305"/>
        <v/>
      </c>
      <c r="K116" s="773"/>
      <c r="L116" s="774" t="str">
        <f t="shared" si="306"/>
        <v/>
      </c>
      <c r="M116" s="773"/>
      <c r="N116" s="774" t="str">
        <f t="shared" si="307"/>
        <v/>
      </c>
      <c r="O116" s="821" t="str">
        <f t="shared" si="308"/>
        <v/>
      </c>
      <c r="P116" s="778"/>
      <c r="Q116" s="822" t="str">
        <f t="shared" si="309"/>
        <v/>
      </c>
      <c r="R116" s="14"/>
      <c r="S116" s="823"/>
      <c r="T116" s="777" t="str">
        <f t="shared" si="310"/>
        <v/>
      </c>
      <c r="U116" s="776"/>
      <c r="V116" s="784" t="str">
        <f t="shared" si="311"/>
        <v/>
      </c>
      <c r="W116" s="824"/>
      <c r="X116" s="780"/>
    </row>
    <row r="117" spans="1:24" s="116" customFormat="1" hidden="1" outlineLevel="1">
      <c r="B117" s="210"/>
      <c r="C117" s="818"/>
      <c r="D117" s="819"/>
      <c r="E117" s="820"/>
      <c r="F117" s="773"/>
      <c r="G117" s="774" t="str">
        <f t="shared" si="303"/>
        <v/>
      </c>
      <c r="H117" s="773"/>
      <c r="I117" s="774" t="str">
        <f t="shared" si="304"/>
        <v/>
      </c>
      <c r="J117" s="821" t="str">
        <f t="shared" si="305"/>
        <v/>
      </c>
      <c r="K117" s="773"/>
      <c r="L117" s="774" t="str">
        <f t="shared" si="306"/>
        <v/>
      </c>
      <c r="M117" s="773"/>
      <c r="N117" s="774" t="str">
        <f t="shared" si="307"/>
        <v/>
      </c>
      <c r="O117" s="821" t="str">
        <f t="shared" si="308"/>
        <v/>
      </c>
      <c r="P117" s="778"/>
      <c r="Q117" s="822" t="str">
        <f t="shared" si="309"/>
        <v/>
      </c>
      <c r="R117" s="14"/>
      <c r="S117" s="823"/>
      <c r="T117" s="777" t="str">
        <f t="shared" si="310"/>
        <v/>
      </c>
      <c r="U117" s="776"/>
      <c r="V117" s="784" t="str">
        <f t="shared" si="311"/>
        <v/>
      </c>
      <c r="W117" s="824"/>
      <c r="X117" s="780"/>
    </row>
    <row r="118" spans="1:24" s="116" customFormat="1" hidden="1" outlineLevel="1">
      <c r="B118" s="210"/>
      <c r="C118" s="818"/>
      <c r="D118" s="819"/>
      <c r="E118" s="820"/>
      <c r="F118" s="773"/>
      <c r="G118" s="774" t="str">
        <f t="shared" si="303"/>
        <v/>
      </c>
      <c r="H118" s="773"/>
      <c r="I118" s="774" t="str">
        <f t="shared" si="304"/>
        <v/>
      </c>
      <c r="J118" s="821" t="str">
        <f t="shared" si="305"/>
        <v/>
      </c>
      <c r="K118" s="773"/>
      <c r="L118" s="774" t="str">
        <f t="shared" si="306"/>
        <v/>
      </c>
      <c r="M118" s="773"/>
      <c r="N118" s="774" t="str">
        <f t="shared" si="307"/>
        <v/>
      </c>
      <c r="O118" s="821" t="str">
        <f t="shared" si="308"/>
        <v/>
      </c>
      <c r="P118" s="778"/>
      <c r="Q118" s="822" t="str">
        <f t="shared" si="309"/>
        <v/>
      </c>
      <c r="R118" s="14"/>
      <c r="S118" s="823"/>
      <c r="T118" s="777" t="str">
        <f t="shared" si="310"/>
        <v/>
      </c>
      <c r="U118" s="776"/>
      <c r="V118" s="784" t="str">
        <f t="shared" si="311"/>
        <v/>
      </c>
      <c r="W118" s="824"/>
      <c r="X118" s="780"/>
    </row>
    <row r="119" spans="1:24" s="116" customFormat="1" hidden="1" outlineLevel="1">
      <c r="B119" s="210"/>
      <c r="C119" s="818"/>
      <c r="D119" s="819"/>
      <c r="E119" s="820"/>
      <c r="F119" s="773"/>
      <c r="G119" s="774" t="str">
        <f t="shared" si="303"/>
        <v/>
      </c>
      <c r="H119" s="773"/>
      <c r="I119" s="774" t="str">
        <f t="shared" si="304"/>
        <v/>
      </c>
      <c r="J119" s="821" t="str">
        <f t="shared" si="305"/>
        <v/>
      </c>
      <c r="K119" s="773"/>
      <c r="L119" s="774" t="str">
        <f t="shared" si="306"/>
        <v/>
      </c>
      <c r="M119" s="773"/>
      <c r="N119" s="774" t="str">
        <f t="shared" si="307"/>
        <v/>
      </c>
      <c r="O119" s="821" t="str">
        <f t="shared" si="308"/>
        <v/>
      </c>
      <c r="P119" s="778"/>
      <c r="Q119" s="822" t="str">
        <f t="shared" si="309"/>
        <v/>
      </c>
      <c r="R119" s="14"/>
      <c r="S119" s="823"/>
      <c r="T119" s="777" t="str">
        <f t="shared" si="310"/>
        <v/>
      </c>
      <c r="U119" s="776"/>
      <c r="V119" s="784" t="str">
        <f t="shared" si="311"/>
        <v/>
      </c>
      <c r="W119" s="824"/>
      <c r="X119" s="780"/>
    </row>
    <row r="120" spans="1:24" s="116" customFormat="1" hidden="1" outlineLevel="1">
      <c r="B120" s="210"/>
      <c r="C120" s="818"/>
      <c r="D120" s="819"/>
      <c r="E120" s="820"/>
      <c r="F120" s="773"/>
      <c r="G120" s="774"/>
      <c r="H120" s="773"/>
      <c r="I120" s="774"/>
      <c r="J120" s="821"/>
      <c r="K120" s="773"/>
      <c r="L120" s="774"/>
      <c r="M120" s="773"/>
      <c r="N120" s="774"/>
      <c r="O120" s="821"/>
      <c r="P120" s="778"/>
      <c r="Q120" s="822"/>
      <c r="R120" s="14"/>
      <c r="S120" s="823"/>
      <c r="T120" s="777"/>
      <c r="U120" s="776"/>
      <c r="V120" s="784"/>
      <c r="W120" s="824"/>
      <c r="X120" s="780"/>
    </row>
    <row r="121" spans="1:24" s="116" customFormat="1" ht="18" hidden="1" outlineLevel="1" thickBot="1">
      <c r="B121" s="210"/>
      <c r="C121" s="825"/>
      <c r="D121" s="826"/>
      <c r="E121" s="826"/>
      <c r="F121" s="827"/>
      <c r="G121" s="828" t="str">
        <f t="shared" si="303"/>
        <v/>
      </c>
      <c r="H121" s="827"/>
      <c r="I121" s="828" t="str">
        <f t="shared" si="304"/>
        <v/>
      </c>
      <c r="J121" s="829" t="str">
        <f t="shared" si="305"/>
        <v/>
      </c>
      <c r="K121" s="827"/>
      <c r="L121" s="828" t="str">
        <f t="shared" si="306"/>
        <v/>
      </c>
      <c r="M121" s="827"/>
      <c r="N121" s="828" t="str">
        <f>IF(OR($C121="",M121=""),"",INDEX(randopsluiting_scores,MATCH(M121,randopsluiting_keuzes,0)))</f>
        <v/>
      </c>
      <c r="O121" s="830" t="str">
        <f t="shared" si="308"/>
        <v/>
      </c>
      <c r="P121" s="831"/>
      <c r="Q121" s="832" t="str">
        <f t="shared" ref="Q121" si="312">IF(OR($C121="",$G121="",$I121="",$L121="",$N121=""),"",4/((1/G121)+(1/I121)+(1/L121)+(1/N121)))</f>
        <v/>
      </c>
      <c r="R121" s="14"/>
      <c r="S121" s="833"/>
      <c r="T121" s="834" t="str">
        <f t="shared" si="310"/>
        <v/>
      </c>
      <c r="U121" s="835"/>
      <c r="V121" s="836" t="str">
        <f t="shared" si="311"/>
        <v/>
      </c>
      <c r="W121" s="837" t="str">
        <f t="shared" ref="W121" si="313">IF(OR($C121="",$P121="",$Q121="",$T121="",$V121="",),"",P121*Q121*T121*V121)</f>
        <v/>
      </c>
      <c r="X121" s="780"/>
    </row>
    <row r="122" spans="1:24" s="116" customFormat="1" collapsed="1">
      <c r="A122" s="872" t="s">
        <v>1369</v>
      </c>
      <c r="B122" s="210"/>
      <c r="C122" s="14"/>
      <c r="D122" s="14"/>
      <c r="E122" s="14"/>
      <c r="F122" s="14"/>
      <c r="G122" s="14"/>
      <c r="H122" s="14"/>
      <c r="I122" s="14"/>
      <c r="J122" s="14"/>
      <c r="K122" s="14"/>
      <c r="L122" s="14"/>
      <c r="M122" s="14"/>
      <c r="N122" s="67"/>
      <c r="O122" s="838" t="s">
        <v>1348</v>
      </c>
      <c r="P122" s="839">
        <f>SUMIF(E21:E121,"Space plan",P21:P121)</f>
        <v>0</v>
      </c>
      <c r="Q122" s="840" t="str" cm="1">
        <f t="array" ref="Q122">IFERROR(1/SUMIF(E21:E121,"Space plan",P21:P121)*SUMPRODUCT(--(E21:E121="Space plan"),P21:P121,Q21:Q121),"")</f>
        <v/>
      </c>
      <c r="R122" s="14"/>
      <c r="S122" s="14"/>
      <c r="T122" s="14"/>
      <c r="U122" s="14"/>
      <c r="V122" s="841" t="s">
        <v>1349</v>
      </c>
      <c r="W122" s="842">
        <f>SUMIF(E21:E121,"Space plan",W21:W121)</f>
        <v>0</v>
      </c>
      <c r="X122" s="780"/>
    </row>
    <row r="123" spans="1:24" s="116" customFormat="1">
      <c r="B123" s="210"/>
      <c r="C123" s="14"/>
      <c r="D123" s="14"/>
      <c r="E123" s="14"/>
      <c r="F123" s="14"/>
      <c r="G123" s="14"/>
      <c r="H123" s="14"/>
      <c r="I123" s="14"/>
      <c r="J123" s="14"/>
      <c r="K123" s="14"/>
      <c r="L123" s="14"/>
      <c r="M123" s="14"/>
      <c r="N123" s="67"/>
      <c r="O123" s="843" t="s">
        <v>1350</v>
      </c>
      <c r="P123" s="844">
        <f>SUMIF(E21:E121,"Services",P21:P121)</f>
        <v>0</v>
      </c>
      <c r="Q123" s="845" t="str" cm="1">
        <f t="array" ref="Q123">IFERROR(1/SUMIF(E21:E121,"Services",P21:P121)*SUMPRODUCT(--(E21:E121="Services"),P21:P121,Q21:Q121),"")</f>
        <v/>
      </c>
      <c r="R123" s="14"/>
      <c r="S123" s="14"/>
      <c r="T123" s="14"/>
      <c r="U123" s="14"/>
      <c r="V123" s="846" t="s">
        <v>1351</v>
      </c>
      <c r="W123" s="847">
        <f>SUMIF(E21:E121,"Services",W21:W121)</f>
        <v>0</v>
      </c>
      <c r="X123" s="780"/>
    </row>
    <row r="124" spans="1:24" s="116" customFormat="1">
      <c r="B124" s="210"/>
      <c r="C124" s="14"/>
      <c r="D124" s="14"/>
      <c r="E124" s="14"/>
      <c r="F124" s="14"/>
      <c r="G124" s="14"/>
      <c r="H124" s="14"/>
      <c r="I124" s="14"/>
      <c r="J124" s="14"/>
      <c r="K124" s="14"/>
      <c r="L124" s="14"/>
      <c r="M124" s="14"/>
      <c r="N124" s="67"/>
      <c r="O124" s="843" t="s">
        <v>1352</v>
      </c>
      <c r="P124" s="844">
        <f>SUMIF(E21:E121,"Skin",P21:P121)</f>
        <v>0</v>
      </c>
      <c r="Q124" s="845" t="str" cm="1">
        <f t="array" ref="Q124">IFERROR(1/SUMIF(E21:E121,"Skin",P21:P121)*SUMPRODUCT(--(E21:E121="Skin"),P21:P121,Q21:Q121),"")</f>
        <v/>
      </c>
      <c r="R124" s="14"/>
      <c r="S124" s="14"/>
      <c r="T124" s="14"/>
      <c r="U124" s="14"/>
      <c r="V124" s="846" t="s">
        <v>1353</v>
      </c>
      <c r="W124" s="847">
        <f>SUMIF(E21:E121,"Skin",W21:W121)</f>
        <v>0</v>
      </c>
      <c r="X124" s="780"/>
    </row>
    <row r="125" spans="1:24" s="116" customFormat="1" ht="18" thickBot="1">
      <c r="B125" s="210"/>
      <c r="C125" s="14"/>
      <c r="D125" s="14"/>
      <c r="E125" s="14"/>
      <c r="F125" s="14"/>
      <c r="G125" s="14"/>
      <c r="H125" s="14"/>
      <c r="I125" s="14"/>
      <c r="J125" s="14"/>
      <c r="K125" s="14"/>
      <c r="L125" s="14"/>
      <c r="M125" s="14"/>
      <c r="N125" s="67"/>
      <c r="O125" s="848" t="s">
        <v>1354</v>
      </c>
      <c r="P125" s="849">
        <f>SUMIF(E21:E121,"Structure",P21:P121)</f>
        <v>0</v>
      </c>
      <c r="Q125" s="850" t="str" cm="1">
        <f t="array" ref="Q125">IFERROR(1/SUMIF(E21:E121,"Structure",P21:P121)*SUMPRODUCT(--(E21:E121="Structure"),P21:P121,Q21:Q121),"")</f>
        <v/>
      </c>
      <c r="R125" s="14"/>
      <c r="S125" s="14"/>
      <c r="T125" s="14"/>
      <c r="U125" s="14"/>
      <c r="V125" s="851" t="s">
        <v>1355</v>
      </c>
      <c r="W125" s="852">
        <f>SUMIF(E21:E121,"Structure",W21:W121)</f>
        <v>0</v>
      </c>
      <c r="X125" s="780"/>
    </row>
    <row r="126" spans="1:24" s="19" customFormat="1" ht="18" thickBot="1">
      <c r="B126" s="14"/>
      <c r="C126" s="14"/>
      <c r="D126" s="14"/>
      <c r="E126" s="14"/>
      <c r="F126" s="14"/>
      <c r="G126" s="14"/>
      <c r="H126" s="14"/>
      <c r="I126" s="14"/>
      <c r="J126" s="14"/>
      <c r="K126" s="14"/>
      <c r="L126" s="14"/>
      <c r="M126" s="14"/>
      <c r="N126" s="67"/>
      <c r="O126" s="853" t="s">
        <v>1356</v>
      </c>
      <c r="P126" s="854">
        <f>E131</f>
        <v>0</v>
      </c>
      <c r="Q126" s="855" t="str">
        <f>IFERROR(1/P126*SUMPRODUCT(P21:P121,Q21:Q121),"")</f>
        <v/>
      </c>
      <c r="R126" s="14"/>
      <c r="S126" s="14"/>
      <c r="T126" s="14"/>
      <c r="U126" s="14"/>
      <c r="V126" s="856" t="s">
        <v>318</v>
      </c>
      <c r="W126" s="857">
        <f>SUM(W21:W121)</f>
        <v>0</v>
      </c>
      <c r="X126" s="15"/>
    </row>
    <row r="127" spans="1:24" s="18" customFormat="1">
      <c r="B127" s="14"/>
      <c r="C127" s="67"/>
      <c r="D127" s="67"/>
      <c r="E127" s="67"/>
      <c r="F127" s="67"/>
      <c r="G127" s="858"/>
      <c r="H127" s="858"/>
      <c r="I127" s="858"/>
      <c r="J127" s="34"/>
      <c r="K127" s="34"/>
      <c r="L127" s="14"/>
      <c r="M127" s="12"/>
      <c r="N127" s="14"/>
      <c r="O127" s="12"/>
      <c r="P127" s="14"/>
      <c r="Q127" s="14"/>
      <c r="R127" s="14"/>
      <c r="S127" s="14"/>
      <c r="T127" s="14"/>
      <c r="U127" s="12"/>
      <c r="V127" s="167"/>
      <c r="W127" s="768"/>
      <c r="X127" s="15"/>
    </row>
    <row r="128" spans="1:24" s="18" customFormat="1">
      <c r="B128" s="67"/>
      <c r="C128" s="15" t="s">
        <v>849</v>
      </c>
      <c r="D128" s="15"/>
      <c r="E128" s="15"/>
      <c r="F128" s="15"/>
      <c r="G128" s="15"/>
      <c r="H128" s="161"/>
      <c r="I128" s="15"/>
      <c r="J128" s="15"/>
      <c r="K128" s="15"/>
      <c r="L128" s="14"/>
      <c r="M128" s="12"/>
      <c r="N128" s="14"/>
      <c r="O128" s="12"/>
      <c r="P128" s="14"/>
      <c r="Q128" s="14"/>
      <c r="R128" s="14"/>
      <c r="S128" s="14"/>
      <c r="T128" s="14"/>
      <c r="U128" s="12"/>
      <c r="V128" s="167"/>
      <c r="W128" s="768"/>
      <c r="X128" s="15"/>
    </row>
    <row r="129" spans="2:25" s="18" customFormat="1">
      <c r="B129" s="67"/>
      <c r="C129" s="57"/>
      <c r="D129" s="57"/>
      <c r="E129" s="26" t="s">
        <v>850</v>
      </c>
      <c r="F129" s="57"/>
      <c r="G129" s="26" t="s">
        <v>851</v>
      </c>
      <c r="H129" s="26"/>
      <c r="I129" s="26"/>
      <c r="J129" s="15"/>
      <c r="K129" s="15"/>
      <c r="L129" s="14"/>
      <c r="M129" s="12"/>
      <c r="N129" s="14"/>
      <c r="O129" s="12"/>
      <c r="P129" s="14"/>
      <c r="Q129" s="14"/>
      <c r="R129" s="14"/>
      <c r="S129" s="14"/>
      <c r="T129" s="14"/>
      <c r="U129" s="12"/>
      <c r="V129" s="167"/>
      <c r="W129" s="768"/>
      <c r="X129" s="15"/>
    </row>
    <row r="130" spans="2:25" s="18" customFormat="1">
      <c r="B130" s="67"/>
      <c r="C130" s="57"/>
      <c r="D130" s="57"/>
      <c r="E130" s="26" t="s">
        <v>852</v>
      </c>
      <c r="F130" s="57"/>
      <c r="G130" s="26" t="s">
        <v>853</v>
      </c>
      <c r="H130" s="26"/>
      <c r="I130" s="26"/>
      <c r="J130" s="15"/>
      <c r="K130" s="15"/>
      <c r="L130" s="14"/>
      <c r="M130" s="12"/>
      <c r="N130" s="14"/>
      <c r="O130" s="12"/>
      <c r="P130" s="14"/>
      <c r="Q130" s="14"/>
      <c r="R130" s="14"/>
      <c r="S130" s="14"/>
      <c r="T130" s="14"/>
      <c r="U130" s="12"/>
      <c r="V130" s="167"/>
      <c r="W130" s="768"/>
      <c r="X130" s="15"/>
    </row>
    <row r="131" spans="2:25" s="18" customFormat="1">
      <c r="B131" s="67"/>
      <c r="C131" s="1705" t="s">
        <v>854</v>
      </c>
      <c r="D131" s="1705"/>
      <c r="E131" s="162"/>
      <c r="F131" s="57"/>
      <c r="G131" s="26"/>
      <c r="H131" s="26"/>
      <c r="I131" s="26"/>
      <c r="J131" s="15"/>
      <c r="K131" s="15"/>
      <c r="L131" s="14"/>
      <c r="M131" s="12"/>
      <c r="N131" s="14"/>
      <c r="O131" s="12"/>
      <c r="P131" s="14"/>
      <c r="Q131" s="14"/>
      <c r="R131" s="14"/>
      <c r="S131" s="14"/>
      <c r="T131" s="14"/>
      <c r="U131" s="12"/>
      <c r="V131" s="167"/>
      <c r="W131" s="768"/>
      <c r="X131" s="15"/>
    </row>
    <row r="132" spans="2:25" s="18" customFormat="1">
      <c r="B132" s="67"/>
      <c r="C132" s="1705" t="s">
        <v>855</v>
      </c>
      <c r="D132" s="1705"/>
      <c r="E132" s="162"/>
      <c r="F132" s="57"/>
      <c r="G132" s="26"/>
      <c r="H132" s="26"/>
      <c r="I132" s="26"/>
      <c r="J132" s="15"/>
      <c r="K132" s="15"/>
      <c r="L132" s="14"/>
      <c r="M132" s="12"/>
      <c r="N132" s="14"/>
      <c r="O132" s="12"/>
      <c r="P132" s="12"/>
      <c r="Q132" s="14"/>
      <c r="R132" s="14"/>
      <c r="S132" s="14"/>
      <c r="T132" s="14"/>
      <c r="U132" s="12"/>
      <c r="V132" s="167"/>
      <c r="W132" s="768"/>
      <c r="X132" s="15"/>
    </row>
    <row r="133" spans="2:25" s="18" customFormat="1">
      <c r="B133" s="67"/>
      <c r="C133" s="1736" t="s">
        <v>856</v>
      </c>
      <c r="D133" s="1736"/>
      <c r="E133" s="859">
        <f>E131-E132</f>
        <v>0</v>
      </c>
      <c r="F133" s="859"/>
      <c r="G133" s="860">
        <v>1</v>
      </c>
      <c r="H133" s="859"/>
      <c r="I133" s="861">
        <f>E133*G133</f>
        <v>0</v>
      </c>
      <c r="J133" s="15"/>
      <c r="K133" s="15"/>
      <c r="L133" s="14"/>
      <c r="M133" s="12"/>
      <c r="N133" s="14"/>
      <c r="O133" s="12"/>
      <c r="P133" s="12"/>
      <c r="Q133" s="14"/>
      <c r="R133" s="14"/>
      <c r="S133" s="14"/>
      <c r="T133" s="14"/>
      <c r="U133" s="12"/>
      <c r="V133" s="167"/>
      <c r="W133" s="768"/>
      <c r="X133" s="15"/>
    </row>
    <row r="134" spans="2:25" s="19" customFormat="1">
      <c r="B134" s="14"/>
      <c r="C134" s="41"/>
      <c r="D134" s="14"/>
      <c r="E134" s="14"/>
      <c r="F134" s="14"/>
      <c r="G134" s="14"/>
      <c r="H134" s="14"/>
      <c r="I134" s="14"/>
      <c r="J134" s="15"/>
      <c r="K134" s="14"/>
      <c r="L134" s="14"/>
      <c r="M134" s="14"/>
      <c r="N134" s="14"/>
      <c r="O134" s="12"/>
      <c r="P134" s="14"/>
      <c r="Q134" s="14"/>
      <c r="R134" s="14"/>
      <c r="S134" s="14"/>
      <c r="T134" s="14"/>
      <c r="U134" s="12"/>
      <c r="V134" s="167"/>
      <c r="W134" s="768"/>
      <c r="X134" s="15"/>
    </row>
    <row r="135" spans="2:25" s="19" customFormat="1">
      <c r="B135" s="14"/>
      <c r="C135" s="15" t="s">
        <v>485</v>
      </c>
      <c r="D135" s="15"/>
      <c r="E135" s="15"/>
      <c r="F135" s="15"/>
      <c r="G135" s="15"/>
      <c r="H135" s="15"/>
      <c r="I135" s="15"/>
      <c r="J135" s="15"/>
      <c r="K135" s="15"/>
      <c r="L135" s="15"/>
      <c r="M135" s="15"/>
      <c r="N135" s="14"/>
      <c r="O135" s="12"/>
      <c r="P135" s="67"/>
      <c r="Q135" s="14"/>
      <c r="R135" s="14"/>
      <c r="S135" s="14"/>
      <c r="T135" s="14"/>
      <c r="U135" s="12"/>
      <c r="V135" s="167"/>
      <c r="W135" s="768"/>
      <c r="X135" s="15"/>
    </row>
    <row r="136" spans="2:25" s="763" customFormat="1">
      <c r="B136" s="41"/>
      <c r="C136" s="45" t="s">
        <v>857</v>
      </c>
      <c r="D136" s="22"/>
      <c r="E136" s="22" t="s">
        <v>1341</v>
      </c>
      <c r="F136" s="22" t="str">
        <f>F19</f>
        <v>1.1 type verbinding</v>
      </c>
      <c r="G136" s="22"/>
      <c r="H136" s="22" t="str">
        <f>H19</f>
        <v>1.2 toegankelijkheid</v>
      </c>
      <c r="I136" s="22"/>
      <c r="J136" s="15"/>
      <c r="K136" s="22" t="str">
        <f>K19</f>
        <v>1.3 doorkruising</v>
      </c>
      <c r="L136" s="22"/>
      <c r="M136" s="22" t="str">
        <f>M19</f>
        <v>1.4 randopsluiting</v>
      </c>
      <c r="N136" s="22"/>
      <c r="O136" s="12"/>
      <c r="P136" s="862" t="str">
        <f>P18</f>
        <v>2. MPG product</v>
      </c>
      <c r="Q136" s="14"/>
      <c r="R136" s="14"/>
      <c r="S136" s="22" t="str">
        <f>S18</f>
        <v>3. Kwaliteitsfactor</v>
      </c>
      <c r="T136" s="22"/>
      <c r="U136" s="22" t="str">
        <f>U18</f>
        <v>4. Marktwaarde</v>
      </c>
      <c r="V136" s="22"/>
      <c r="W136" s="771"/>
      <c r="X136" s="15"/>
    </row>
    <row r="137" spans="2:25" s="346" customFormat="1" ht="63.65" customHeight="1">
      <c r="B137" s="764"/>
      <c r="C137" s="765"/>
      <c r="D137" s="766"/>
      <c r="E137" s="765" t="s">
        <v>1357</v>
      </c>
      <c r="F137" s="1718" t="s">
        <v>858</v>
      </c>
      <c r="G137" s="1727"/>
      <c r="H137" s="1718" t="s">
        <v>859</v>
      </c>
      <c r="I137" s="1727"/>
      <c r="J137" s="15"/>
      <c r="K137" s="1718" t="s">
        <v>860</v>
      </c>
      <c r="L137" s="1727"/>
      <c r="M137" s="1718" t="s">
        <v>861</v>
      </c>
      <c r="N137" s="1727"/>
      <c r="O137" s="12"/>
      <c r="P137" s="863" t="s">
        <v>864</v>
      </c>
      <c r="Q137" s="14"/>
      <c r="R137" s="14"/>
      <c r="S137" s="1714" t="s">
        <v>862</v>
      </c>
      <c r="T137" s="1728"/>
      <c r="U137" s="1714" t="s">
        <v>863</v>
      </c>
      <c r="V137" s="1728"/>
      <c r="W137" s="772"/>
      <c r="X137" s="15"/>
    </row>
    <row r="138" spans="2:25" s="18" customFormat="1" ht="45" customHeight="1">
      <c r="B138" s="14"/>
      <c r="C138" s="22" t="s">
        <v>865</v>
      </c>
      <c r="D138" s="38"/>
      <c r="E138" s="864"/>
      <c r="F138" s="1722"/>
      <c r="G138" s="1730"/>
      <c r="H138" s="1722"/>
      <c r="I138" s="1730"/>
      <c r="J138" s="15"/>
      <c r="K138" s="1722"/>
      <c r="L138" s="1730"/>
      <c r="M138" s="1722"/>
      <c r="N138" s="1730"/>
      <c r="O138" s="12"/>
      <c r="P138" s="12"/>
      <c r="Q138" s="14"/>
      <c r="R138" s="14"/>
      <c r="S138" s="1720"/>
      <c r="T138" s="1729"/>
      <c r="U138" s="1720"/>
      <c r="V138" s="1729"/>
      <c r="W138" s="167"/>
      <c r="X138" s="15"/>
      <c r="Y138" s="346"/>
    </row>
    <row r="139" spans="2:25" s="781" customFormat="1" ht="75" customHeight="1">
      <c r="B139" s="658"/>
      <c r="C139" s="455" t="s">
        <v>866</v>
      </c>
      <c r="D139" s="455"/>
      <c r="E139" s="455" t="str" cm="1">
        <f t="array" ref="E139">IFERROR(INDEX(Lagen_van_Brand_toelichting,MATCH(E138,Lagen_van_Brand_keuzes,0)),"")</f>
        <v/>
      </c>
      <c r="F139" s="1721" t="str">
        <f>IFERROR(INDEX(type_verbinding_toelichting,MATCH(F138,type_verbinding_keuzes,0)),"")</f>
        <v/>
      </c>
      <c r="G139" s="1727"/>
      <c r="H139" s="1721" t="str">
        <f>IFERROR(INDEX(toegankelijkheid_verbinding_toelichting,MATCH(H138,toegankelijkheid_verbinding_keuzes,0)),"")</f>
        <v/>
      </c>
      <c r="I139" s="1727"/>
      <c r="J139" s="15"/>
      <c r="K139" s="1721" t="str">
        <f>IFERROR(INDEX(doorkruisingen_toelichting,MATCH(K138,doorkruisingen_keuzes,0)),"")</f>
        <v/>
      </c>
      <c r="L139" s="1727"/>
      <c r="M139" s="1724" t="str" cm="1">
        <f t="array" ref="M139">IFERROR(INDEX(randopsluiting_toelichting,MATCH(M138,randopsluiting_keuzes,0)),"")</f>
        <v/>
      </c>
      <c r="N139" s="1727"/>
      <c r="O139" s="12"/>
      <c r="P139" s="12"/>
      <c r="Q139" s="14"/>
      <c r="R139" s="14"/>
      <c r="S139" s="1721" t="str">
        <f>IFERROR(INDEX(kwaliteitsfactor_toelichting,MATCH(S138,kwaliteitsfactor_keuzes,0)),"")</f>
        <v/>
      </c>
      <c r="T139" s="1727"/>
      <c r="U139" s="1721" t="str">
        <f>IFERROR(INDEX(marktwaarde_toelichting,MATCH(U138,marktwaarde_keuzes,0)),"")</f>
        <v/>
      </c>
      <c r="V139" s="1727"/>
      <c r="W139" s="782"/>
      <c r="X139" s="15"/>
      <c r="Y139" s="346"/>
    </row>
    <row r="140" spans="2:25" s="18" customFormat="1">
      <c r="B140" s="14"/>
      <c r="C140" s="14"/>
      <c r="D140" s="14"/>
      <c r="E140" s="14"/>
      <c r="F140" s="14"/>
      <c r="G140" s="14"/>
      <c r="H140" s="14"/>
      <c r="I140" s="14"/>
      <c r="J140" s="14"/>
      <c r="K140" s="14"/>
      <c r="L140" s="14"/>
      <c r="M140" s="14"/>
      <c r="N140" s="14"/>
      <c r="O140" s="12"/>
      <c r="P140" s="14"/>
      <c r="Q140" s="14"/>
      <c r="R140" s="14"/>
      <c r="S140" s="13"/>
      <c r="T140" s="167"/>
      <c r="U140" s="167"/>
      <c r="V140" s="768"/>
      <c r="W140" s="15"/>
      <c r="X140" s="15"/>
      <c r="Y140" s="346"/>
    </row>
    <row r="141" spans="2:25">
      <c r="B141" s="141" t="str">
        <f>"© W/E adviseurs, Utrecht/Eindhoven, versie rekenhulpmiddelen "&amp;TEXT(Wijzigingsblad!$B$3,"d mmmm jjjj")</f>
        <v>© W/E adviseurs, Utrecht/Eindhoven, versie rekenhulpmiddelen 17 april 2024</v>
      </c>
    </row>
  </sheetData>
  <sheetProtection sheet="1" objects="1" scenarios="1" formatRows="0"/>
  <mergeCells count="28">
    <mergeCell ref="H137:I137"/>
    <mergeCell ref="B3:D3"/>
    <mergeCell ref="D6:E6"/>
    <mergeCell ref="D7:E7"/>
    <mergeCell ref="D8:E8"/>
    <mergeCell ref="D9:E9"/>
    <mergeCell ref="D10:E10"/>
    <mergeCell ref="B14:B19"/>
    <mergeCell ref="C131:D131"/>
    <mergeCell ref="C132:D132"/>
    <mergeCell ref="C133:D133"/>
    <mergeCell ref="F137:G137"/>
    <mergeCell ref="F138:G138"/>
    <mergeCell ref="H138:I138"/>
    <mergeCell ref="K138:L138"/>
    <mergeCell ref="M138:N138"/>
    <mergeCell ref="S138:T138"/>
    <mergeCell ref="U139:V139"/>
    <mergeCell ref="K137:L137"/>
    <mergeCell ref="M137:N137"/>
    <mergeCell ref="S137:T137"/>
    <mergeCell ref="U137:V137"/>
    <mergeCell ref="U138:V138"/>
    <mergeCell ref="F139:G139"/>
    <mergeCell ref="H139:I139"/>
    <mergeCell ref="K139:L139"/>
    <mergeCell ref="M139:N139"/>
    <mergeCell ref="S139:T139"/>
  </mergeCells>
  <conditionalFormatting sqref="F21:F121">
    <cfRule type="expression" dxfId="65" priority="1">
      <formula>AND(F21&lt;&gt;"",ISERROR(MATCH(F21,type_verbinding_keuzes,0))=TRUE)</formula>
    </cfRule>
    <cfRule type="expression" dxfId="64" priority="2">
      <formula>$C21&lt;&gt;""</formula>
    </cfRule>
  </conditionalFormatting>
  <conditionalFormatting sqref="H21:H121">
    <cfRule type="expression" dxfId="63" priority="3">
      <formula>AND(H21&lt;&gt;"",ISERROR(MATCH(H21,toegankelijkheid_verbinding_keuzes,0))=TRUE)</formula>
    </cfRule>
    <cfRule type="expression" dxfId="62" priority="4">
      <formula>$C21&lt;&gt;""</formula>
    </cfRule>
  </conditionalFormatting>
  <conditionalFormatting sqref="K21:K121">
    <cfRule type="expression" dxfId="61" priority="5">
      <formula>AND(K21&lt;&gt;"",ISERROR(MATCH(K21,doorkruisingen_keuzes,0))=TRUE)</formula>
    </cfRule>
    <cfRule type="expression" dxfId="60" priority="6">
      <formula>$C21&lt;&gt;""</formula>
    </cfRule>
  </conditionalFormatting>
  <conditionalFormatting sqref="M21:M112 P21:P112">
    <cfRule type="expression" dxfId="59" priority="33">
      <formula>$C21&lt;&gt;""</formula>
    </cfRule>
  </conditionalFormatting>
  <conditionalFormatting sqref="M113:S121">
    <cfRule type="expression" dxfId="58" priority="8">
      <formula>$C113&lt;&gt;""</formula>
    </cfRule>
  </conditionalFormatting>
  <conditionalFormatting sqref="S21:S112">
    <cfRule type="expression" dxfId="57" priority="30">
      <formula>$C21&lt;&gt;""</formula>
    </cfRule>
  </conditionalFormatting>
  <conditionalFormatting sqref="S21:S121">
    <cfRule type="expression" dxfId="56" priority="7">
      <formula>AND(S21&lt;&gt;"",ISERROR(MATCH(S21,kwaliteitsfactor_keuzes,0))=TRUE)</formula>
    </cfRule>
  </conditionalFormatting>
  <conditionalFormatting sqref="U21:U121">
    <cfRule type="expression" dxfId="55" priority="9">
      <formula>AND(U21&lt;&gt;"",ISERROR(MATCH(U21,marktwaarde_keuzes,0))=TRUE)</formula>
    </cfRule>
    <cfRule type="expression" dxfId="54" priority="10">
      <formula>$C21&lt;&gt;""</formula>
    </cfRule>
  </conditionalFormatting>
  <dataValidations count="17">
    <dataValidation allowBlank="1" showErrorMessage="1" sqref="E19" xr:uid="{F50E34B0-63D9-4570-A43D-69D80F293D74}"/>
    <dataValidation allowBlank="1" showInputMessage="1" showErrorMessage="1" promptTitle="Uitleg variabele LIPn" prompt="Losmaakbaarheidsindex van samenstelling n." sqref="O19" xr:uid="{1F744AD1-CFCE-41FD-8085-93DE88747C60}"/>
    <dataValidation allowBlank="1" showInputMessage="1" showErrorMessage="1" promptTitle="Uitleg variabele LIPn" prompt="Losmaakbaarheidsindex van connectie n." sqref="J19" xr:uid="{C76FDE9C-25FD-4D37-BC66-30EBA46793DF}"/>
    <dataValidation type="list" allowBlank="1" showInputMessage="1" showErrorMessage="1" sqref="F138 F21:F121" xr:uid="{479BAEE2-F110-438C-9C32-D042F19655D6}">
      <formula1>type_verbinding_keuzes</formula1>
    </dataValidation>
    <dataValidation type="list" allowBlank="1" showInputMessage="1" showErrorMessage="1" sqref="H138 H21:H121" xr:uid="{4358D86A-799C-4BC0-BAFF-381B75B79B80}">
      <formula1>toegankelijkheid_verbinding_keuzes</formula1>
    </dataValidation>
    <dataValidation type="list" allowBlank="1" showInputMessage="1" showErrorMessage="1" sqref="K138 K21:K121" xr:uid="{FA0D6822-5D85-4236-AF19-547BE67E33EE}">
      <formula1>doorkruisingen_keuzes</formula1>
    </dataValidation>
    <dataValidation type="list" allowBlank="1" showInputMessage="1" showErrorMessage="1" sqref="S138 S21:S121" xr:uid="{B2228E85-14E8-406F-AB20-FD711F30C8DB}">
      <formula1>kwaliteitsfactor_keuzes</formula1>
    </dataValidation>
    <dataValidation type="list" allowBlank="1" showInputMessage="1" showErrorMessage="1" sqref="U138 U21:U121" xr:uid="{E535571A-B1CF-44BF-874C-6D124AB0A9B0}">
      <formula1>marktwaarde_keuzes</formula1>
    </dataValidation>
    <dataValidation allowBlank="1" showInputMessage="1" showErrorMessage="1" promptTitle="Uitleg variabele Hprn" prompt="Hpr is de Hergebruikspotentie van product of element of n" sqref="W19" xr:uid="{F483F909-19DA-4D47-A9EE-F422A338AA9F}"/>
    <dataValidation allowBlank="1" showInputMessage="1" showErrorMessage="1" promptTitle="Uitleg variabele TVn" prompt="Type verbinding van product of element n." sqref="G19" xr:uid="{6833007F-DB2B-4A4E-932A-76A894C4169D}"/>
    <dataValidation allowBlank="1" showInputMessage="1" showErrorMessage="1" promptTitle="Uitleg variabele ToVn" prompt="Toegankelijkheid van de verbinding van product of element n." sqref="I19" xr:uid="{2EB7C327-06A1-4A24-A08A-D0AA1783E13A}"/>
    <dataValidation allowBlank="1" showInputMessage="1" showErrorMessage="1" promptTitle="Uitleg variabele DKn" prompt="Doorkruisingen van product of element n." sqref="L19" xr:uid="{C726DA65-F1E8-4437-89BC-7A8D1B8F0A57}"/>
    <dataValidation allowBlank="1" showInputMessage="1" showErrorMessage="1" promptTitle="Uitleg variabele ROn" prompt="Randopsluiting van product of element n." sqref="N19" xr:uid="{CDC09EEF-0BD7-4A87-B600-091B1D71B5A0}"/>
    <dataValidation allowBlank="1" showInputMessage="1" showErrorMessage="1" promptTitle="Uitleg variabele LIPn" prompt="Losmaakbaarheidsindex van product of element n." sqref="Q19:R19" xr:uid="{1CDEFB67-5BF9-4322-B1E9-0B6BFC9AADE0}"/>
    <dataValidation allowBlank="1" showInputMessage="1" showErrorMessage="1" promptTitle="Uitleg variabele Kpr" prompt="Kpr is de Kwaliteitsfactor van product of element n" sqref="T19" xr:uid="{43E95783-6E05-4AE9-934C-3A7F8BB9301B}"/>
    <dataValidation allowBlank="1" showInputMessage="1" showErrorMessage="1" promptTitle="Uitleg variabele Mpr" prompt="Mpr is de Marktwaarde van product of element n" sqref="V19" xr:uid="{9451BA16-0253-4BB5-958B-209B664A88E6}"/>
    <dataValidation type="list" allowBlank="1" showInputMessage="1" showErrorMessage="1" sqref="M138:N138 M21:M121" xr:uid="{796FA61B-C856-412B-9B5C-60EF1777056E}">
      <formula1>randopsluiting_keuzes</formula1>
    </dataValidation>
  </dataValidations>
  <hyperlinks>
    <hyperlink ref="H17" r:id="rId1" xr:uid="{ABFB10B0-AE69-4ADD-A172-0F3C72F1A62E}"/>
    <hyperlink ref="A1" location="'Overzicht GPR Hulpmiddelen'!A1" tooltip="naar startscherm" display="&lt;" xr:uid="{175CDF7A-3670-4692-9863-F3FAC30D55CF}"/>
  </hyperlinks>
  <pageMargins left="0.7" right="0.7" top="0.75" bottom="0.75" header="0.3" footer="0.3"/>
  <pageSetup paperSize="9" orientation="portrait" r:id="rId2"/>
  <drawing r:id="rId3"/>
  <legacyDrawing r:id="rId4"/>
  <extLst>
    <ext xmlns:x14="http://schemas.microsoft.com/office/spreadsheetml/2009/9/main" uri="{CCE6A557-97BC-4b89-ADB6-D9C93CAAB3DF}">
      <x14:dataValidations xmlns:xm="http://schemas.microsoft.com/office/excel/2006/main" count="1">
        <x14:dataValidation type="list" allowBlank="1" showInputMessage="1" showErrorMessage="1" xr:uid="{A11C8F60-0CD0-4BCE-9C88-4A7AEFAC2B04}">
          <x14:formula1>
            <xm:f>'Tabellen hergebruikspotentie2.0'!$C$59:$C$64</xm:f>
          </x14:formula1>
          <xm:sqref>E138 E21:E121</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849D5-6458-48E0-A78F-BADBF98D3B84}">
  <sheetPr codeName="Blad3">
    <tabColor theme="9"/>
  </sheetPr>
  <dimension ref="A1:P64"/>
  <sheetViews>
    <sheetView workbookViewId="0">
      <selection sqref="A1:XFD1048576"/>
    </sheetView>
  </sheetViews>
  <sheetFormatPr defaultColWidth="23" defaultRowHeight="17.5"/>
  <cols>
    <col min="1" max="1" width="11.81640625" style="18" customWidth="1"/>
    <col min="2" max="2" width="12.26953125" style="870" bestFit="1" customWidth="1"/>
    <col min="3" max="3" width="62.26953125" style="865" customWidth="1"/>
    <col min="4" max="4" width="1.54296875" style="865" customWidth="1"/>
    <col min="5" max="5" width="23" style="865" customWidth="1"/>
    <col min="6" max="6" width="62.7265625" style="865" customWidth="1"/>
    <col min="7" max="7" width="16" style="865" bestFit="1" customWidth="1"/>
    <col min="8" max="8" width="19.26953125" style="865" bestFit="1" customWidth="1"/>
    <col min="9" max="9" width="26.7265625" style="865" bestFit="1" customWidth="1"/>
    <col min="10" max="10" width="20.453125" style="865" bestFit="1" customWidth="1"/>
    <col min="11" max="11" width="18.7265625" style="18" bestFit="1" customWidth="1"/>
    <col min="12" max="12" width="20.7265625" style="865" bestFit="1" customWidth="1"/>
    <col min="13" max="13" width="16.7265625" style="865" bestFit="1" customWidth="1"/>
    <col min="14" max="19" width="23" style="865" customWidth="1"/>
    <col min="20" max="16384" width="23" style="865"/>
  </cols>
  <sheetData>
    <row r="1" spans="1:16" s="18" customFormat="1" ht="32.5">
      <c r="A1" s="176" t="s">
        <v>12</v>
      </c>
      <c r="B1" s="174"/>
      <c r="C1" s="175"/>
      <c r="D1" s="31"/>
      <c r="E1" s="31"/>
      <c r="F1" s="31"/>
      <c r="G1" s="31"/>
      <c r="H1" s="31"/>
      <c r="I1" s="21"/>
      <c r="J1" s="21"/>
      <c r="M1" s="21"/>
      <c r="N1" s="21"/>
    </row>
    <row r="2" spans="1:16" s="178" customFormat="1" ht="21">
      <c r="A2" s="33"/>
      <c r="B2" s="33" t="s">
        <v>78</v>
      </c>
      <c r="C2" s="33"/>
      <c r="D2" s="33"/>
      <c r="E2" s="216"/>
      <c r="F2" s="217"/>
      <c r="G2" s="217"/>
      <c r="H2" s="217"/>
      <c r="I2" s="33"/>
      <c r="J2" s="33"/>
      <c r="K2" s="33"/>
      <c r="L2" s="33"/>
      <c r="M2" s="33"/>
      <c r="N2" s="33"/>
      <c r="O2" s="33"/>
      <c r="P2" s="33"/>
    </row>
    <row r="3" spans="1:16" s="18" customFormat="1">
      <c r="C3" s="1687">
        <v>44762</v>
      </c>
      <c r="D3" s="1737"/>
      <c r="F3" s="1738"/>
      <c r="G3" s="1739"/>
    </row>
    <row r="4" spans="1:16">
      <c r="B4" s="88">
        <f ca="1">MAX('Tabellen hergebruikspotentie2.0'!$B$1:OFFSET(B4,-1,0))+1</f>
        <v>1</v>
      </c>
      <c r="C4" s="89" t="s">
        <v>79</v>
      </c>
      <c r="D4" s="89"/>
      <c r="E4" s="89">
        <f ca="1">OFFSET(E4,0,-1)+1</f>
        <v>1</v>
      </c>
      <c r="F4" s="89">
        <f ca="1">OFFSET(F4,0,-1)+1</f>
        <v>2</v>
      </c>
      <c r="G4" s="89"/>
      <c r="H4" s="89"/>
      <c r="I4" s="18"/>
      <c r="J4" s="18"/>
      <c r="L4" s="18"/>
    </row>
    <row r="5" spans="1:16">
      <c r="B5" s="21"/>
      <c r="C5" s="269" t="s">
        <v>80</v>
      </c>
      <c r="D5" s="64"/>
      <c r="E5" s="234" t="s">
        <v>81</v>
      </c>
      <c r="F5" s="234" t="s">
        <v>82</v>
      </c>
      <c r="G5" s="64"/>
      <c r="H5" s="64"/>
      <c r="I5" s="18"/>
      <c r="J5" s="18"/>
      <c r="L5" s="18"/>
    </row>
    <row r="6" spans="1:16" s="866" customFormat="1">
      <c r="A6" s="18"/>
      <c r="B6" s="21"/>
      <c r="C6" s="305"/>
      <c r="D6" s="23"/>
      <c r="E6" s="760"/>
      <c r="F6" s="760"/>
      <c r="G6" s="23"/>
      <c r="H6" s="23"/>
      <c r="I6" s="18"/>
      <c r="J6" s="18"/>
      <c r="K6" s="18"/>
      <c r="L6" s="18"/>
    </row>
    <row r="7" spans="1:16">
      <c r="B7" s="21"/>
      <c r="C7" s="758" t="s">
        <v>83</v>
      </c>
      <c r="D7" s="92"/>
      <c r="E7" s="785">
        <v>1</v>
      </c>
      <c r="F7" s="761" t="s">
        <v>84</v>
      </c>
      <c r="G7" s="23"/>
      <c r="H7" s="23"/>
      <c r="I7" s="18"/>
      <c r="J7" s="18"/>
      <c r="L7" s="18"/>
    </row>
    <row r="8" spans="1:16">
      <c r="B8" s="21"/>
      <c r="C8" s="758" t="s">
        <v>85</v>
      </c>
      <c r="D8" s="92"/>
      <c r="E8" s="785">
        <v>0.8</v>
      </c>
      <c r="F8" s="761" t="s">
        <v>86</v>
      </c>
      <c r="G8" s="23"/>
      <c r="H8" s="23"/>
      <c r="I8" s="18"/>
      <c r="J8" s="18"/>
      <c r="L8" s="18"/>
    </row>
    <row r="9" spans="1:16">
      <c r="B9" s="21"/>
      <c r="C9" s="758" t="s">
        <v>87</v>
      </c>
      <c r="D9" s="92"/>
      <c r="E9" s="785">
        <v>0.6</v>
      </c>
      <c r="F9" s="761" t="s">
        <v>88</v>
      </c>
      <c r="G9" s="23"/>
      <c r="H9" s="23"/>
      <c r="I9" s="18"/>
      <c r="J9" s="18"/>
      <c r="L9" s="18"/>
    </row>
    <row r="10" spans="1:16">
      <c r="B10" s="21"/>
      <c r="C10" s="758" t="s">
        <v>89</v>
      </c>
      <c r="D10" s="92"/>
      <c r="E10" s="785">
        <v>0.2</v>
      </c>
      <c r="F10" s="761" t="s">
        <v>90</v>
      </c>
      <c r="G10" s="23"/>
      <c r="H10" s="23"/>
      <c r="I10" s="18"/>
      <c r="J10" s="18"/>
      <c r="L10" s="18"/>
    </row>
    <row r="11" spans="1:16">
      <c r="B11" s="21"/>
      <c r="C11" s="758" t="s">
        <v>91</v>
      </c>
      <c r="D11" s="92"/>
      <c r="E11" s="785">
        <v>0.1</v>
      </c>
      <c r="F11" s="761" t="s">
        <v>92</v>
      </c>
      <c r="G11" s="23"/>
      <c r="H11" s="23"/>
      <c r="I11" s="18"/>
      <c r="J11" s="18"/>
      <c r="L11" s="18"/>
    </row>
    <row r="12" spans="1:16" s="866" customFormat="1">
      <c r="A12" s="18"/>
      <c r="B12" s="21"/>
      <c r="C12" s="306"/>
      <c r="D12" s="23"/>
      <c r="E12" s="762"/>
      <c r="F12" s="762"/>
      <c r="G12" s="23"/>
      <c r="H12" s="23"/>
      <c r="I12" s="18"/>
      <c r="J12" s="18"/>
      <c r="K12" s="18"/>
      <c r="L12" s="18"/>
    </row>
    <row r="13" spans="1:16">
      <c r="B13" s="21"/>
      <c r="C13" s="18"/>
      <c r="D13" s="18"/>
      <c r="E13" s="18"/>
      <c r="F13" s="18"/>
      <c r="G13" s="18"/>
      <c r="H13" s="18"/>
      <c r="I13" s="18"/>
      <c r="J13" s="18"/>
      <c r="L13" s="18"/>
    </row>
    <row r="14" spans="1:16">
      <c r="B14" s="88">
        <f ca="1">MAX('Tabellen hergebruikspotentie2.0'!$B$1:OFFSET(B14,-1,0))+1</f>
        <v>2</v>
      </c>
      <c r="C14" s="89" t="s">
        <v>93</v>
      </c>
      <c r="D14" s="89"/>
      <c r="E14" s="89">
        <f ca="1">OFFSET(E14,0,-1)+1</f>
        <v>1</v>
      </c>
      <c r="F14" s="89">
        <f ca="1">OFFSET(F14,0,-1)+1</f>
        <v>2</v>
      </c>
      <c r="G14" s="89"/>
      <c r="H14" s="89"/>
      <c r="I14" s="18"/>
      <c r="J14" s="18"/>
      <c r="L14" s="18"/>
    </row>
    <row r="15" spans="1:16">
      <c r="B15" s="21"/>
      <c r="C15" s="269" t="s">
        <v>80</v>
      </c>
      <c r="D15" s="64"/>
      <c r="E15" s="234" t="s">
        <v>81</v>
      </c>
      <c r="F15" s="234" t="s">
        <v>82</v>
      </c>
      <c r="G15" s="64"/>
      <c r="H15" s="64"/>
      <c r="I15" s="18"/>
      <c r="J15" s="18"/>
      <c r="L15" s="18"/>
    </row>
    <row r="16" spans="1:16" s="866" customFormat="1">
      <c r="A16" s="18"/>
      <c r="B16" s="21"/>
      <c r="C16" s="305"/>
      <c r="D16" s="23"/>
      <c r="E16" s="760"/>
      <c r="F16" s="760"/>
      <c r="G16" s="23"/>
      <c r="H16" s="23"/>
      <c r="I16" s="18"/>
      <c r="J16" s="18"/>
      <c r="K16" s="18"/>
    </row>
    <row r="17" spans="1:11">
      <c r="B17" s="21"/>
      <c r="C17" s="758" t="s">
        <v>94</v>
      </c>
      <c r="D17" s="92"/>
      <c r="E17" s="785">
        <v>1</v>
      </c>
      <c r="F17" s="761" t="s">
        <v>95</v>
      </c>
      <c r="G17" s="23"/>
      <c r="H17" s="23"/>
      <c r="I17" s="18"/>
    </row>
    <row r="18" spans="1:11">
      <c r="B18" s="21"/>
      <c r="C18" s="758" t="s">
        <v>96</v>
      </c>
      <c r="D18" s="92"/>
      <c r="E18" s="785">
        <v>0.8</v>
      </c>
      <c r="F18" s="761" t="s">
        <v>97</v>
      </c>
      <c r="G18" s="23"/>
      <c r="H18" s="23"/>
      <c r="I18" s="18"/>
    </row>
    <row r="19" spans="1:11">
      <c r="B19" s="21"/>
      <c r="C19" s="758" t="s">
        <v>98</v>
      </c>
      <c r="D19" s="92"/>
      <c r="E19" s="785">
        <v>0.6</v>
      </c>
      <c r="F19" s="761" t="s">
        <v>99</v>
      </c>
      <c r="G19" s="23"/>
      <c r="H19" s="23"/>
      <c r="I19" s="18"/>
    </row>
    <row r="20" spans="1:11" ht="32">
      <c r="B20" s="21"/>
      <c r="C20" s="759" t="s">
        <v>100</v>
      </c>
      <c r="D20" s="92"/>
      <c r="E20" s="785">
        <v>0.4</v>
      </c>
      <c r="F20" s="761" t="s">
        <v>101</v>
      </c>
      <c r="G20" s="23"/>
      <c r="H20" s="23"/>
      <c r="I20" s="18"/>
      <c r="J20" s="18"/>
    </row>
    <row r="21" spans="1:11" ht="32">
      <c r="B21" s="21"/>
      <c r="C21" s="759" t="s">
        <v>102</v>
      </c>
      <c r="D21" s="92"/>
      <c r="E21" s="785">
        <v>0.1</v>
      </c>
      <c r="F21" s="761" t="s">
        <v>102</v>
      </c>
      <c r="G21" s="23"/>
      <c r="H21" s="23"/>
      <c r="I21" s="18"/>
      <c r="J21" s="18"/>
    </row>
    <row r="22" spans="1:11" s="866" customFormat="1">
      <c r="A22" s="18"/>
      <c r="B22" s="21"/>
      <c r="C22" s="306"/>
      <c r="D22" s="23"/>
      <c r="E22" s="762"/>
      <c r="F22" s="762"/>
      <c r="G22" s="23"/>
      <c r="H22" s="23"/>
      <c r="I22" s="18"/>
      <c r="J22" s="18"/>
      <c r="K22" s="18"/>
    </row>
    <row r="23" spans="1:11">
      <c r="B23" s="21"/>
      <c r="C23" s="18"/>
      <c r="D23" s="18"/>
      <c r="E23" s="18"/>
      <c r="F23" s="18"/>
      <c r="G23" s="18"/>
      <c r="H23" s="18"/>
      <c r="I23" s="18"/>
      <c r="J23" s="18"/>
    </row>
    <row r="24" spans="1:11">
      <c r="B24" s="88">
        <f ca="1">MAX('Tabellen hergebruikspotentie2.0'!$B$1:OFFSET(B24,-1,0))+1</f>
        <v>3</v>
      </c>
      <c r="C24" s="89" t="s">
        <v>103</v>
      </c>
      <c r="D24" s="89"/>
      <c r="E24" s="89">
        <f ca="1">OFFSET(E24,0,-1)+1</f>
        <v>1</v>
      </c>
      <c r="F24" s="89">
        <f ca="1">OFFSET(F24,0,-1)+1</f>
        <v>2</v>
      </c>
      <c r="G24" s="89"/>
      <c r="H24" s="89"/>
      <c r="I24" s="18"/>
      <c r="J24" s="18"/>
    </row>
    <row r="25" spans="1:11">
      <c r="B25" s="21"/>
      <c r="C25" s="269" t="s">
        <v>80</v>
      </c>
      <c r="D25" s="64"/>
      <c r="E25" s="234" t="s">
        <v>81</v>
      </c>
      <c r="F25" s="234" t="s">
        <v>82</v>
      </c>
      <c r="G25" s="64"/>
      <c r="H25" s="64"/>
      <c r="I25" s="18"/>
      <c r="J25" s="18"/>
    </row>
    <row r="26" spans="1:11" s="866" customFormat="1">
      <c r="A26" s="18"/>
      <c r="B26" s="21"/>
      <c r="C26" s="305"/>
      <c r="D26" s="23"/>
      <c r="E26" s="760"/>
      <c r="F26" s="760"/>
      <c r="G26" s="23"/>
      <c r="H26" s="23"/>
      <c r="I26" s="18"/>
      <c r="J26" s="18"/>
      <c r="K26" s="18"/>
    </row>
    <row r="27" spans="1:11">
      <c r="B27" s="21"/>
      <c r="C27" s="758" t="s">
        <v>104</v>
      </c>
      <c r="D27" s="92"/>
      <c r="E27" s="785">
        <v>1</v>
      </c>
      <c r="F27" s="761" t="s">
        <v>105</v>
      </c>
      <c r="G27" s="23"/>
      <c r="H27" s="23"/>
      <c r="I27" s="18"/>
      <c r="J27" s="18"/>
    </row>
    <row r="28" spans="1:11">
      <c r="B28" s="21"/>
      <c r="C28" s="758" t="s">
        <v>106</v>
      </c>
      <c r="D28" s="92"/>
      <c r="E28" s="785">
        <v>0.4</v>
      </c>
      <c r="F28" s="761" t="s">
        <v>107</v>
      </c>
      <c r="G28" s="23"/>
      <c r="H28" s="23"/>
      <c r="I28" s="18"/>
      <c r="J28" s="18"/>
    </row>
    <row r="29" spans="1:11">
      <c r="B29" s="21"/>
      <c r="C29" s="758" t="s">
        <v>108</v>
      </c>
      <c r="D29" s="92"/>
      <c r="E29" s="785">
        <v>0.1</v>
      </c>
      <c r="F29" s="761" t="s">
        <v>109</v>
      </c>
      <c r="G29" s="23"/>
      <c r="H29" s="23"/>
      <c r="I29" s="18"/>
      <c r="J29" s="18"/>
    </row>
    <row r="30" spans="1:11" s="866" customFormat="1">
      <c r="A30" s="18"/>
      <c r="B30" s="21"/>
      <c r="C30" s="306"/>
      <c r="D30" s="23"/>
      <c r="E30" s="762"/>
      <c r="F30" s="762"/>
      <c r="G30" s="23"/>
      <c r="H30" s="23"/>
      <c r="I30" s="18"/>
      <c r="J30" s="18"/>
      <c r="K30" s="18"/>
    </row>
    <row r="31" spans="1:11">
      <c r="B31" s="21"/>
      <c r="C31" s="18"/>
      <c r="D31" s="18"/>
      <c r="E31" s="18"/>
      <c r="F31" s="18"/>
      <c r="G31" s="18"/>
      <c r="H31" s="18"/>
      <c r="I31" s="18"/>
      <c r="J31" s="18"/>
    </row>
    <row r="32" spans="1:11">
      <c r="B32" s="88">
        <f ca="1">MAX('Tabellen hergebruikspotentie2.0'!$B$1:OFFSET(B32,-1,0))+1</f>
        <v>4</v>
      </c>
      <c r="C32" s="89" t="s">
        <v>110</v>
      </c>
      <c r="D32" s="89"/>
      <c r="E32" s="89">
        <f ca="1">OFFSET(E32,0,-1)+1</f>
        <v>1</v>
      </c>
      <c r="F32" s="89">
        <f ca="1">OFFSET(F32,0,-1)+1</f>
        <v>2</v>
      </c>
      <c r="G32" s="89"/>
      <c r="H32" s="89"/>
      <c r="I32" s="18"/>
      <c r="J32" s="18"/>
    </row>
    <row r="33" spans="1:11">
      <c r="B33" s="21"/>
      <c r="C33" s="269" t="s">
        <v>80</v>
      </c>
      <c r="D33" s="64"/>
      <c r="E33" s="234" t="s">
        <v>81</v>
      </c>
      <c r="F33" s="234" t="s">
        <v>82</v>
      </c>
      <c r="G33" s="64"/>
      <c r="H33" s="64"/>
      <c r="I33" s="18"/>
      <c r="J33" s="18"/>
    </row>
    <row r="34" spans="1:11" s="866" customFormat="1">
      <c r="A34" s="18"/>
      <c r="B34" s="21"/>
      <c r="C34" s="305"/>
      <c r="D34" s="23"/>
      <c r="E34" s="760"/>
      <c r="F34" s="760"/>
      <c r="G34" s="23"/>
      <c r="H34" s="23"/>
      <c r="I34" s="18"/>
      <c r="J34" s="18"/>
      <c r="K34" s="18"/>
    </row>
    <row r="35" spans="1:11">
      <c r="B35" s="21"/>
      <c r="C35" s="758" t="s">
        <v>111</v>
      </c>
      <c r="D35" s="92"/>
      <c r="E35" s="785">
        <v>1</v>
      </c>
      <c r="F35" s="761" t="s">
        <v>112</v>
      </c>
      <c r="G35" s="23"/>
      <c r="H35" s="23"/>
      <c r="I35" s="18"/>
      <c r="J35" s="18"/>
    </row>
    <row r="36" spans="1:11" ht="32">
      <c r="B36" s="21"/>
      <c r="C36" s="758" t="s">
        <v>113</v>
      </c>
      <c r="D36" s="92"/>
      <c r="E36" s="785">
        <v>0.4</v>
      </c>
      <c r="F36" s="761" t="s">
        <v>114</v>
      </c>
      <c r="G36" s="23"/>
      <c r="H36" s="23"/>
      <c r="I36" s="18"/>
      <c r="J36" s="18"/>
    </row>
    <row r="37" spans="1:11" ht="32">
      <c r="B37" s="21"/>
      <c r="C37" s="758" t="s">
        <v>115</v>
      </c>
      <c r="D37" s="92"/>
      <c r="E37" s="785">
        <v>0.1</v>
      </c>
      <c r="F37" s="761" t="s">
        <v>116</v>
      </c>
      <c r="G37" s="23"/>
      <c r="H37" s="23"/>
      <c r="I37" s="18"/>
      <c r="J37" s="18"/>
    </row>
    <row r="38" spans="1:11" s="866" customFormat="1">
      <c r="A38" s="18"/>
      <c r="B38" s="21"/>
      <c r="C38" s="306"/>
      <c r="D38" s="23"/>
      <c r="E38" s="762"/>
      <c r="F38" s="762"/>
      <c r="G38" s="23"/>
      <c r="H38" s="23"/>
      <c r="I38" s="18"/>
      <c r="J38" s="18"/>
      <c r="K38" s="18"/>
    </row>
    <row r="39" spans="1:11">
      <c r="B39" s="21"/>
      <c r="C39" s="18"/>
      <c r="D39" s="18"/>
      <c r="E39" s="18"/>
      <c r="F39" s="18"/>
      <c r="G39" s="18"/>
      <c r="H39" s="18"/>
      <c r="I39" s="18"/>
      <c r="J39" s="18"/>
    </row>
    <row r="40" spans="1:11">
      <c r="B40" s="88">
        <f ca="1">MAX('Tabellen hergebruikspotentie2.0'!$B$1:OFFSET(B40,-1,0))+1</f>
        <v>5</v>
      </c>
      <c r="C40" s="89" t="s">
        <v>117</v>
      </c>
      <c r="D40" s="89"/>
      <c r="E40" s="89">
        <f ca="1">OFFSET(E40,0,-1)+1</f>
        <v>1</v>
      </c>
      <c r="F40" s="89">
        <f ca="1">OFFSET(F40,0,-1)+1</f>
        <v>2</v>
      </c>
      <c r="G40" s="89"/>
      <c r="H40" s="89"/>
      <c r="I40" s="18"/>
      <c r="J40" s="18"/>
    </row>
    <row r="41" spans="1:11">
      <c r="B41" s="21"/>
      <c r="C41" s="867" t="s">
        <v>80</v>
      </c>
      <c r="D41" s="868"/>
      <c r="E41" s="869" t="s">
        <v>81</v>
      </c>
      <c r="F41" s="869" t="s">
        <v>82</v>
      </c>
      <c r="G41" s="869"/>
      <c r="H41" s="869"/>
      <c r="I41" s="18"/>
      <c r="J41" s="18"/>
    </row>
    <row r="42" spans="1:11" s="866" customFormat="1">
      <c r="A42" s="18"/>
      <c r="B42" s="21"/>
      <c r="C42" s="305"/>
      <c r="D42" s="23"/>
      <c r="E42" s="760"/>
      <c r="F42" s="760"/>
      <c r="G42" s="23"/>
      <c r="H42" s="23"/>
      <c r="I42" s="18"/>
      <c r="J42" s="18"/>
      <c r="K42" s="18"/>
    </row>
    <row r="43" spans="1:11">
      <c r="B43" s="21"/>
      <c r="C43" s="758" t="s">
        <v>118</v>
      </c>
      <c r="D43" s="92"/>
      <c r="E43" s="785">
        <v>1</v>
      </c>
      <c r="F43" s="761" t="s">
        <v>119</v>
      </c>
      <c r="G43" s="23"/>
      <c r="H43" s="23"/>
      <c r="I43" s="18"/>
      <c r="J43" s="18"/>
    </row>
    <row r="44" spans="1:11">
      <c r="B44" s="21"/>
      <c r="C44" s="758" t="s">
        <v>120</v>
      </c>
      <c r="D44" s="92"/>
      <c r="E44" s="785">
        <v>0.5</v>
      </c>
      <c r="F44" s="761" t="s">
        <v>121</v>
      </c>
      <c r="G44" s="23"/>
      <c r="H44" s="23"/>
      <c r="I44" s="18"/>
      <c r="J44" s="18"/>
    </row>
    <row r="45" spans="1:11">
      <c r="B45" s="21"/>
      <c r="C45" s="758" t="s">
        <v>122</v>
      </c>
      <c r="D45" s="92"/>
      <c r="E45" s="785">
        <v>0</v>
      </c>
      <c r="F45" s="761" t="s">
        <v>123</v>
      </c>
      <c r="G45" s="23"/>
      <c r="H45" s="23"/>
      <c r="I45" s="18"/>
      <c r="J45" s="18"/>
    </row>
    <row r="46" spans="1:11" s="866" customFormat="1">
      <c r="A46" s="18"/>
      <c r="B46" s="21"/>
      <c r="C46" s="306"/>
      <c r="D46" s="23"/>
      <c r="E46" s="762"/>
      <c r="F46" s="762"/>
      <c r="G46" s="23"/>
      <c r="H46" s="23"/>
      <c r="I46" s="18"/>
      <c r="J46" s="18"/>
      <c r="K46" s="18"/>
    </row>
    <row r="47" spans="1:11">
      <c r="B47" s="21"/>
      <c r="C47" s="18"/>
      <c r="D47" s="18"/>
      <c r="E47" s="18"/>
      <c r="F47" s="18"/>
      <c r="G47" s="18"/>
      <c r="H47" s="18"/>
      <c r="I47" s="18"/>
      <c r="J47" s="18"/>
    </row>
    <row r="48" spans="1:11">
      <c r="B48" s="88">
        <f ca="1">MAX('Tabellen hergebruikspotentie2.0'!$B$1:OFFSET(B48,-1,0))+1</f>
        <v>6</v>
      </c>
      <c r="C48" s="89" t="s">
        <v>124</v>
      </c>
      <c r="D48" s="89"/>
      <c r="E48" s="89">
        <f ca="1">OFFSET(E48,0,-1)+1</f>
        <v>1</v>
      </c>
      <c r="F48" s="89">
        <f ca="1">OFFSET(F48,0,-1)+1</f>
        <v>2</v>
      </c>
      <c r="G48" s="89"/>
      <c r="H48" s="89"/>
      <c r="I48" s="18"/>
      <c r="J48" s="18"/>
    </row>
    <row r="49" spans="1:11">
      <c r="B49" s="21"/>
      <c r="C49" s="269" t="s">
        <v>80</v>
      </c>
      <c r="D49" s="64"/>
      <c r="E49" s="234" t="s">
        <v>81</v>
      </c>
      <c r="F49" s="234" t="s">
        <v>82</v>
      </c>
      <c r="G49" s="64"/>
      <c r="H49" s="64"/>
      <c r="I49" s="18"/>
      <c r="J49" s="18"/>
    </row>
    <row r="50" spans="1:11" s="866" customFormat="1">
      <c r="A50" s="18"/>
      <c r="B50" s="21"/>
      <c r="C50" s="305"/>
      <c r="D50" s="23"/>
      <c r="E50" s="760"/>
      <c r="F50" s="760"/>
      <c r="G50" s="23"/>
      <c r="H50" s="23"/>
      <c r="I50" s="18"/>
      <c r="J50" s="18"/>
      <c r="K50" s="18"/>
    </row>
    <row r="51" spans="1:11">
      <c r="B51" s="21"/>
      <c r="C51" s="758" t="s">
        <v>125</v>
      </c>
      <c r="D51" s="92"/>
      <c r="E51" s="785">
        <v>0.9</v>
      </c>
      <c r="F51" s="761" t="s">
        <v>126</v>
      </c>
      <c r="G51" s="23"/>
      <c r="H51" s="23"/>
      <c r="I51" s="18"/>
      <c r="J51" s="18"/>
    </row>
    <row r="52" spans="1:11">
      <c r="B52" s="21"/>
      <c r="C52" s="758" t="s">
        <v>127</v>
      </c>
      <c r="D52" s="92"/>
      <c r="E52" s="785">
        <v>0.75</v>
      </c>
      <c r="F52" s="761" t="s">
        <v>128</v>
      </c>
      <c r="G52" s="23"/>
      <c r="H52" s="23"/>
      <c r="I52" s="18"/>
      <c r="J52" s="18"/>
    </row>
    <row r="53" spans="1:11">
      <c r="B53" s="21"/>
      <c r="C53" s="758" t="s">
        <v>129</v>
      </c>
      <c r="D53" s="92"/>
      <c r="E53" s="785">
        <v>0.5</v>
      </c>
      <c r="F53" s="761" t="s">
        <v>130</v>
      </c>
      <c r="G53" s="23"/>
      <c r="H53" s="23"/>
      <c r="I53" s="18"/>
      <c r="J53" s="18"/>
    </row>
    <row r="54" spans="1:11">
      <c r="B54" s="21"/>
      <c r="C54" s="758" t="s">
        <v>131</v>
      </c>
      <c r="D54" s="92"/>
      <c r="E54" s="785">
        <v>0</v>
      </c>
      <c r="F54" s="761" t="s">
        <v>132</v>
      </c>
      <c r="G54" s="23"/>
      <c r="H54" s="23"/>
      <c r="I54" s="18"/>
      <c r="J54" s="18"/>
    </row>
    <row r="55" spans="1:11" s="866" customFormat="1">
      <c r="A55" s="18"/>
      <c r="B55" s="21"/>
      <c r="C55" s="306"/>
      <c r="D55" s="23"/>
      <c r="E55" s="762"/>
      <c r="F55" s="762"/>
      <c r="G55" s="23"/>
      <c r="H55" s="23"/>
      <c r="I55" s="18"/>
      <c r="J55" s="18"/>
      <c r="K55" s="18"/>
    </row>
    <row r="56" spans="1:11">
      <c r="B56" s="21"/>
      <c r="C56" s="18"/>
      <c r="D56" s="18"/>
      <c r="E56" s="18"/>
      <c r="F56" s="18"/>
      <c r="G56" s="18"/>
      <c r="H56" s="18"/>
      <c r="I56" s="18"/>
      <c r="J56" s="18"/>
    </row>
    <row r="57" spans="1:11">
      <c r="B57" s="88">
        <f ca="1">MAX('Tabellen hergebruikspotentie2.0'!$B$1:OFFSET(B57,-1,0))+1</f>
        <v>7</v>
      </c>
      <c r="C57" s="89" t="s">
        <v>1357</v>
      </c>
      <c r="D57" s="89"/>
      <c r="E57" s="89">
        <f ca="1">OFFSET(E57,0,-1)+1</f>
        <v>1</v>
      </c>
      <c r="F57" s="89">
        <f ca="1">OFFSET(F57,0,-1)+1</f>
        <v>2</v>
      </c>
      <c r="G57" s="89"/>
      <c r="H57" s="89"/>
    </row>
    <row r="58" spans="1:11">
      <c r="B58" s="21"/>
      <c r="C58" s="269" t="s">
        <v>80</v>
      </c>
      <c r="D58" s="64"/>
      <c r="E58" s="234" t="s">
        <v>81</v>
      </c>
      <c r="F58" s="234" t="s">
        <v>82</v>
      </c>
      <c r="G58" s="64"/>
      <c r="H58" s="64"/>
    </row>
    <row r="59" spans="1:11">
      <c r="B59" s="21"/>
      <c r="C59" s="305"/>
      <c r="D59" s="23"/>
      <c r="E59" s="760"/>
      <c r="F59" s="760"/>
      <c r="G59" s="23"/>
      <c r="H59" s="23"/>
    </row>
    <row r="60" spans="1:11">
      <c r="B60" s="21"/>
      <c r="C60" s="758" t="s">
        <v>1349</v>
      </c>
      <c r="D60" s="92"/>
      <c r="E60" s="785" t="s">
        <v>132</v>
      </c>
      <c r="F60" s="761" t="s">
        <v>1358</v>
      </c>
      <c r="G60" s="23"/>
      <c r="H60" s="23"/>
    </row>
    <row r="61" spans="1:11">
      <c r="B61" s="21"/>
      <c r="C61" s="758" t="s">
        <v>1351</v>
      </c>
      <c r="D61" s="92"/>
      <c r="E61" s="785" t="s">
        <v>132</v>
      </c>
      <c r="F61" s="761" t="s">
        <v>1359</v>
      </c>
      <c r="G61" s="23"/>
      <c r="H61" s="23"/>
    </row>
    <row r="62" spans="1:11">
      <c r="B62" s="21"/>
      <c r="C62" s="758" t="s">
        <v>1353</v>
      </c>
      <c r="D62" s="92"/>
      <c r="E62" s="785" t="s">
        <v>132</v>
      </c>
      <c r="F62" s="761" t="s">
        <v>1360</v>
      </c>
      <c r="G62" s="23"/>
      <c r="H62" s="23"/>
    </row>
    <row r="63" spans="1:11">
      <c r="B63" s="21"/>
      <c r="C63" s="758" t="s">
        <v>1355</v>
      </c>
      <c r="D63" s="92"/>
      <c r="E63" s="785" t="s">
        <v>132</v>
      </c>
      <c r="F63" s="761" t="s">
        <v>1361</v>
      </c>
      <c r="G63" s="23"/>
      <c r="H63" s="23"/>
    </row>
    <row r="64" spans="1:11">
      <c r="B64" s="21"/>
      <c r="C64" s="306"/>
      <c r="D64" s="23"/>
      <c r="E64" s="762"/>
      <c r="F64" s="762"/>
      <c r="G64" s="23"/>
      <c r="H64" s="23"/>
    </row>
  </sheetData>
  <sheetProtection sheet="1" objects="1" scenarios="1"/>
  <mergeCells count="2">
    <mergeCell ref="C3:D3"/>
    <mergeCell ref="F3:G3"/>
  </mergeCells>
  <hyperlinks>
    <hyperlink ref="A1" location="'Overzicht GPR Hulpmiddelen'!A1" tooltip="naar startscherm" display="&lt;" xr:uid="{822D71A8-FB36-4094-8AC0-86C24584103C}"/>
  </hyperlinks>
  <pageMargins left="0.7" right="0.7" top="0.75" bottom="0.75" header="0.3" footer="0.3"/>
  <pageSetup paperSize="9" orientation="portrait" horizontalDpi="4294967295" verticalDpi="4294967295"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58CDD-6CD5-4A15-8309-2B3290E5F456}">
  <sheetPr codeName="Blad12">
    <tabColor theme="9"/>
    <pageSetUpPr fitToPage="1"/>
  </sheetPr>
  <dimension ref="A1:M42"/>
  <sheetViews>
    <sheetView showGridLines="0" showRowColHeader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9.1796875" defaultRowHeight="17.5"/>
  <cols>
    <col min="1" max="1" width="10.7265625" style="84" customWidth="1"/>
    <col min="2" max="2" width="2.7265625" style="84" customWidth="1"/>
    <col min="3" max="3" width="21.54296875" style="84" customWidth="1"/>
    <col min="4" max="4" width="27.81640625" style="84" customWidth="1"/>
    <col min="5" max="5" width="18.54296875" style="84" customWidth="1"/>
    <col min="6" max="6" width="17.26953125" style="84" customWidth="1"/>
    <col min="7" max="7" width="5.81640625" style="84" customWidth="1"/>
    <col min="8" max="8" width="11.7265625" style="84" bestFit="1" customWidth="1"/>
    <col min="9" max="13" width="9" style="84" customWidth="1"/>
    <col min="14" max="16384" width="9.1796875" style="84"/>
  </cols>
  <sheetData>
    <row r="1" spans="1:13" s="18" customFormat="1" ht="32.5">
      <c r="A1" s="176" t="s">
        <v>12</v>
      </c>
      <c r="B1" s="174"/>
      <c r="C1" s="175"/>
      <c r="D1" s="31"/>
      <c r="E1" s="31"/>
      <c r="F1" s="31"/>
      <c r="G1" s="31"/>
      <c r="H1" s="21"/>
    </row>
    <row r="2" spans="1:13" s="19" customFormat="1" ht="21">
      <c r="A2" s="33"/>
      <c r="B2" s="28" t="s">
        <v>867</v>
      </c>
      <c r="C2" s="32"/>
      <c r="D2" s="32"/>
      <c r="E2" s="32"/>
      <c r="F2" s="32"/>
      <c r="G2" s="32"/>
      <c r="H2" s="32"/>
      <c r="I2" s="32"/>
      <c r="J2" s="32"/>
      <c r="K2" s="32"/>
      <c r="L2" s="32"/>
      <c r="M2" s="32"/>
    </row>
    <row r="3" spans="1:13" s="29" customFormat="1">
      <c r="B3" s="1687">
        <v>44582</v>
      </c>
      <c r="C3" s="1688"/>
      <c r="D3" s="30"/>
    </row>
    <row r="4" spans="1:13" s="18" customFormat="1">
      <c r="B4" s="14"/>
      <c r="C4" s="67"/>
      <c r="D4" s="67"/>
      <c r="E4" s="67"/>
      <c r="F4" s="67"/>
      <c r="G4" s="14"/>
      <c r="H4" s="14"/>
      <c r="I4" s="14"/>
      <c r="J4" s="14"/>
      <c r="K4" s="14"/>
      <c r="L4" s="14"/>
      <c r="M4" s="14"/>
    </row>
    <row r="5" spans="1:13" s="19" customFormat="1">
      <c r="B5" s="14"/>
      <c r="C5" s="68" t="s">
        <v>3</v>
      </c>
      <c r="D5" s="68"/>
      <c r="E5" s="68"/>
      <c r="F5" s="68"/>
      <c r="G5" s="14"/>
      <c r="H5" s="41" t="s">
        <v>485</v>
      </c>
      <c r="I5" s="14"/>
      <c r="J5" s="14"/>
      <c r="K5" s="14"/>
      <c r="L5" s="14"/>
      <c r="M5" s="14"/>
    </row>
    <row r="6" spans="1:13" s="19" customFormat="1">
      <c r="B6" s="14"/>
      <c r="C6" s="22" t="s">
        <v>4</v>
      </c>
      <c r="D6" s="1691" t="str">
        <f>IF('Overzicht GPR Hulpmiddelen'!D6="","",'Overzicht GPR Hulpmiddelen'!D6)</f>
        <v/>
      </c>
      <c r="E6" s="1691"/>
      <c r="F6" s="1691"/>
      <c r="G6" s="14"/>
      <c r="H6" s="14"/>
      <c r="I6" s="14"/>
      <c r="J6" s="14"/>
      <c r="K6" s="14"/>
      <c r="L6" s="14"/>
      <c r="M6" s="14"/>
    </row>
    <row r="7" spans="1:13" s="19" customFormat="1">
      <c r="B7" s="14"/>
      <c r="C7" s="22" t="s">
        <v>5</v>
      </c>
      <c r="D7" s="1691" t="str">
        <f>IF('Overzicht GPR Hulpmiddelen'!D7="","",'Overzicht GPR Hulpmiddelen'!D7)</f>
        <v/>
      </c>
      <c r="E7" s="1691"/>
      <c r="F7" s="1691"/>
      <c r="G7" s="14"/>
      <c r="H7" s="14"/>
      <c r="I7" s="14"/>
      <c r="J7" s="14"/>
      <c r="K7" s="14"/>
      <c r="L7" s="14"/>
      <c r="M7" s="14"/>
    </row>
    <row r="8" spans="1:13" s="19" customFormat="1">
      <c r="B8" s="14"/>
      <c r="C8" s="22" t="s">
        <v>6</v>
      </c>
      <c r="D8" s="1691" t="str">
        <f>IF('Overzicht GPR Hulpmiddelen'!D8="","",'Overzicht GPR Hulpmiddelen'!D8)</f>
        <v/>
      </c>
      <c r="E8" s="1691"/>
      <c r="F8" s="1691"/>
      <c r="G8" s="14"/>
      <c r="H8" s="14"/>
      <c r="I8" s="14"/>
      <c r="J8" s="14"/>
      <c r="K8" s="14"/>
      <c r="L8" s="14"/>
      <c r="M8" s="14"/>
    </row>
    <row r="9" spans="1:13" s="19" customFormat="1">
      <c r="B9" s="14"/>
      <c r="C9" s="22" t="s">
        <v>7</v>
      </c>
      <c r="D9" s="1699" t="str">
        <f>IF('Overzicht GPR Hulpmiddelen'!D9="","",'Overzicht GPR Hulpmiddelen'!D9)</f>
        <v/>
      </c>
      <c r="E9" s="1699"/>
      <c r="F9" s="1699"/>
      <c r="G9" s="14"/>
      <c r="H9" s="14"/>
      <c r="I9" s="14"/>
      <c r="J9" s="14"/>
      <c r="K9" s="14"/>
      <c r="L9" s="14"/>
      <c r="M9" s="14"/>
    </row>
    <row r="10" spans="1:13" s="19" customFormat="1">
      <c r="B10" s="14"/>
      <c r="C10" s="22" t="s">
        <v>488</v>
      </c>
      <c r="D10" s="1685"/>
      <c r="E10" s="1685"/>
      <c r="F10" s="1685"/>
      <c r="G10" s="14"/>
      <c r="H10" s="14"/>
      <c r="I10" s="14"/>
      <c r="J10" s="14"/>
      <c r="K10" s="14"/>
      <c r="L10" s="14"/>
      <c r="M10" s="14"/>
    </row>
    <row r="11" spans="1:13" s="18" customFormat="1">
      <c r="B11" s="14"/>
      <c r="C11" s="14"/>
      <c r="D11" s="34"/>
      <c r="E11" s="34"/>
      <c r="F11" s="34"/>
      <c r="G11" s="34"/>
      <c r="H11" s="34"/>
      <c r="I11" s="34"/>
      <c r="J11" s="34"/>
      <c r="K11" s="34"/>
      <c r="L11" s="34"/>
      <c r="M11" s="34"/>
    </row>
    <row r="12" spans="1:13" s="222" customFormat="1" ht="14.25" customHeight="1">
      <c r="A12" s="718"/>
      <c r="B12" s="14"/>
      <c r="C12" s="34"/>
      <c r="D12" s="34"/>
      <c r="E12" s="34"/>
      <c r="F12" s="34"/>
      <c r="G12" s="13"/>
      <c r="H12" s="12"/>
      <c r="I12" s="12"/>
      <c r="J12" s="12"/>
      <c r="K12" s="12"/>
      <c r="L12" s="12"/>
      <c r="M12" s="12"/>
    </row>
    <row r="13" spans="1:13" s="18" customFormat="1">
      <c r="B13" s="14"/>
      <c r="C13" s="14"/>
      <c r="D13" s="34"/>
      <c r="E13" s="34"/>
      <c r="F13" s="34"/>
      <c r="G13" s="34"/>
      <c r="H13" s="34"/>
      <c r="I13" s="34"/>
      <c r="J13" s="34"/>
      <c r="K13" s="34"/>
      <c r="L13" s="34"/>
      <c r="M13" s="34"/>
    </row>
    <row r="14" spans="1:13" s="18" customFormat="1">
      <c r="B14" s="14"/>
      <c r="C14" s="15" t="s">
        <v>868</v>
      </c>
      <c r="D14" s="15"/>
      <c r="E14" s="14"/>
      <c r="F14" s="14"/>
      <c r="G14" s="14"/>
      <c r="H14" s="14"/>
      <c r="I14" s="14"/>
      <c r="J14" s="14"/>
      <c r="K14" s="14"/>
      <c r="L14" s="14"/>
      <c r="M14" s="14"/>
    </row>
    <row r="15" spans="1:13" s="18" customFormat="1">
      <c r="B15" s="14"/>
      <c r="C15" s="22" t="s">
        <v>869</v>
      </c>
      <c r="D15" s="22"/>
      <c r="E15" s="541" t="str">
        <f>IFERROR(H30/H35,"-")</f>
        <v>-</v>
      </c>
      <c r="F15" s="171"/>
      <c r="G15" s="34"/>
      <c r="H15" s="34"/>
      <c r="I15" s="34"/>
      <c r="J15" s="34"/>
      <c r="K15" s="34"/>
      <c r="L15" s="34"/>
      <c r="M15" s="34"/>
    </row>
    <row r="16" spans="1:13" s="18" customFormat="1">
      <c r="B16" s="14"/>
      <c r="C16" s="14"/>
      <c r="D16" s="14"/>
      <c r="E16" s="14"/>
      <c r="F16" s="14"/>
      <c r="G16" s="14"/>
      <c r="H16" s="14"/>
      <c r="I16" s="14"/>
      <c r="J16" s="14"/>
      <c r="K16" s="14"/>
      <c r="L16" s="14"/>
      <c r="M16" s="14"/>
    </row>
    <row r="17" spans="2:13" s="18" customFormat="1">
      <c r="B17" s="14"/>
      <c r="C17" s="15" t="s">
        <v>827</v>
      </c>
      <c r="D17" s="15"/>
      <c r="E17" s="15"/>
      <c r="F17" s="15"/>
      <c r="G17" s="15"/>
      <c r="H17" s="15"/>
      <c r="I17" s="15"/>
      <c r="J17" s="15"/>
      <c r="K17" s="15"/>
      <c r="L17" s="15"/>
      <c r="M17" s="15"/>
    </row>
    <row r="18" spans="2:13" s="18" customFormat="1">
      <c r="B18" s="14"/>
      <c r="C18" s="57" t="s">
        <v>828</v>
      </c>
      <c r="D18" s="57"/>
      <c r="E18" s="26" t="s">
        <v>870</v>
      </c>
      <c r="F18" s="57" t="s">
        <v>871</v>
      </c>
      <c r="G18" s="64"/>
      <c r="H18" s="159" t="s">
        <v>833</v>
      </c>
      <c r="I18" s="12"/>
      <c r="J18" s="12"/>
      <c r="K18" s="12"/>
      <c r="L18" s="12"/>
      <c r="M18" s="12"/>
    </row>
    <row r="19" spans="2:13" s="18" customFormat="1">
      <c r="B19" s="14"/>
      <c r="C19" s="57" t="s">
        <v>838</v>
      </c>
      <c r="D19" s="57"/>
      <c r="E19" s="26" t="s">
        <v>852</v>
      </c>
      <c r="F19" s="57" t="s">
        <v>872</v>
      </c>
      <c r="G19" s="26"/>
      <c r="H19" s="159" t="s">
        <v>873</v>
      </c>
      <c r="I19" s="12"/>
      <c r="J19" s="12"/>
      <c r="K19" s="12"/>
      <c r="L19" s="12"/>
      <c r="M19" s="12"/>
    </row>
    <row r="20" spans="2:13" s="18" customFormat="1">
      <c r="B20" s="14"/>
      <c r="C20" s="1740"/>
      <c r="D20" s="1740"/>
      <c r="E20" s="156"/>
      <c r="F20" s="66"/>
      <c r="G20" s="61"/>
      <c r="H20" s="158" t="str">
        <f>IF(C20="","",(E20*VLOOKUP(F20,tabellen!$C$60:$E$62,3,)))</f>
        <v/>
      </c>
      <c r="I20" s="12"/>
      <c r="J20" s="12"/>
      <c r="K20" s="12"/>
      <c r="L20" s="12"/>
      <c r="M20" s="12"/>
    </row>
    <row r="21" spans="2:13" s="18" customFormat="1">
      <c r="B21" s="14"/>
      <c r="C21" s="1740"/>
      <c r="D21" s="1740"/>
      <c r="E21" s="156"/>
      <c r="F21" s="66"/>
      <c r="G21" s="61"/>
      <c r="H21" s="158" t="str">
        <f>IF(C21="","",(E21*VLOOKUP(F21,tabellen!$C$60:$E$62,3,)))</f>
        <v/>
      </c>
      <c r="I21" s="12"/>
      <c r="J21" s="12"/>
      <c r="K21" s="12"/>
      <c r="L21" s="12"/>
      <c r="M21" s="12"/>
    </row>
    <row r="22" spans="2:13" s="18" customFormat="1" ht="17.25" customHeight="1">
      <c r="B22" s="14"/>
      <c r="C22" s="1740"/>
      <c r="D22" s="1740"/>
      <c r="E22" s="156"/>
      <c r="F22" s="66"/>
      <c r="G22" s="61"/>
      <c r="H22" s="158" t="str">
        <f>IF(C22="","",(E22*VLOOKUP(F22,tabellen!$C$60:$E$62,3,)))</f>
        <v/>
      </c>
      <c r="I22" s="12"/>
      <c r="J22" s="12"/>
      <c r="K22" s="12"/>
      <c r="L22" s="12"/>
      <c r="M22" s="12"/>
    </row>
    <row r="23" spans="2:13" s="18" customFormat="1">
      <c r="B23" s="14"/>
      <c r="C23" s="1740"/>
      <c r="D23" s="1740"/>
      <c r="E23" s="156"/>
      <c r="F23" s="66"/>
      <c r="G23" s="61"/>
      <c r="H23" s="158" t="str">
        <f>IF(C23="","",(E23*VLOOKUP(F23,tabellen!$C$60:$E$62,3,)))</f>
        <v/>
      </c>
      <c r="I23" s="12"/>
      <c r="J23" s="12"/>
      <c r="K23" s="12"/>
      <c r="L23" s="12"/>
      <c r="M23" s="12"/>
    </row>
    <row r="24" spans="2:13" s="18" customFormat="1">
      <c r="B24" s="14"/>
      <c r="C24" s="1740"/>
      <c r="D24" s="1740"/>
      <c r="E24" s="156"/>
      <c r="F24" s="66"/>
      <c r="G24" s="61"/>
      <c r="H24" s="158" t="str">
        <f>IF(C24="","",(E24*VLOOKUP(F24,tabellen!$C$60:$E$62,3,)))</f>
        <v/>
      </c>
      <c r="I24" s="12"/>
      <c r="J24" s="12"/>
      <c r="K24" s="12"/>
      <c r="L24" s="12"/>
      <c r="M24" s="12"/>
    </row>
    <row r="25" spans="2:13" s="18" customFormat="1">
      <c r="B25" s="14"/>
      <c r="C25" s="1740"/>
      <c r="D25" s="1740"/>
      <c r="E25" s="156"/>
      <c r="F25" s="66"/>
      <c r="G25" s="61"/>
      <c r="H25" s="158" t="str">
        <f>IF(C25="","",(E25*VLOOKUP(F25,tabellen!$C$60:$E$62,3,)))</f>
        <v/>
      </c>
      <c r="I25" s="12"/>
      <c r="J25" s="12"/>
      <c r="K25" s="12"/>
      <c r="L25" s="12"/>
      <c r="M25" s="12"/>
    </row>
    <row r="26" spans="2:13" s="18" customFormat="1">
      <c r="B26" s="14"/>
      <c r="C26" s="1740"/>
      <c r="D26" s="1740"/>
      <c r="E26" s="156"/>
      <c r="F26" s="66"/>
      <c r="G26" s="61"/>
      <c r="H26" s="158" t="str">
        <f>IF(C26="","",(E26*VLOOKUP(F26,tabellen!$C$60:$E$62,3,)))</f>
        <v/>
      </c>
      <c r="I26" s="12"/>
      <c r="J26" s="12"/>
      <c r="K26" s="12"/>
      <c r="L26" s="12"/>
      <c r="M26" s="12"/>
    </row>
    <row r="27" spans="2:13" s="18" customFormat="1">
      <c r="B27" s="14"/>
      <c r="C27" s="1740"/>
      <c r="D27" s="1740"/>
      <c r="E27" s="156"/>
      <c r="F27" s="66"/>
      <c r="G27" s="61"/>
      <c r="H27" s="158" t="str">
        <f>IF(C27="","",(E27*VLOOKUP(F27,tabellen!$C$60:$E$62,3,)))</f>
        <v/>
      </c>
      <c r="I27" s="12"/>
      <c r="J27" s="12"/>
      <c r="K27" s="12"/>
      <c r="L27" s="12"/>
      <c r="M27" s="12"/>
    </row>
    <row r="28" spans="2:13" s="18" customFormat="1">
      <c r="B28" s="14"/>
      <c r="C28" s="1740"/>
      <c r="D28" s="1740"/>
      <c r="E28" s="156"/>
      <c r="F28" s="66"/>
      <c r="G28" s="61"/>
      <c r="H28" s="158" t="str">
        <f>IF(C28="","",(E28*VLOOKUP(F28,tabellen!$C$60:$E$62,3,)))</f>
        <v/>
      </c>
      <c r="I28" s="12"/>
      <c r="J28" s="12"/>
      <c r="K28" s="12"/>
      <c r="L28" s="12"/>
      <c r="M28" s="12"/>
    </row>
    <row r="29" spans="2:13" s="18" customFormat="1">
      <c r="B29" s="14"/>
      <c r="C29" s="1740"/>
      <c r="D29" s="1740"/>
      <c r="E29" s="156"/>
      <c r="F29" s="66"/>
      <c r="G29" s="61"/>
      <c r="H29" s="158" t="str">
        <f>IF(C29="","",(E29*VLOOKUP(F29,tabellen!$C$60:$E$62,3,)))</f>
        <v/>
      </c>
      <c r="I29" s="12"/>
      <c r="J29" s="12"/>
      <c r="K29" s="12"/>
      <c r="L29" s="12"/>
      <c r="M29" s="12"/>
    </row>
    <row r="30" spans="2:13" s="19" customFormat="1">
      <c r="B30" s="14"/>
      <c r="C30" s="62" t="s">
        <v>318</v>
      </c>
      <c r="D30" s="61"/>
      <c r="E30" s="61"/>
      <c r="F30" s="61"/>
      <c r="G30" s="61"/>
      <c r="H30" s="158">
        <f>SUM(H20:H29)</f>
        <v>0</v>
      </c>
      <c r="I30" s="12"/>
      <c r="J30" s="12"/>
      <c r="K30" s="12"/>
      <c r="L30" s="12"/>
      <c r="M30" s="12"/>
    </row>
    <row r="31" spans="2:13" s="19" customFormat="1">
      <c r="B31" s="14"/>
      <c r="C31" s="41"/>
      <c r="D31" s="14"/>
      <c r="E31" s="14"/>
      <c r="F31" s="14"/>
      <c r="G31" s="14"/>
      <c r="H31" s="160"/>
      <c r="I31" s="14"/>
      <c r="J31" s="14"/>
      <c r="K31" s="14"/>
      <c r="L31" s="14"/>
      <c r="M31" s="14"/>
    </row>
    <row r="32" spans="2:13" s="18" customFormat="1">
      <c r="B32" s="14"/>
      <c r="C32" s="15" t="s">
        <v>849</v>
      </c>
      <c r="D32" s="15"/>
      <c r="E32" s="15"/>
      <c r="F32" s="15"/>
      <c r="G32" s="15"/>
      <c r="H32" s="161"/>
      <c r="I32" s="15"/>
      <c r="J32" s="15"/>
      <c r="K32" s="15"/>
      <c r="L32" s="15"/>
      <c r="M32" s="15"/>
    </row>
    <row r="33" spans="2:13" s="18" customFormat="1">
      <c r="B33" s="14"/>
      <c r="C33" s="57"/>
      <c r="D33" s="57"/>
      <c r="E33" s="26" t="s">
        <v>850</v>
      </c>
      <c r="F33" s="57" t="s">
        <v>874</v>
      </c>
      <c r="G33" s="64"/>
      <c r="H33" s="159" t="s">
        <v>833</v>
      </c>
      <c r="I33" s="14"/>
      <c r="J33" s="14"/>
      <c r="K33" s="14"/>
      <c r="L33" s="14"/>
      <c r="M33" s="14"/>
    </row>
    <row r="34" spans="2:13" s="18" customFormat="1">
      <c r="B34" s="14"/>
      <c r="C34" s="57"/>
      <c r="D34" s="57"/>
      <c r="E34" s="26" t="s">
        <v>852</v>
      </c>
      <c r="F34" s="57" t="s">
        <v>875</v>
      </c>
      <c r="G34" s="26"/>
      <c r="H34" s="159" t="s">
        <v>873</v>
      </c>
      <c r="I34" s="14"/>
      <c r="J34" s="14"/>
      <c r="K34" s="14"/>
      <c r="L34" s="14"/>
      <c r="M34" s="14"/>
    </row>
    <row r="35" spans="2:13" s="18" customFormat="1">
      <c r="B35" s="14"/>
      <c r="C35" s="1705" t="s">
        <v>876</v>
      </c>
      <c r="D35" s="1705"/>
      <c r="E35" s="162"/>
      <c r="F35" s="1691" t="str">
        <f>tabellen!C61</f>
        <v>biobased, CO2-opslag</v>
      </c>
      <c r="G35" s="1691"/>
      <c r="H35" s="158">
        <f>IF(C35=0,"",(E35*VLOOKUP(F35,tabellen!$C$60:$E$62,3,)))</f>
        <v>0</v>
      </c>
      <c r="I35" s="34"/>
      <c r="J35" s="34"/>
      <c r="K35" s="34"/>
      <c r="L35" s="34"/>
      <c r="M35" s="34"/>
    </row>
    <row r="36" spans="2:13" s="18" customFormat="1">
      <c r="B36" s="14"/>
      <c r="C36" s="14"/>
      <c r="D36" s="14"/>
      <c r="E36" s="34"/>
      <c r="F36" s="34"/>
      <c r="G36" s="34"/>
      <c r="H36" s="34"/>
      <c r="I36" s="34"/>
      <c r="J36" s="34"/>
      <c r="K36" s="34"/>
      <c r="L36" s="34"/>
      <c r="M36" s="34"/>
    </row>
    <row r="37" spans="2:13" s="19" customFormat="1">
      <c r="B37" s="14"/>
      <c r="C37" s="15" t="s">
        <v>485</v>
      </c>
      <c r="D37" s="15"/>
      <c r="E37" s="15"/>
      <c r="F37" s="15"/>
      <c r="G37" s="15"/>
      <c r="H37" s="15"/>
      <c r="I37" s="15"/>
      <c r="J37" s="15"/>
      <c r="K37" s="15"/>
      <c r="L37" s="15"/>
      <c r="M37" s="15"/>
    </row>
    <row r="38" spans="2:13" s="18" customFormat="1">
      <c r="B38" s="14"/>
      <c r="C38" s="45" t="s">
        <v>857</v>
      </c>
      <c r="D38" s="38"/>
      <c r="E38" s="15"/>
      <c r="F38" s="15"/>
      <c r="G38" s="15"/>
      <c r="H38" s="15"/>
      <c r="I38" s="15"/>
      <c r="J38" s="15"/>
      <c r="K38" s="15"/>
      <c r="L38" s="15"/>
      <c r="M38" s="15"/>
    </row>
    <row r="39" spans="2:13" s="18" customFormat="1">
      <c r="B39" s="14"/>
      <c r="C39" s="22" t="s">
        <v>80</v>
      </c>
      <c r="D39" s="65"/>
      <c r="E39" s="15"/>
      <c r="F39" s="15"/>
      <c r="G39" s="15"/>
      <c r="H39" s="15"/>
      <c r="I39" s="15"/>
      <c r="J39" s="15"/>
      <c r="K39" s="15"/>
      <c r="L39" s="15"/>
      <c r="M39" s="15"/>
    </row>
    <row r="40" spans="2:13" s="18" customFormat="1" ht="54" customHeight="1">
      <c r="B40" s="14"/>
      <c r="C40" s="45" t="s">
        <v>866</v>
      </c>
      <c r="D40" s="63" t="str">
        <f>IFERROR(INDEX(tabellen!$F$60:$F$62,MATCH(D39,tabellen!$C$60:$C$62,0)),"")</f>
        <v/>
      </c>
      <c r="E40" s="15"/>
      <c r="F40" s="15"/>
      <c r="G40" s="15"/>
      <c r="H40" s="15"/>
      <c r="I40" s="15"/>
      <c r="J40" s="15"/>
      <c r="K40" s="15"/>
      <c r="L40" s="15"/>
      <c r="M40" s="15"/>
    </row>
    <row r="41" spans="2:13" s="18" customFormat="1">
      <c r="B41" s="14"/>
      <c r="C41" s="14"/>
      <c r="D41" s="14"/>
      <c r="E41" s="14"/>
      <c r="F41" s="14"/>
      <c r="G41" s="14"/>
      <c r="H41" s="14"/>
      <c r="I41" s="14"/>
      <c r="J41" s="14"/>
      <c r="K41" s="14"/>
      <c r="L41" s="14"/>
      <c r="M41" s="14"/>
    </row>
    <row r="42" spans="2:13">
      <c r="B42" s="141" t="str">
        <f>"© W/E adviseurs, Utrecht/Eindhoven, versie rekenhulpmiddelen "&amp;TEXT(Wijzigingsblad!$B$3,"d mmmm jjjj")</f>
        <v>© W/E adviseurs, Utrecht/Eindhoven, versie rekenhulpmiddelen 17 april 2024</v>
      </c>
    </row>
  </sheetData>
  <sortState xmlns:xlrd2="http://schemas.microsoft.com/office/spreadsheetml/2017/richdata2" ref="J20:K23">
    <sortCondition ref="J21:J23"/>
  </sortState>
  <mergeCells count="18">
    <mergeCell ref="B3:C3"/>
    <mergeCell ref="C27:D27"/>
    <mergeCell ref="C28:D28"/>
    <mergeCell ref="C29:D29"/>
    <mergeCell ref="C35:D35"/>
    <mergeCell ref="F35:G35"/>
    <mergeCell ref="D6:F6"/>
    <mergeCell ref="D7:F7"/>
    <mergeCell ref="D8:F8"/>
    <mergeCell ref="D9:F9"/>
    <mergeCell ref="D10:F10"/>
    <mergeCell ref="C24:D24"/>
    <mergeCell ref="C25:D25"/>
    <mergeCell ref="C26:D26"/>
    <mergeCell ref="C20:D20"/>
    <mergeCell ref="C21:D21"/>
    <mergeCell ref="C22:D22"/>
    <mergeCell ref="C23:D23"/>
  </mergeCells>
  <dataValidations count="2">
    <dataValidation type="list" allowBlank="1" showInputMessage="1" showErrorMessage="1" sqref="C24:C29" xr:uid="{6233989C-E616-4A13-9255-FFA7AFD98DF8}">
      <formula1>type_verbinding_keuzes</formula1>
    </dataValidation>
    <dataValidation type="list" allowBlank="1" showInputMessage="1" showErrorMessage="1" sqref="F20:F29 D39" xr:uid="{B21CC076-8858-4DDE-B523-53221F83E008}">
      <formula1>circulair_materiaalgebruik</formula1>
    </dataValidation>
  </dataValidations>
  <hyperlinks>
    <hyperlink ref="A1" location="'Overzicht GPR Hulpmiddelen'!A1" tooltip="naar startscherm" display="&lt;" xr:uid="{1E9A5503-D267-46B4-A717-C15480209F63}"/>
  </hyperlinks>
  <pageMargins left="0.7" right="0.7" top="0.75" bottom="0.75" header="0.3" footer="0.3"/>
  <pageSetup paperSize="9" scale="65" orientation="portrait" horizontalDpi="4294967293" verticalDpi="4294967295"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8240C-42F3-44EC-AD66-A16A369A6A86}">
  <sheetPr codeName="Blad31">
    <tabColor rgb="FFFFFF00"/>
  </sheetPr>
  <dimension ref="A1:BN33"/>
  <sheetViews>
    <sheetView showGridLines="0" showRowColHeaders="0" zoomScaleNormal="100" workbookViewId="0">
      <pane xSplit="1" ySplit="3" topLeftCell="B4" activePane="bottomRight" state="frozen"/>
      <selection pane="topRight" activeCell="B1" sqref="B1"/>
      <selection pane="bottomLeft" activeCell="A4" sqref="A4"/>
      <selection pane="bottomRight" activeCell="E18" sqref="E18"/>
    </sheetView>
  </sheetViews>
  <sheetFormatPr defaultRowHeight="13.5"/>
  <cols>
    <col min="1" max="1" width="10.7265625" customWidth="1"/>
    <col min="2" max="2" width="2.7265625" customWidth="1"/>
    <col min="3" max="3" width="25.7265625" customWidth="1"/>
    <col min="4" max="6" width="14.7265625" customWidth="1"/>
    <col min="7" max="9" width="11.7265625" customWidth="1"/>
    <col min="10" max="12" width="5.54296875" customWidth="1"/>
    <col min="13" max="13" width="11.1796875" customWidth="1"/>
    <col min="14" max="14" width="5.54296875" customWidth="1"/>
    <col min="15" max="15" width="9.1796875" hidden="1" customWidth="1"/>
    <col min="16" max="16" width="8.7265625" hidden="1" customWidth="1"/>
    <col min="17" max="17" width="15" hidden="1" customWidth="1"/>
    <col min="18" max="18" width="16.26953125" hidden="1" customWidth="1"/>
    <col min="19" max="20" width="24.26953125" hidden="1" customWidth="1"/>
    <col min="21" max="21" width="30.26953125" hidden="1" customWidth="1"/>
    <col min="22" max="22" width="15.453125" hidden="1" customWidth="1"/>
    <col min="23" max="23" width="17.7265625" hidden="1" customWidth="1"/>
    <col min="24" max="24" width="20" hidden="1" customWidth="1"/>
    <col min="25" max="25" width="22" hidden="1" customWidth="1"/>
    <col min="26" max="26" width="20.54296875" hidden="1" customWidth="1"/>
    <col min="27" max="27" width="28.26953125" hidden="1" customWidth="1"/>
    <col min="28" max="66" width="9.1796875" hidden="1" customWidth="1"/>
  </cols>
  <sheetData>
    <row r="1" spans="1:47" ht="32.5">
      <c r="A1" s="176" t="s">
        <v>12</v>
      </c>
      <c r="B1" s="174"/>
      <c r="C1" s="175"/>
      <c r="D1" s="31"/>
      <c r="E1" s="31"/>
      <c r="F1" s="31"/>
      <c r="G1" s="21"/>
      <c r="H1" s="18"/>
      <c r="I1" s="21"/>
      <c r="J1" s="18"/>
      <c r="K1" s="18"/>
      <c r="L1" s="18"/>
      <c r="M1" s="18"/>
      <c r="N1" s="18"/>
      <c r="O1" s="18"/>
      <c r="P1" s="18"/>
      <c r="Q1" s="18"/>
      <c r="R1" s="18"/>
      <c r="S1" s="18"/>
      <c r="T1" s="18"/>
      <c r="U1" s="18"/>
      <c r="V1" s="18"/>
      <c r="W1" s="18"/>
      <c r="X1" s="18"/>
      <c r="Y1" s="18"/>
      <c r="Z1" s="18"/>
      <c r="AA1" s="18"/>
    </row>
    <row r="2" spans="1:47" ht="21">
      <c r="A2" s="33" t="s">
        <v>877</v>
      </c>
      <c r="B2" s="28" t="s">
        <v>878</v>
      </c>
      <c r="C2" s="28"/>
      <c r="D2" s="28"/>
      <c r="E2" s="28"/>
      <c r="F2" s="28"/>
      <c r="G2" s="27"/>
      <c r="H2" s="27"/>
      <c r="I2" s="27"/>
      <c r="J2" s="27"/>
      <c r="K2" s="27"/>
      <c r="L2" s="27"/>
      <c r="M2" s="27"/>
      <c r="N2" s="27"/>
      <c r="O2" s="27"/>
      <c r="P2" s="27" t="s">
        <v>879</v>
      </c>
      <c r="Q2" s="28" t="s">
        <v>880</v>
      </c>
      <c r="R2" s="19"/>
      <c r="S2" s="28" t="s">
        <v>881</v>
      </c>
      <c r="T2" s="19"/>
      <c r="U2" s="19"/>
      <c r="V2" s="19"/>
      <c r="W2" s="19"/>
      <c r="X2" s="19"/>
      <c r="Y2" s="19"/>
      <c r="Z2" s="19"/>
      <c r="AA2" s="19"/>
    </row>
    <row r="3" spans="1:47" ht="17.5">
      <c r="A3" s="29"/>
      <c r="B3" s="1687">
        <v>45096</v>
      </c>
      <c r="C3" s="1688"/>
      <c r="D3" s="30"/>
      <c r="E3" s="29"/>
      <c r="F3" s="29"/>
      <c r="G3" s="29"/>
      <c r="H3" s="29"/>
      <c r="I3" s="29"/>
      <c r="J3" s="29"/>
      <c r="K3" s="29"/>
      <c r="L3" s="29"/>
      <c r="M3" s="29"/>
      <c r="N3" s="29"/>
      <c r="O3" s="29"/>
      <c r="P3" s="29"/>
      <c r="R3" s="29"/>
      <c r="S3" s="29"/>
      <c r="T3" s="29"/>
      <c r="U3" s="29"/>
      <c r="V3" s="29"/>
      <c r="W3" s="29"/>
      <c r="X3" s="29"/>
      <c r="Y3" s="29"/>
      <c r="Z3" s="29"/>
      <c r="AA3" s="29"/>
    </row>
    <row r="4" spans="1:47" ht="17.5">
      <c r="A4" s="18"/>
      <c r="B4" s="14"/>
      <c r="C4" s="67"/>
      <c r="D4" s="67"/>
      <c r="E4" s="67"/>
      <c r="F4" s="67"/>
      <c r="G4" s="14"/>
      <c r="H4" s="14"/>
      <c r="I4" s="14"/>
      <c r="J4" s="14"/>
      <c r="K4" s="14"/>
      <c r="L4" s="14"/>
      <c r="M4" s="14"/>
      <c r="N4" s="14"/>
      <c r="O4" s="18"/>
      <c r="P4" s="14"/>
      <c r="Q4" s="18"/>
      <c r="R4" s="18"/>
      <c r="S4" s="18"/>
      <c r="T4" s="18"/>
      <c r="U4" s="18"/>
      <c r="V4" s="18"/>
      <c r="W4" s="18"/>
      <c r="X4" s="18"/>
      <c r="Y4" s="18"/>
      <c r="Z4" s="18"/>
      <c r="AA4" s="18"/>
    </row>
    <row r="5" spans="1:47" ht="17.5">
      <c r="A5" s="19"/>
      <c r="B5" s="14"/>
      <c r="C5" s="68" t="s">
        <v>3</v>
      </c>
      <c r="D5" s="68"/>
      <c r="E5" s="68"/>
      <c r="F5" s="67"/>
      <c r="G5" s="68" t="s">
        <v>485</v>
      </c>
      <c r="H5" s="14"/>
      <c r="I5" s="14"/>
      <c r="J5" s="14"/>
      <c r="K5" s="14"/>
      <c r="L5" s="14"/>
      <c r="M5" s="14"/>
      <c r="N5" s="14"/>
      <c r="O5" s="19"/>
      <c r="P5" s="14"/>
      <c r="Q5" s="19"/>
      <c r="R5" s="19"/>
      <c r="S5" s="19"/>
      <c r="T5" s="19"/>
      <c r="U5" s="19"/>
      <c r="V5" s="19"/>
      <c r="W5" s="19"/>
      <c r="X5" s="19"/>
      <c r="Y5" s="19"/>
      <c r="Z5" s="19"/>
      <c r="AA5" s="19"/>
    </row>
    <row r="6" spans="1:47" ht="17.25" customHeight="1">
      <c r="A6" s="19"/>
      <c r="B6" s="14"/>
      <c r="C6" s="22" t="s">
        <v>4</v>
      </c>
      <c r="D6" s="1691" t="str">
        <f>IF('Overzicht GPR Hulpmiddelen'!D6="","",'Overzicht GPR Hulpmiddelen'!D6)</f>
        <v/>
      </c>
      <c r="E6" s="1691"/>
      <c r="F6" s="67"/>
      <c r="G6" s="67"/>
      <c r="H6" s="67"/>
      <c r="I6" s="67"/>
      <c r="J6" s="14"/>
      <c r="K6" s="14"/>
      <c r="L6" s="14"/>
      <c r="M6" s="14"/>
      <c r="N6" s="14"/>
      <c r="O6" s="19"/>
      <c r="P6" s="14"/>
      <c r="Q6" s="19"/>
      <c r="R6" s="19"/>
      <c r="S6" s="19"/>
      <c r="T6" s="19"/>
      <c r="U6" s="19"/>
      <c r="V6" s="19"/>
      <c r="W6" s="19"/>
      <c r="X6" s="19"/>
      <c r="Y6" s="19"/>
      <c r="Z6" s="19"/>
      <c r="AA6" s="19"/>
    </row>
    <row r="7" spans="1:47" ht="17.5">
      <c r="A7" s="19"/>
      <c r="B7" s="14"/>
      <c r="C7" s="22" t="s">
        <v>5</v>
      </c>
      <c r="D7" s="1691" t="str">
        <f>IF('Overzicht GPR Hulpmiddelen'!D7="","",'Overzicht GPR Hulpmiddelen'!D7)</f>
        <v/>
      </c>
      <c r="E7" s="1691"/>
      <c r="F7" s="67"/>
      <c r="G7" s="67"/>
      <c r="H7" s="67"/>
      <c r="I7" s="67"/>
      <c r="J7" s="14"/>
      <c r="K7" s="14"/>
      <c r="L7" s="14"/>
      <c r="M7" s="14"/>
      <c r="N7" s="14"/>
      <c r="O7" s="19"/>
      <c r="P7" s="14"/>
      <c r="Q7" s="19"/>
      <c r="R7" s="19"/>
      <c r="S7" s="19"/>
      <c r="T7" s="19"/>
      <c r="U7" s="19"/>
      <c r="V7" s="19"/>
      <c r="W7" s="19"/>
      <c r="X7" s="19"/>
      <c r="Y7" s="19"/>
      <c r="Z7" s="19"/>
      <c r="AA7" s="19"/>
    </row>
    <row r="8" spans="1:47" ht="17.5">
      <c r="A8" s="19"/>
      <c r="B8" s="14"/>
      <c r="C8" s="22" t="s">
        <v>6</v>
      </c>
      <c r="D8" s="1691" t="str">
        <f>IF('Overzicht GPR Hulpmiddelen'!D8="","",'Overzicht GPR Hulpmiddelen'!D8)</f>
        <v/>
      </c>
      <c r="E8" s="1691"/>
      <c r="F8" s="67"/>
      <c r="G8" s="67"/>
      <c r="H8" s="67"/>
      <c r="I8" s="67"/>
      <c r="J8" s="14"/>
      <c r="K8" s="14"/>
      <c r="L8" s="14"/>
      <c r="M8" s="14"/>
      <c r="N8" s="14"/>
      <c r="O8" s="19"/>
      <c r="P8" s="14"/>
      <c r="Q8" s="19"/>
      <c r="R8" s="19"/>
      <c r="S8" s="19"/>
      <c r="T8" s="19"/>
      <c r="U8" s="19"/>
      <c r="V8" s="19"/>
      <c r="W8" s="19"/>
      <c r="X8" s="19"/>
      <c r="Y8" s="19"/>
      <c r="Z8" s="19"/>
      <c r="AA8" s="19"/>
    </row>
    <row r="9" spans="1:47" ht="17.5">
      <c r="A9" s="19"/>
      <c r="B9" s="14"/>
      <c r="C9" s="22" t="s">
        <v>7</v>
      </c>
      <c r="D9" s="1699" t="str">
        <f>IF('Overzicht GPR Hulpmiddelen'!D9="","",'Overzicht GPR Hulpmiddelen'!D9)</f>
        <v/>
      </c>
      <c r="E9" s="1699"/>
      <c r="F9" s="67"/>
      <c r="G9" s="67"/>
      <c r="H9" s="67"/>
      <c r="I9" s="67"/>
      <c r="J9" s="14"/>
      <c r="K9" s="14"/>
      <c r="L9" s="14"/>
      <c r="M9" s="14"/>
      <c r="N9" s="14"/>
      <c r="O9" s="19"/>
      <c r="P9" s="14"/>
      <c r="Q9" s="19"/>
      <c r="R9" s="19"/>
      <c r="S9" s="19"/>
      <c r="T9" s="19"/>
      <c r="U9" s="19"/>
      <c r="V9" s="19"/>
      <c r="W9" s="19"/>
      <c r="X9" s="19"/>
      <c r="Y9" s="19"/>
      <c r="Z9" s="19"/>
      <c r="AA9" s="19"/>
    </row>
    <row r="10" spans="1:47" ht="17.5">
      <c r="A10" s="19"/>
      <c r="B10" s="14"/>
      <c r="C10" s="22" t="s">
        <v>488</v>
      </c>
      <c r="D10" s="1685"/>
      <c r="E10" s="1685"/>
      <c r="F10" s="67"/>
      <c r="G10" s="67"/>
      <c r="H10" s="67"/>
      <c r="I10" s="67"/>
      <c r="J10" s="14"/>
      <c r="K10" s="14"/>
      <c r="L10" s="14"/>
      <c r="M10" s="14"/>
      <c r="N10" s="14"/>
      <c r="O10" s="19"/>
      <c r="P10" s="14"/>
      <c r="Q10" s="19"/>
      <c r="R10" s="19"/>
      <c r="S10" s="19"/>
      <c r="T10" s="19"/>
      <c r="U10" s="19"/>
      <c r="V10" s="19"/>
      <c r="W10" s="19"/>
      <c r="X10" s="19"/>
      <c r="Y10" s="19"/>
      <c r="Z10" s="19"/>
      <c r="AA10" s="19"/>
    </row>
    <row r="11" spans="1:47" ht="17.5">
      <c r="A11" s="19"/>
      <c r="B11" s="14"/>
      <c r="C11" s="67"/>
      <c r="D11" s="67"/>
      <c r="E11" s="67"/>
      <c r="F11" s="67"/>
      <c r="G11" s="67"/>
      <c r="H11" s="67"/>
      <c r="I11" s="67"/>
      <c r="J11" s="14"/>
      <c r="K11" s="14"/>
      <c r="L11" s="14"/>
      <c r="M11" s="14"/>
      <c r="N11" s="14"/>
      <c r="O11" s="19"/>
      <c r="P11" s="12"/>
      <c r="Q11" s="19"/>
      <c r="R11" s="19"/>
      <c r="S11" s="29"/>
      <c r="T11" s="29"/>
      <c r="U11" s="29"/>
      <c r="V11" s="29"/>
      <c r="W11" s="29"/>
      <c r="X11" s="29"/>
      <c r="Y11" s="29"/>
      <c r="Z11" s="29"/>
      <c r="AA11" s="29"/>
    </row>
    <row r="12" spans="1:47" ht="17.5">
      <c r="A12" s="19"/>
      <c r="B12" s="14"/>
      <c r="C12" s="68" t="s">
        <v>882</v>
      </c>
      <c r="D12" s="68"/>
      <c r="E12" s="68"/>
      <c r="F12" s="67"/>
      <c r="G12" s="67"/>
      <c r="H12" s="67"/>
      <c r="I12" s="67"/>
      <c r="J12" s="14"/>
      <c r="K12" s="14"/>
      <c r="L12" s="14"/>
      <c r="M12" s="14"/>
      <c r="N12" s="14"/>
      <c r="O12" s="19"/>
      <c r="P12" s="12"/>
      <c r="Q12" s="19"/>
      <c r="R12" s="19"/>
      <c r="S12" s="19"/>
      <c r="T12" s="19"/>
      <c r="U12" s="19"/>
      <c r="V12" s="19"/>
      <c r="W12" s="19"/>
      <c r="X12" s="19"/>
      <c r="Y12" s="19"/>
      <c r="Z12" s="19"/>
      <c r="AA12" s="19"/>
    </row>
    <row r="13" spans="1:47" s="400" customFormat="1" ht="17.5">
      <c r="A13" s="19"/>
      <c r="B13" s="14"/>
      <c r="C13" s="90" t="s">
        <v>295</v>
      </c>
      <c r="D13" s="1702" t="s">
        <v>297</v>
      </c>
      <c r="E13" s="1702"/>
      <c r="F13" s="67"/>
      <c r="G13" s="67"/>
      <c r="H13" s="67"/>
      <c r="I13" s="67"/>
      <c r="J13" s="719"/>
      <c r="K13" s="719"/>
      <c r="L13" s="719"/>
      <c r="M13" s="719"/>
      <c r="N13" s="719"/>
      <c r="O13" s="720"/>
      <c r="P13" s="90">
        <f ca="1">COUNTA(OFFSET(P13,0,1,1,1000))</f>
        <v>11</v>
      </c>
      <c r="Q13" s="720" t="str" cm="1">
        <f t="array" ref="Q13:AA13">_xlfn._xlws.SORT(_xlfn.UNIQUE(_xlfn._xlws.FILTER(voorbeeldgebouwen_gebruiksfuncties,voorbeeldgebouwen_gebruiksfuncties&lt;&gt;0,""),TRUE,),,-1,TRUE)</f>
        <v>woongebouw</v>
      </c>
      <c r="R13" s="399" t="str">
        <v>woning</v>
      </c>
      <c r="S13" s="399" t="str">
        <v>winkel</v>
      </c>
      <c r="T13" s="399" t="str">
        <v>sport</v>
      </c>
      <c r="U13" s="399" t="str">
        <v>onderwijs</v>
      </c>
      <c r="V13" s="399" t="str">
        <v>logies</v>
      </c>
      <c r="W13" s="399" t="str">
        <v>kantoor</v>
      </c>
      <c r="X13" s="399" t="str">
        <v>gezondheid overig</v>
      </c>
      <c r="Y13" s="399" t="str">
        <v>gezondheid met bed</v>
      </c>
      <c r="Z13" s="399" t="str">
        <v>bijeenkomst overig</v>
      </c>
      <c r="AA13" s="399" t="str">
        <v>bijeenkomst kinderopvang</v>
      </c>
    </row>
    <row r="14" spans="1:47" s="400" customFormat="1" ht="17.5">
      <c r="A14" s="19"/>
      <c r="B14" s="14"/>
      <c r="C14" s="90" t="s">
        <v>883</v>
      </c>
      <c r="D14" s="1702" t="s">
        <v>212</v>
      </c>
      <c r="E14" s="1702"/>
      <c r="F14" s="67"/>
      <c r="G14" s="67"/>
      <c r="H14" s="67"/>
      <c r="I14" s="67"/>
      <c r="J14" s="719"/>
      <c r="K14" s="719"/>
      <c r="L14" s="719"/>
      <c r="M14" s="719"/>
      <c r="N14" s="719"/>
      <c r="O14" s="720"/>
      <c r="P14" s="90">
        <f ca="1">COUNTA(OFFSET(P14,0,1,1,1000))</f>
        <v>31</v>
      </c>
      <c r="Q14" s="720" t="str" cm="1">
        <f t="array" ref="Q14:AU14">_xlfn._xlws.FILTER(voorbeeldgebouwen,voorbeeldgebouwen_gebruiksfuncties=$D$13,"")</f>
        <v>woning vrij L</v>
      </c>
      <c r="R14" s="399" t="str">
        <v>hoekwoning M</v>
      </c>
      <c r="S14" s="399" t="str">
        <v>logieswoning</v>
      </c>
      <c r="T14" s="399" t="str">
        <v>tussenwon S</v>
      </c>
      <c r="U14" s="399" t="str">
        <v>tussenwon M</v>
      </c>
      <c r="V14" s="399" t="str">
        <v>vrij &lt; 1965</v>
      </c>
      <c r="W14" s="399" t="str">
        <v>vrij 1965 - 1974</v>
      </c>
      <c r="X14" s="399" t="str">
        <v>vrij 1975 - 1991</v>
      </c>
      <c r="Y14" s="399" t="str">
        <v>vrij 1992 - 2005</v>
      </c>
      <c r="Z14" s="399" t="str">
        <v>vrij 2006 - 2012</v>
      </c>
      <c r="AA14" s="399" t="str">
        <v>vrij &gt; 2012</v>
      </c>
      <c r="AB14" s="400" t="str">
        <v>2/1 kap &lt; 1965</v>
      </c>
      <c r="AC14" s="400" t="str">
        <v>2/1 kap 1965 - 1974</v>
      </c>
      <c r="AD14" s="400" t="str">
        <v>2/1 kap 1975 - 1991</v>
      </c>
      <c r="AE14" s="400" t="str">
        <v>2/1 kap 1992 - 2005</v>
      </c>
      <c r="AF14" s="400" t="str">
        <v>2/1 kap 2006 - 2012</v>
      </c>
      <c r="AG14" s="400" t="str">
        <v>2/1 kap &gt; 2012</v>
      </c>
      <c r="AH14" s="400" t="str">
        <v>hoek &lt; 1946</v>
      </c>
      <c r="AI14" s="400" t="str">
        <v>hoek 1946 - 1964</v>
      </c>
      <c r="AJ14" s="400" t="str">
        <v>hoek 1965 - 1974</v>
      </c>
      <c r="AK14" s="400" t="str">
        <v>hoek 1975 - 1991</v>
      </c>
      <c r="AL14" s="400" t="str">
        <v>hoek 1992 - 2005</v>
      </c>
      <c r="AM14" s="400" t="str">
        <v>hoek 2006 - 2012</v>
      </c>
      <c r="AN14" s="400" t="str">
        <v>hoek &gt; 2012</v>
      </c>
      <c r="AO14" s="400" t="str">
        <v>tussen &lt; 1946</v>
      </c>
      <c r="AP14" s="400" t="str">
        <v>tussen 1946 - 1964</v>
      </c>
      <c r="AQ14" s="400" t="str">
        <v>tussen 1965 - 1974</v>
      </c>
      <c r="AR14" s="400" t="str">
        <v>tussen 1975 - 1991</v>
      </c>
      <c r="AS14" s="400" t="str">
        <v>tussen 1992 - 2005</v>
      </c>
      <c r="AT14" s="400" t="str">
        <v>tussen 2006 - 2012</v>
      </c>
      <c r="AU14" s="400" t="str">
        <v>tussen &gt; 2012</v>
      </c>
    </row>
    <row r="15" spans="1:47" ht="17.5">
      <c r="A15" s="19"/>
      <c r="B15" s="14"/>
      <c r="C15" s="67"/>
      <c r="D15" s="67"/>
      <c r="E15" s="67"/>
      <c r="F15" s="67"/>
      <c r="G15" s="67"/>
      <c r="H15" s="67"/>
      <c r="I15" s="67"/>
      <c r="J15" s="14"/>
      <c r="K15" s="14"/>
      <c r="L15" s="14"/>
      <c r="M15" s="14"/>
      <c r="N15" s="14"/>
      <c r="O15" s="19"/>
      <c r="P15" s="12"/>
      <c r="Q15" s="19"/>
      <c r="R15" s="19"/>
      <c r="S15" s="29"/>
      <c r="T15" s="29"/>
      <c r="U15" s="29"/>
      <c r="V15" s="29"/>
      <c r="W15" s="29"/>
      <c r="X15" s="29"/>
      <c r="Y15" s="29"/>
      <c r="Z15" s="29"/>
      <c r="AA15" s="29"/>
    </row>
    <row r="16" spans="1:47" ht="17.5">
      <c r="A16" s="19"/>
      <c r="B16" s="14"/>
      <c r="C16" s="68" t="s">
        <v>884</v>
      </c>
      <c r="D16" s="68"/>
      <c r="E16" s="68"/>
      <c r="F16" s="68"/>
      <c r="G16" s="79"/>
      <c r="H16" s="79"/>
      <c r="I16" s="79"/>
      <c r="J16" s="719"/>
      <c r="K16" s="719"/>
      <c r="L16" s="719"/>
      <c r="M16" s="719"/>
      <c r="N16" s="719"/>
      <c r="O16" s="19"/>
      <c r="P16" s="12"/>
      <c r="Q16" s="19"/>
      <c r="R16" s="19"/>
      <c r="S16" s="19"/>
      <c r="T16" s="19"/>
      <c r="U16" s="19"/>
      <c r="V16" s="19"/>
      <c r="W16" s="19"/>
      <c r="X16" s="19"/>
      <c r="Y16" s="19"/>
      <c r="Z16" s="19"/>
      <c r="AA16" s="19"/>
    </row>
    <row r="17" spans="1:27" ht="32">
      <c r="A17" s="19"/>
      <c r="B17" s="210"/>
      <c r="C17" s="118" t="s">
        <v>885</v>
      </c>
      <c r="D17" s="427" t="s">
        <v>886</v>
      </c>
      <c r="E17" s="427" t="s">
        <v>887</v>
      </c>
      <c r="F17" s="427" t="s">
        <v>888</v>
      </c>
      <c r="G17" s="427" t="s">
        <v>889</v>
      </c>
      <c r="H17" s="427" t="s">
        <v>890</v>
      </c>
      <c r="I17" s="427" t="s">
        <v>891</v>
      </c>
      <c r="J17" s="721"/>
      <c r="K17" s="721"/>
      <c r="L17" s="721"/>
      <c r="M17" s="721"/>
      <c r="N17" s="721"/>
      <c r="O17" s="116"/>
      <c r="P17" s="398"/>
      <c r="Q17" s="116"/>
      <c r="R17" s="116"/>
      <c r="S17" s="397" t="s">
        <v>892</v>
      </c>
      <c r="T17" s="397" t="s">
        <v>893</v>
      </c>
      <c r="U17" s="116"/>
      <c r="V17" s="116"/>
      <c r="W17" s="116"/>
      <c r="X17" s="116"/>
      <c r="Y17" s="116"/>
      <c r="Z17" s="116"/>
      <c r="AA17" s="116"/>
    </row>
    <row r="18" spans="1:27" ht="17.5">
      <c r="A18" s="19"/>
      <c r="B18" s="14"/>
      <c r="C18" s="90" t="s">
        <v>310</v>
      </c>
      <c r="D18" s="115">
        <f>INDEX(voorbeeldgebouwen_Ag,MATCH(D$14,voorbeeldgebouwen,0))</f>
        <v>110.07</v>
      </c>
      <c r="E18" s="154"/>
      <c r="F18" s="115">
        <f>IF(E18="",D18,E18)</f>
        <v>110.07</v>
      </c>
      <c r="G18" s="23"/>
      <c r="H18" s="23"/>
      <c r="I18" s="23"/>
      <c r="J18" s="719"/>
      <c r="K18" s="719"/>
      <c r="L18" s="719"/>
      <c r="M18" s="719"/>
      <c r="N18" s="719"/>
      <c r="O18" s="19"/>
      <c r="P18" s="12"/>
      <c r="Q18" s="19"/>
      <c r="R18" s="19"/>
      <c r="S18" s="23"/>
      <c r="T18" s="38"/>
      <c r="U18" s="19"/>
      <c r="V18" s="19"/>
      <c r="W18" s="19"/>
      <c r="X18" s="19"/>
      <c r="Y18" s="19"/>
      <c r="Z18" s="19"/>
      <c r="AA18" s="19"/>
    </row>
    <row r="19" spans="1:27" ht="17.5">
      <c r="A19" s="19"/>
      <c r="B19" s="14"/>
      <c r="C19" s="90" t="s">
        <v>313</v>
      </c>
      <c r="D19" s="115">
        <f>INDEX(voorbeeldgebouwen_m2_bg_vloer,MATCH(D$14,voorbeeldgebouwen,0))</f>
        <v>41.42</v>
      </c>
      <c r="E19" s="154"/>
      <c r="F19" s="115">
        <f t="shared" ref="F19:F23" si="0">IF(E19="",D19,E19)</f>
        <v>41.42</v>
      </c>
      <c r="G19" s="919"/>
      <c r="H19" s="23"/>
      <c r="I19" s="153" t="str">
        <f>IF(G19="","",CEILING(1/(G19+S19),0.01))</f>
        <v/>
      </c>
      <c r="J19" s="719"/>
      <c r="K19" s="719"/>
      <c r="L19" s="719"/>
      <c r="M19" s="719"/>
      <c r="N19" s="719"/>
      <c r="O19" s="19"/>
      <c r="P19" s="12"/>
      <c r="Q19" s="19"/>
      <c r="R19" s="19"/>
      <c r="S19" s="392" t="str">
        <f>IF(G19="","",0.26)</f>
        <v/>
      </c>
      <c r="T19" s="392" t="str">
        <f t="shared" ref="T19:T23" si="1">IF(I19="","",I19*F19)</f>
        <v/>
      </c>
      <c r="U19" s="19"/>
      <c r="V19" s="19"/>
      <c r="W19" s="19"/>
      <c r="X19" s="19"/>
      <c r="Y19" s="19"/>
      <c r="Z19" s="19"/>
      <c r="AA19" s="19"/>
    </row>
    <row r="20" spans="1:27" ht="17.5">
      <c r="A20" s="19"/>
      <c r="B20" s="14"/>
      <c r="C20" s="90" t="s">
        <v>314</v>
      </c>
      <c r="D20" s="115">
        <f>INDEX(voorbeeldgebouwen_m2_dichte_gevel,MATCH(D$14,voorbeeldgebouwen,0))</f>
        <v>41.56</v>
      </c>
      <c r="E20" s="154"/>
      <c r="F20" s="115">
        <f t="shared" si="0"/>
        <v>41.56</v>
      </c>
      <c r="G20" s="919"/>
      <c r="H20" s="23"/>
      <c r="I20" s="153" t="str">
        <f>IF(G20="","",CEILING(1/(G20+S20),0.01))</f>
        <v/>
      </c>
      <c r="J20" s="719"/>
      <c r="K20" s="719"/>
      <c r="L20" s="719"/>
      <c r="M20" s="719"/>
      <c r="N20" s="719"/>
      <c r="O20" s="19"/>
      <c r="P20" s="12"/>
      <c r="Q20" s="19"/>
      <c r="R20" s="19"/>
      <c r="S20" s="392" t="str">
        <f>IF(G20="","",0.17)</f>
        <v/>
      </c>
      <c r="T20" s="392" t="str">
        <f t="shared" si="1"/>
        <v/>
      </c>
      <c r="U20" s="19"/>
      <c r="V20" s="19"/>
      <c r="W20" s="19"/>
      <c r="X20" s="19"/>
      <c r="Y20" s="19"/>
      <c r="Z20" s="19"/>
      <c r="AA20" s="19"/>
    </row>
    <row r="21" spans="1:27" ht="17.5">
      <c r="A21" s="19"/>
      <c r="B21" s="14"/>
      <c r="C21" s="90" t="s">
        <v>315</v>
      </c>
      <c r="D21" s="115">
        <f>INDEX(voorbeeldgebouwen_m2_plat_dak,MATCH(D$14,voorbeeldgebouwen,0))</f>
        <v>62.38</v>
      </c>
      <c r="E21" s="154"/>
      <c r="F21" s="115">
        <f t="shared" si="0"/>
        <v>62.38</v>
      </c>
      <c r="G21" s="919"/>
      <c r="H21" s="23"/>
      <c r="I21" s="153" t="str">
        <f>IF(G21="","",CEILING(1/(G21+S21),0.01))</f>
        <v/>
      </c>
      <c r="J21" s="719"/>
      <c r="K21" s="719"/>
      <c r="L21" s="719"/>
      <c r="M21" s="719"/>
      <c r="N21" s="719"/>
      <c r="O21" s="19"/>
      <c r="P21" s="12"/>
      <c r="Q21" s="19"/>
      <c r="R21" s="19"/>
      <c r="S21" s="392" t="str">
        <f>IF(G21="","",0.13)</f>
        <v/>
      </c>
      <c r="T21" s="392" t="str">
        <f t="shared" si="1"/>
        <v/>
      </c>
      <c r="U21" s="19"/>
      <c r="V21" s="19"/>
      <c r="W21" s="19"/>
      <c r="X21" s="19"/>
      <c r="Y21" s="19"/>
      <c r="Z21" s="19"/>
      <c r="AA21" s="19"/>
    </row>
    <row r="22" spans="1:27" ht="17.5">
      <c r="A22" s="19"/>
      <c r="B22" s="14"/>
      <c r="C22" s="90" t="s">
        <v>316</v>
      </c>
      <c r="D22" s="115">
        <f>INDEX(voorbeeldgebouwen_m2_raam,MATCH(D$14,voorbeeldgebouwen,0))</f>
        <v>16.36</v>
      </c>
      <c r="E22" s="154"/>
      <c r="F22" s="115">
        <f t="shared" si="0"/>
        <v>16.36</v>
      </c>
      <c r="G22" s="23"/>
      <c r="H22" s="919"/>
      <c r="I22" s="153" t="str">
        <f>IF(H22="","",CEILING(H22,0.01))</f>
        <v/>
      </c>
      <c r="J22" s="719"/>
      <c r="K22" s="719"/>
      <c r="L22" s="719"/>
      <c r="M22" s="719"/>
      <c r="N22" s="719"/>
      <c r="O22" s="19"/>
      <c r="P22" s="14"/>
      <c r="Q22" s="19"/>
      <c r="R22" s="19"/>
      <c r="S22" s="19"/>
      <c r="T22" s="392" t="str">
        <f t="shared" si="1"/>
        <v/>
      </c>
      <c r="U22" s="19"/>
      <c r="V22" s="19"/>
      <c r="W22" s="19"/>
      <c r="X22" s="19"/>
      <c r="Y22" s="19"/>
      <c r="Z22" s="19"/>
      <c r="AA22" s="19"/>
    </row>
    <row r="23" spans="1:27" ht="17.5">
      <c r="A23" s="19"/>
      <c r="B23" s="14"/>
      <c r="C23" s="90" t="s">
        <v>317</v>
      </c>
      <c r="D23" s="115">
        <f>INDEX(voorbeeldgebouwen_m2_deur,MATCH(D$14,voorbeeldgebouwen,0))</f>
        <v>2.4700000000000002</v>
      </c>
      <c r="E23" s="154"/>
      <c r="F23" s="115">
        <f t="shared" si="0"/>
        <v>2.4700000000000002</v>
      </c>
      <c r="G23" s="23"/>
      <c r="H23" s="919"/>
      <c r="I23" s="153" t="str">
        <f>IF(H23="","",CEILING(H23,0.01))</f>
        <v/>
      </c>
      <c r="J23" s="14"/>
      <c r="K23" s="14"/>
      <c r="L23" s="14"/>
      <c r="M23" s="14"/>
      <c r="N23" s="14"/>
      <c r="O23" s="19"/>
      <c r="P23" s="12"/>
      <c r="Q23" s="19"/>
      <c r="R23" s="19"/>
      <c r="S23" s="19"/>
      <c r="T23" s="392" t="str">
        <f t="shared" si="1"/>
        <v/>
      </c>
      <c r="U23" s="19"/>
      <c r="V23" s="19"/>
      <c r="W23" s="19"/>
      <c r="X23" s="19"/>
      <c r="Y23" s="19"/>
      <c r="Z23" s="19"/>
      <c r="AA23" s="19"/>
    </row>
    <row r="24" spans="1:27" ht="17.5">
      <c r="A24" s="19"/>
      <c r="B24" s="14"/>
      <c r="C24" s="90" t="s">
        <v>318</v>
      </c>
      <c r="D24" s="115"/>
      <c r="E24" s="115"/>
      <c r="F24" s="115">
        <f>0.7*F19+SUM(F20:F23)</f>
        <v>151.76400000000001</v>
      </c>
      <c r="G24" s="23"/>
      <c r="H24" s="23"/>
      <c r="I24" s="153"/>
      <c r="J24" s="719"/>
      <c r="K24" s="719"/>
      <c r="L24" s="719"/>
      <c r="M24" s="719"/>
      <c r="N24" s="719"/>
      <c r="O24" s="19"/>
      <c r="P24" s="12"/>
      <c r="Q24" s="19"/>
      <c r="R24" s="19"/>
      <c r="S24" s="19"/>
      <c r="T24" s="392">
        <f>SUM(T19:T23)</f>
        <v>0</v>
      </c>
      <c r="U24" s="19"/>
      <c r="V24" s="19"/>
      <c r="W24" s="19"/>
      <c r="X24" s="19"/>
      <c r="Y24" s="19"/>
      <c r="Z24" s="19"/>
      <c r="AA24" s="19"/>
    </row>
    <row r="25" spans="1:27" ht="17.5">
      <c r="A25" s="19"/>
      <c r="B25" s="14"/>
      <c r="C25" s="90" t="s">
        <v>894</v>
      </c>
      <c r="D25" s="115"/>
      <c r="E25" s="115"/>
      <c r="F25" s="115">
        <f>F24/F18</f>
        <v>1.3787953120741347</v>
      </c>
      <c r="G25" s="23"/>
      <c r="H25" s="23"/>
      <c r="I25" s="153"/>
      <c r="J25" s="719"/>
      <c r="K25" s="719"/>
      <c r="L25" s="719"/>
      <c r="M25" s="719"/>
      <c r="N25" s="719"/>
      <c r="O25" s="19"/>
      <c r="P25" s="12"/>
      <c r="Q25" s="19"/>
      <c r="R25" s="19"/>
      <c r="S25" s="19"/>
      <c r="T25" s="19"/>
      <c r="U25" s="19"/>
      <c r="V25" s="19"/>
      <c r="W25" s="19"/>
      <c r="X25" s="19"/>
      <c r="Y25" s="19"/>
      <c r="Z25" s="19"/>
      <c r="AA25" s="19"/>
    </row>
    <row r="26" spans="1:27" ht="17.5">
      <c r="A26" s="19"/>
      <c r="B26" s="14"/>
      <c r="C26" s="90" t="s">
        <v>895</v>
      </c>
      <c r="D26" s="115"/>
      <c r="E26" s="115"/>
      <c r="F26" s="115"/>
      <c r="G26" s="23"/>
      <c r="H26" s="23"/>
      <c r="I26" s="153">
        <f>IF(F24=0,0,T24/F24)</f>
        <v>0</v>
      </c>
      <c r="J26" s="719"/>
      <c r="K26" s="719"/>
      <c r="L26" s="719"/>
      <c r="M26" s="719"/>
      <c r="N26" s="719"/>
      <c r="O26" s="19"/>
      <c r="P26" s="12"/>
      <c r="Q26" s="19"/>
      <c r="R26" s="19"/>
      <c r="S26" s="19"/>
      <c r="T26" s="19"/>
      <c r="U26" s="19"/>
      <c r="V26" s="19"/>
      <c r="W26" s="19"/>
      <c r="X26" s="19"/>
      <c r="Y26" s="19"/>
      <c r="Z26" s="19"/>
      <c r="AA26" s="19"/>
    </row>
    <row r="27" spans="1:27" ht="17.5">
      <c r="A27" s="19"/>
      <c r="B27" s="14"/>
      <c r="C27" s="67"/>
      <c r="D27" s="67"/>
      <c r="E27" s="67"/>
      <c r="F27" s="67"/>
      <c r="G27" s="67"/>
      <c r="H27" s="67"/>
      <c r="I27" s="67"/>
      <c r="J27" s="14"/>
      <c r="K27" s="14"/>
      <c r="L27" s="14"/>
      <c r="M27" s="14"/>
      <c r="N27" s="14"/>
      <c r="O27" s="19"/>
      <c r="P27" s="12"/>
      <c r="Q27" s="19"/>
      <c r="R27" s="19"/>
      <c r="S27" s="19"/>
      <c r="T27" s="19"/>
      <c r="U27" s="19"/>
      <c r="V27" s="19"/>
      <c r="W27" s="19"/>
      <c r="X27" s="19"/>
      <c r="Y27" s="19"/>
      <c r="Z27" s="19"/>
      <c r="AA27" s="19"/>
    </row>
    <row r="28" spans="1:27" ht="17.5">
      <c r="A28" s="19"/>
      <c r="B28" s="14"/>
      <c r="C28" s="68" t="s">
        <v>896</v>
      </c>
      <c r="D28" s="68"/>
      <c r="E28" s="68"/>
      <c r="F28" s="67"/>
      <c r="G28" s="67"/>
      <c r="H28" s="67"/>
      <c r="I28" s="67"/>
      <c r="J28" s="14"/>
      <c r="K28" s="14"/>
      <c r="L28" s="14"/>
      <c r="M28" s="14"/>
      <c r="N28" s="14"/>
      <c r="O28" s="19"/>
      <c r="P28" s="12"/>
      <c r="Q28" s="19"/>
      <c r="R28" s="19"/>
      <c r="S28" s="26" t="s">
        <v>897</v>
      </c>
      <c r="T28" s="26" t="s">
        <v>898</v>
      </c>
      <c r="U28" s="26" t="s">
        <v>899</v>
      </c>
      <c r="V28" s="26" t="s">
        <v>196</v>
      </c>
      <c r="W28" s="26" t="s">
        <v>197</v>
      </c>
      <c r="X28" s="26" t="s">
        <v>369</v>
      </c>
      <c r="Y28" s="26" t="s">
        <v>371</v>
      </c>
      <c r="Z28" s="26" t="s">
        <v>372</v>
      </c>
      <c r="AA28" s="26" t="s">
        <v>373</v>
      </c>
    </row>
    <row r="29" spans="1:27" ht="17.5">
      <c r="A29" s="19"/>
      <c r="B29" s="14"/>
      <c r="C29" s="22" t="s">
        <v>900</v>
      </c>
      <c r="D29" s="22"/>
      <c r="E29" s="392">
        <f>IF($F$25&lt;=$S$29,$U$29,IF($F$25&lt;=$T$29,$V$29+$W$29*($F$25-$X$29),$Y$29+$Z$29*($F$25-$AA$29)))</f>
        <v>55</v>
      </c>
      <c r="F29" s="67"/>
      <c r="G29" s="67"/>
      <c r="H29" s="67"/>
      <c r="I29" s="67"/>
      <c r="J29" s="14"/>
      <c r="K29" s="14"/>
      <c r="L29" s="14"/>
      <c r="M29" s="14"/>
      <c r="N29" s="14"/>
      <c r="O29" s="19"/>
      <c r="P29" s="12"/>
      <c r="Q29" s="19"/>
      <c r="R29" s="19"/>
      <c r="S29" s="391">
        <f>INDEX(BENG1_eis_grenswaarde1_Als_Ag,MATCH($D$13,BENG1_eis_gebruiksfuncties,0))</f>
        <v>1.5</v>
      </c>
      <c r="T29" s="391">
        <f>INDEX(BENG1_eis_grenswaarde2_Als_Ag,MATCH($D$13,BENG1_eis_gebruiksfuncties,0))</f>
        <v>3</v>
      </c>
      <c r="U29" s="38">
        <f>INDEX(BENG1_eis_BENG1_Als_Ag_kleiner_grenswaarde1,MATCH($D$13,BENG1_eis_gebruiksfuncties,0))</f>
        <v>55</v>
      </c>
      <c r="V29" s="38">
        <f>INDEX(BENG1_eis_C1,MATCH($D$13,BENG1_eis_gebruiksfuncties,0))</f>
        <v>55</v>
      </c>
      <c r="W29" s="38">
        <f>INDEX(BENG1_eis_C2,MATCH($D$13,BENG1_eis_gebruiksfuncties,0))</f>
        <v>30</v>
      </c>
      <c r="X29" s="391">
        <f>INDEX(BENG1_eis_C3,MATCH($D$13,BENG1_eis_gebruiksfuncties,0))</f>
        <v>1.5</v>
      </c>
      <c r="Y29" s="38">
        <f>INDEX(BENG1_eis_C4,MATCH($D$13,BENG1_eis_gebruiksfuncties,0))</f>
        <v>100</v>
      </c>
      <c r="Z29" s="38">
        <f>INDEX(BENG1_eis_C5,MATCH($D$13,BENG1_eis_gebruiksfuncties,0))</f>
        <v>50</v>
      </c>
      <c r="AA29" s="391">
        <f>INDEX(BENG1_eis_C6,MATCH($D$13,BENG1_eis_gebruiksfuncties,0))</f>
        <v>3</v>
      </c>
    </row>
    <row r="30" spans="1:27" ht="17.5">
      <c r="A30" s="19"/>
      <c r="B30" s="14"/>
      <c r="C30" s="22" t="s">
        <v>901</v>
      </c>
      <c r="D30" s="22"/>
      <c r="E30" s="392">
        <f>MAX(warmtebehoefte_verwarming_ondergrens,
INDEX(warmtebehoefte_plus_koudebehoefte_ventsysC1_EP1_snijpunt,MATCH($D$13,warmtebehoefte_plus_koudebehoefte_ventsysC1_EP1_gebruiksfuncties,0))+
INDEX(warmtebehoefte_plus_koudebehoefte_ventsysC1_EP1_C,MATCH($D$13,warmtebehoefte_plus_koudebehoefte_ventsysC1_EP1_gebruiksfuncties,0))*
I$26*$F25^INDEX(warmtebehoefte_plus_koudebehoefte_ventsysC1_EP1_n,MATCH($D$13,warmtebehoefte_plus_koudebehoefte_ventsysC1_EP1_gebruiksfuncties,0)))</f>
        <v>33.165094051740759</v>
      </c>
      <c r="F30" s="67"/>
      <c r="G30" s="67"/>
      <c r="H30" s="67"/>
      <c r="I30" s="67"/>
      <c r="J30" s="14"/>
      <c r="K30" s="14"/>
      <c r="L30" s="14"/>
      <c r="M30" s="14"/>
      <c r="N30" s="14"/>
      <c r="O30" s="19"/>
      <c r="P30" s="12"/>
      <c r="Q30" s="19"/>
      <c r="R30" s="19"/>
      <c r="S30" s="29"/>
      <c r="T30" s="29"/>
      <c r="U30" s="29"/>
      <c r="V30" s="29"/>
      <c r="W30" s="29"/>
      <c r="X30" s="29"/>
      <c r="Y30" s="29"/>
      <c r="Z30" s="29"/>
      <c r="AA30" s="29"/>
    </row>
    <row r="31" spans="1:27" ht="17.5">
      <c r="A31" s="19"/>
      <c r="B31" s="14"/>
      <c r="C31" s="22" t="s">
        <v>902</v>
      </c>
      <c r="D31" s="22"/>
      <c r="E31" s="393">
        <f>E30/E29-1</f>
        <v>-0.39699828996834985</v>
      </c>
      <c r="F31" s="67"/>
      <c r="G31" s="67"/>
      <c r="H31" s="67"/>
      <c r="I31" s="67"/>
      <c r="J31" s="14"/>
      <c r="K31" s="14"/>
      <c r="L31" s="14"/>
      <c r="M31" s="14"/>
      <c r="N31" s="14"/>
      <c r="O31" s="19"/>
      <c r="P31" s="12"/>
      <c r="Q31" s="19"/>
      <c r="R31" s="19"/>
      <c r="S31" s="29"/>
      <c r="T31" s="29"/>
      <c r="U31" s="29"/>
      <c r="V31" s="29"/>
      <c r="W31" s="29"/>
      <c r="X31" s="29"/>
      <c r="Y31" s="29"/>
      <c r="Z31" s="29"/>
      <c r="AA31" s="29"/>
    </row>
    <row r="32" spans="1:27" ht="17.5">
      <c r="A32" s="19"/>
      <c r="B32" s="14"/>
      <c r="C32" s="14"/>
      <c r="D32" s="14"/>
      <c r="E32" s="14"/>
      <c r="F32" s="14"/>
      <c r="G32" s="14"/>
      <c r="H32" s="14"/>
      <c r="I32" s="14"/>
      <c r="J32" s="14"/>
      <c r="K32" s="14"/>
      <c r="L32" s="14"/>
      <c r="M32" s="14"/>
      <c r="N32" s="14"/>
      <c r="O32" s="19"/>
      <c r="P32" s="12"/>
      <c r="Q32" s="19"/>
      <c r="R32" s="19"/>
      <c r="S32" s="19"/>
      <c r="T32" s="19"/>
      <c r="U32" s="19"/>
      <c r="V32" s="19"/>
      <c r="W32" s="19"/>
      <c r="X32" s="19"/>
      <c r="Y32" s="19"/>
      <c r="Z32" s="19"/>
      <c r="AA32" s="19"/>
    </row>
    <row r="33" spans="1:27" ht="17.5">
      <c r="A33" s="19"/>
      <c r="B33" s="141" t="str">
        <f>"© W/E adviseurs, Utrecht/Eindhoven, versie rekenhulpmiddelen "&amp;TEXT(Wijzigingsblad!$B$3,"d mmmm jjjj")</f>
        <v>© W/E adviseurs, Utrecht/Eindhoven, versie rekenhulpmiddelen 17 april 2024</v>
      </c>
      <c r="C33" s="19"/>
      <c r="D33" s="19"/>
      <c r="E33" s="19"/>
      <c r="F33" s="19"/>
      <c r="G33" s="37"/>
      <c r="H33" s="37"/>
      <c r="I33" s="37"/>
      <c r="J33" s="19"/>
      <c r="K33" s="19"/>
      <c r="L33" s="19"/>
      <c r="M33" s="19"/>
      <c r="N33" s="19"/>
      <c r="O33" s="19"/>
      <c r="P33" s="19"/>
      <c r="Q33" s="19"/>
      <c r="R33" s="19"/>
      <c r="S33" s="19"/>
      <c r="T33" s="19"/>
      <c r="U33" s="19"/>
      <c r="V33" s="19"/>
      <c r="W33" s="19"/>
      <c r="X33" s="19"/>
      <c r="Y33" s="19"/>
      <c r="Z33" s="19"/>
      <c r="AA33" s="19"/>
    </row>
  </sheetData>
  <sheetProtection sheet="1" objects="1" scenarios="1"/>
  <mergeCells count="8">
    <mergeCell ref="D10:E10"/>
    <mergeCell ref="D13:E13"/>
    <mergeCell ref="D14:E14"/>
    <mergeCell ref="B3:C3"/>
    <mergeCell ref="D6:E6"/>
    <mergeCell ref="D7:E7"/>
    <mergeCell ref="D8:E8"/>
    <mergeCell ref="D9:E9"/>
  </mergeCells>
  <conditionalFormatting sqref="D13:D14">
    <cfRule type="expression" dxfId="53" priority="6">
      <formula>AND(D13&lt;&gt;"",ISERROR(MATCH(D13,OFFSET($Q13,0,0,1,$P13),0))=TRUE)</formula>
    </cfRule>
  </conditionalFormatting>
  <conditionalFormatting sqref="D18:D23">
    <cfRule type="expression" dxfId="52" priority="2">
      <formula>E18&lt;&gt;""</formula>
    </cfRule>
  </conditionalFormatting>
  <conditionalFormatting sqref="G19:G21 H22:H23">
    <cfRule type="expression" dxfId="51" priority="3">
      <formula>AND($E19&lt;&gt;"",$F19&gt;0,G19="")</formula>
    </cfRule>
    <cfRule type="expression" dxfId="50" priority="5">
      <formula>AND($E19&lt;&gt;"",$F19&gt;0)</formula>
    </cfRule>
  </conditionalFormatting>
  <conditionalFormatting sqref="S19:S21">
    <cfRule type="expression" dxfId="49" priority="1">
      <formula>H19&lt;&gt;""</formula>
    </cfRule>
  </conditionalFormatting>
  <dataValidations count="1">
    <dataValidation type="list" allowBlank="1" showInputMessage="1" showErrorMessage="1" sqref="D13:D14" xr:uid="{985671E4-4756-4F9D-9BDC-0CAC0BCCB711}">
      <formula1>OFFSET($Q13,0,0,1,$P13)</formula1>
    </dataValidation>
  </dataValidations>
  <hyperlinks>
    <hyperlink ref="A1" location="'Overzicht GPR Hulpmiddelen'!A1" tooltip="naar startscherm" display="&lt;" xr:uid="{BCBDB0C3-5668-4CDB-B0FE-B3A1BFD34BED}"/>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13163-34E4-4C4C-8768-3B379049985E}">
  <sheetPr codeName="Blad8">
    <tabColor rgb="FFFFFF00"/>
  </sheetPr>
  <dimension ref="A1:AP35"/>
  <sheetViews>
    <sheetView workbookViewId="0">
      <selection sqref="A1:XFD1048576"/>
    </sheetView>
  </sheetViews>
  <sheetFormatPr defaultRowHeight="13.5"/>
  <cols>
    <col min="1" max="1" width="10.7265625" customWidth="1"/>
    <col min="2" max="2" width="2.7265625" customWidth="1"/>
    <col min="3" max="3" width="29.453125" customWidth="1"/>
    <col min="4" max="9" width="14.7265625" customWidth="1"/>
    <col min="10" max="10" width="2.7265625" customWidth="1"/>
    <col min="11" max="13" width="5.1796875" customWidth="1"/>
    <col min="14" max="14" width="9.1796875" customWidth="1"/>
    <col min="15" max="15" width="8.7265625" customWidth="1"/>
    <col min="16" max="16" width="15" customWidth="1"/>
    <col min="17" max="17" width="16.26953125" customWidth="1"/>
    <col min="18" max="19" width="24.26953125" customWidth="1"/>
    <col min="20" max="20" width="15.453125" customWidth="1"/>
    <col min="21" max="21" width="17.7265625" customWidth="1"/>
    <col min="22" max="22" width="12.7265625" customWidth="1"/>
    <col min="23" max="23" width="9" customWidth="1"/>
    <col min="24" max="24" width="12.26953125" customWidth="1"/>
    <col min="25" max="28" width="16.1796875" customWidth="1"/>
    <col min="29" max="29" width="12.26953125" customWidth="1"/>
    <col min="30" max="30" width="10.81640625" customWidth="1"/>
    <col min="31" max="35" width="14.7265625" customWidth="1"/>
    <col min="36" max="36" width="10.81640625" customWidth="1"/>
    <col min="37" max="37" width="12.1796875" customWidth="1"/>
    <col min="38" max="41" width="16" customWidth="1"/>
  </cols>
  <sheetData>
    <row r="1" spans="1:42" ht="32.5">
      <c r="A1" s="176" t="s">
        <v>12</v>
      </c>
      <c r="B1" s="174"/>
      <c r="C1" s="175"/>
      <c r="D1" s="31"/>
      <c r="E1" s="31"/>
      <c r="F1" s="31"/>
      <c r="G1" s="21"/>
      <c r="H1" s="18"/>
      <c r="I1" s="21"/>
      <c r="J1" s="18"/>
      <c r="K1" s="18"/>
      <c r="L1" s="18"/>
      <c r="M1" s="18"/>
      <c r="N1" s="18"/>
      <c r="O1" s="18"/>
      <c r="P1" s="18"/>
      <c r="Q1" s="18"/>
      <c r="R1" s="18"/>
      <c r="S1" s="18"/>
      <c r="T1" s="18"/>
      <c r="U1" s="18"/>
    </row>
    <row r="2" spans="1:42" ht="21">
      <c r="A2" s="33" t="s">
        <v>877</v>
      </c>
      <c r="B2" s="28" t="s">
        <v>903</v>
      </c>
      <c r="C2" s="28"/>
      <c r="D2" s="28"/>
      <c r="E2" s="28"/>
      <c r="F2" s="28"/>
      <c r="G2" s="27"/>
      <c r="H2" s="27"/>
      <c r="I2" s="27"/>
      <c r="J2" s="27"/>
      <c r="K2" s="27"/>
      <c r="L2" s="27"/>
      <c r="M2" s="27"/>
      <c r="N2" s="27"/>
      <c r="O2" s="27" t="s">
        <v>879</v>
      </c>
      <c r="P2" s="28" t="s">
        <v>880</v>
      </c>
      <c r="Q2" s="19"/>
      <c r="R2" s="28" t="s">
        <v>881</v>
      </c>
      <c r="S2" s="19"/>
      <c r="T2" s="19"/>
      <c r="U2" s="19"/>
    </row>
    <row r="3" spans="1:42" ht="17.5">
      <c r="A3" s="29"/>
      <c r="B3" s="1687">
        <v>44524</v>
      </c>
      <c r="C3" s="1688"/>
      <c r="D3" s="30"/>
      <c r="E3" s="29"/>
      <c r="F3" s="29"/>
      <c r="G3" s="29"/>
      <c r="H3" s="29"/>
      <c r="I3" s="29"/>
      <c r="J3" s="29"/>
      <c r="K3" s="29"/>
      <c r="L3" s="29"/>
      <c r="M3" s="29"/>
      <c r="N3" s="29"/>
      <c r="O3" s="29"/>
      <c r="Q3" s="29"/>
      <c r="R3" s="29"/>
      <c r="S3" s="29"/>
      <c r="T3" s="29"/>
      <c r="U3" s="29"/>
    </row>
    <row r="4" spans="1:42" ht="17.5">
      <c r="A4" s="18"/>
      <c r="B4" s="14"/>
      <c r="C4" s="67"/>
      <c r="D4" s="67"/>
      <c r="E4" s="67"/>
      <c r="F4" s="67"/>
      <c r="G4" s="14"/>
      <c r="H4" s="14"/>
      <c r="I4" s="14"/>
      <c r="J4" s="14"/>
      <c r="K4" s="14"/>
      <c r="L4" s="14"/>
      <c r="M4" s="14"/>
      <c r="N4" s="18"/>
      <c r="O4" s="14"/>
      <c r="P4" s="18"/>
      <c r="Q4" s="18"/>
      <c r="R4" s="18"/>
      <c r="S4" s="18"/>
      <c r="T4" s="18"/>
      <c r="U4" s="18"/>
    </row>
    <row r="5" spans="1:42" ht="17.5">
      <c r="A5" s="19"/>
      <c r="B5" s="14"/>
      <c r="C5" s="68" t="s">
        <v>3</v>
      </c>
      <c r="D5" s="68"/>
      <c r="E5" s="68"/>
      <c r="F5" s="67"/>
      <c r="G5" s="68" t="s">
        <v>485</v>
      </c>
      <c r="H5" s="14"/>
      <c r="I5" s="14"/>
      <c r="J5" s="14"/>
      <c r="K5" s="14"/>
      <c r="L5" s="14"/>
      <c r="M5" s="14"/>
      <c r="N5" s="19"/>
      <c r="O5" s="14"/>
      <c r="P5" s="19"/>
      <c r="Q5" s="19"/>
      <c r="R5" s="19"/>
      <c r="S5" s="19"/>
      <c r="T5" s="19"/>
      <c r="U5" s="19"/>
    </row>
    <row r="6" spans="1:42" ht="17.25" customHeight="1">
      <c r="A6" s="19"/>
      <c r="B6" s="14"/>
      <c r="C6" s="22" t="s">
        <v>4</v>
      </c>
      <c r="D6" s="1691" t="str">
        <f>IF('Overzicht GPR Hulpmiddelen'!D6="","",'Overzicht GPR Hulpmiddelen'!D6)</f>
        <v/>
      </c>
      <c r="E6" s="1691"/>
      <c r="F6" s="67"/>
      <c r="G6" s="67"/>
      <c r="H6" s="67"/>
      <c r="I6" s="67"/>
      <c r="J6" s="14"/>
      <c r="K6" s="14"/>
      <c r="L6" s="14"/>
      <c r="M6" s="14"/>
      <c r="N6" s="19"/>
      <c r="O6" s="14"/>
      <c r="P6" s="19"/>
      <c r="Q6" s="19"/>
      <c r="R6" s="19"/>
      <c r="S6" s="19"/>
      <c r="T6" s="19"/>
      <c r="U6" s="19"/>
    </row>
    <row r="7" spans="1:42" ht="17.5">
      <c r="A7" s="19"/>
      <c r="B7" s="14"/>
      <c r="C7" s="22" t="s">
        <v>5</v>
      </c>
      <c r="D7" s="1691" t="str">
        <f>IF('Overzicht GPR Hulpmiddelen'!D7="","",'Overzicht GPR Hulpmiddelen'!D7)</f>
        <v/>
      </c>
      <c r="E7" s="1691"/>
      <c r="F7" s="67"/>
      <c r="G7" s="67"/>
      <c r="H7" s="67"/>
      <c r="I7" s="67"/>
      <c r="J7" s="14"/>
      <c r="K7" s="14"/>
      <c r="L7" s="14"/>
      <c r="M7" s="14"/>
      <c r="N7" s="19"/>
      <c r="O7" s="14"/>
      <c r="P7" s="19"/>
      <c r="Q7" s="19"/>
      <c r="R7" s="19"/>
      <c r="S7" s="19"/>
      <c r="T7" s="19"/>
      <c r="U7" s="19"/>
    </row>
    <row r="8" spans="1:42" ht="17.5">
      <c r="A8" s="19"/>
      <c r="B8" s="14"/>
      <c r="C8" s="22" t="s">
        <v>6</v>
      </c>
      <c r="D8" s="1691" t="str">
        <f>IF('Overzicht GPR Hulpmiddelen'!D8="","",'Overzicht GPR Hulpmiddelen'!D8)</f>
        <v/>
      </c>
      <c r="E8" s="1691"/>
      <c r="F8" s="67"/>
      <c r="G8" s="67"/>
      <c r="H8" s="67"/>
      <c r="I8" s="67"/>
      <c r="J8" s="14"/>
      <c r="K8" s="14"/>
      <c r="L8" s="14"/>
      <c r="M8" s="14"/>
      <c r="N8" s="19"/>
      <c r="O8" s="14"/>
      <c r="P8" s="19"/>
      <c r="Q8" s="19"/>
      <c r="R8" s="19"/>
      <c r="S8" s="19"/>
      <c r="T8" s="19"/>
      <c r="U8" s="19"/>
    </row>
    <row r="9" spans="1:42" ht="17.5">
      <c r="A9" s="19"/>
      <c r="B9" s="14"/>
      <c r="C9" s="22" t="s">
        <v>7</v>
      </c>
      <c r="D9" s="1699" t="str">
        <f>IF('Overzicht GPR Hulpmiddelen'!D9="","",'Overzicht GPR Hulpmiddelen'!D9)</f>
        <v/>
      </c>
      <c r="E9" s="1699"/>
      <c r="F9" s="67"/>
      <c r="G9" s="67"/>
      <c r="H9" s="67"/>
      <c r="I9" s="67"/>
      <c r="J9" s="14"/>
      <c r="K9" s="14"/>
      <c r="L9" s="14"/>
      <c r="M9" s="14"/>
      <c r="N9" s="19"/>
      <c r="O9" s="14"/>
      <c r="P9" s="19"/>
      <c r="Q9" s="19"/>
      <c r="R9" s="19"/>
      <c r="S9" s="19"/>
      <c r="T9" s="19"/>
      <c r="U9" s="19"/>
    </row>
    <row r="10" spans="1:42" ht="17.5">
      <c r="A10" s="19"/>
      <c r="B10" s="14"/>
      <c r="C10" s="22" t="s">
        <v>488</v>
      </c>
      <c r="D10" s="1685"/>
      <c r="E10" s="1685"/>
      <c r="F10" s="67"/>
      <c r="G10" s="67"/>
      <c r="H10" s="67"/>
      <c r="I10" s="67"/>
      <c r="J10" s="14"/>
      <c r="K10" s="14"/>
      <c r="L10" s="14"/>
      <c r="M10" s="14"/>
      <c r="N10" s="19"/>
      <c r="O10" s="14"/>
      <c r="P10" s="19"/>
      <c r="Q10" s="19"/>
      <c r="R10" s="19"/>
      <c r="S10" s="19"/>
      <c r="T10" s="19"/>
      <c r="U10" s="19"/>
    </row>
    <row r="11" spans="1:42" ht="17.5">
      <c r="A11" s="19"/>
      <c r="B11" s="14"/>
      <c r="C11" s="67"/>
      <c r="D11" s="67"/>
      <c r="E11" s="67"/>
      <c r="F11" s="67"/>
      <c r="G11" s="67"/>
      <c r="H11" s="67"/>
      <c r="I11" s="67"/>
      <c r="J11" s="14"/>
      <c r="K11" s="14"/>
      <c r="L11" s="14"/>
      <c r="M11" s="14"/>
      <c r="N11" s="19"/>
      <c r="O11" s="12"/>
      <c r="P11" s="19"/>
      <c r="Q11" s="19"/>
      <c r="R11" s="29"/>
      <c r="S11" s="29"/>
      <c r="T11" s="29"/>
      <c r="U11" s="29"/>
    </row>
    <row r="12" spans="1:42" ht="17.5">
      <c r="A12" s="19"/>
      <c r="B12" s="14"/>
      <c r="C12" s="68" t="s">
        <v>882</v>
      </c>
      <c r="D12" s="68"/>
      <c r="E12" s="68"/>
      <c r="F12" s="67"/>
      <c r="G12" s="67"/>
      <c r="H12" s="67"/>
      <c r="I12" s="67"/>
      <c r="J12" s="14"/>
      <c r="K12" s="14"/>
      <c r="L12" s="14"/>
      <c r="M12" s="14"/>
      <c r="N12" s="19"/>
      <c r="O12" s="12"/>
      <c r="P12" s="19"/>
      <c r="Q12" s="19"/>
      <c r="R12" s="19"/>
      <c r="S12" s="19"/>
      <c r="T12" s="19"/>
      <c r="U12" s="19"/>
    </row>
    <row r="13" spans="1:42" s="400" customFormat="1" ht="17.5">
      <c r="A13" s="19"/>
      <c r="B13" s="14"/>
      <c r="C13" s="90" t="s">
        <v>295</v>
      </c>
      <c r="D13" s="1702" t="s">
        <v>298</v>
      </c>
      <c r="E13" s="1702"/>
      <c r="F13" s="67"/>
      <c r="G13" s="67"/>
      <c r="H13" s="67"/>
      <c r="I13" s="67"/>
      <c r="J13" s="719"/>
      <c r="K13" s="719"/>
      <c r="L13" s="719"/>
      <c r="M13" s="719"/>
      <c r="N13" s="720"/>
      <c r="O13" s="90">
        <f ca="1">COUNTA(OFFSET(O13,0,1,1,1000))</f>
        <v>2</v>
      </c>
      <c r="P13" s="720" t="str" cm="1">
        <f t="array" ref="P13:Q13">_xlfn._xlws.FILTER(warmtebehoefte_verwarming_gebruiksfuncties,warmtebehoefte_verwarming_woning_utiliteitsgebouw=1,"")</f>
        <v>woning</v>
      </c>
      <c r="Q13" s="399" t="str">
        <v>woongebouw</v>
      </c>
      <c r="R13" s="399"/>
      <c r="S13" s="399"/>
      <c r="T13" s="399"/>
      <c r="U13" s="399"/>
      <c r="V13" s="401"/>
      <c r="W13" s="401"/>
      <c r="X13" s="401"/>
      <c r="Y13" s="401"/>
      <c r="Z13" s="401"/>
      <c r="AA13" s="401"/>
      <c r="AB13" s="401"/>
      <c r="AC13" s="401"/>
      <c r="AD13" s="401"/>
      <c r="AE13" s="401"/>
      <c r="AF13" s="401"/>
      <c r="AG13" s="401"/>
      <c r="AH13" s="401"/>
      <c r="AI13" s="401"/>
      <c r="AJ13" s="401"/>
      <c r="AK13" s="401"/>
      <c r="AL13" s="401"/>
      <c r="AM13" s="401"/>
      <c r="AN13" s="401"/>
      <c r="AO13" s="401"/>
    </row>
    <row r="14" spans="1:42" s="400" customFormat="1" ht="17.5">
      <c r="A14" s="19"/>
      <c r="B14" s="14"/>
      <c r="C14" s="90" t="s">
        <v>883</v>
      </c>
      <c r="D14" s="1702" t="s">
        <v>243</v>
      </c>
      <c r="E14" s="1702"/>
      <c r="F14" s="67"/>
      <c r="G14" s="67"/>
      <c r="H14" s="67"/>
      <c r="I14" s="67"/>
      <c r="J14" s="719"/>
      <c r="K14" s="719"/>
      <c r="L14" s="719"/>
      <c r="M14" s="719"/>
      <c r="N14" s="720"/>
      <c r="O14" s="90">
        <f ca="1">COUNTA(OFFSET(O14,0,1,1,1000))</f>
        <v>27</v>
      </c>
      <c r="P14" s="720" t="str" cm="1">
        <f t="array" ref="P14:AP14">_xlfn._xlws.FILTER(voorbeeldgebouwen,voorbeeldgebouwen_gebruiksfuncties=$D$13,"")</f>
        <v>won XS wg XL</v>
      </c>
      <c r="Q14" s="399" t="str">
        <v>woongebouw M</v>
      </c>
      <c r="R14" s="399" t="str">
        <v>maisonnette &lt; 1965</v>
      </c>
      <c r="S14" s="399" t="str">
        <v>maisonnette 1965 - 1974</v>
      </c>
      <c r="T14" s="399" t="str">
        <v>maisonnette 1975 - 1991</v>
      </c>
      <c r="U14" s="399" t="str">
        <v>maisonnette 1992 - 2005</v>
      </c>
      <c r="V14" s="401" t="str">
        <v>maisonnette 2006 - 2012</v>
      </c>
      <c r="W14" s="401" t="str">
        <v>maisonnette &gt; 2012</v>
      </c>
      <c r="X14" s="401" t="str">
        <v>galerij &lt; 1965</v>
      </c>
      <c r="Y14" s="401" t="str">
        <v>galerij 1965 - 1974</v>
      </c>
      <c r="Z14" s="401" t="str">
        <v>galerij 1975 - 1991</v>
      </c>
      <c r="AA14" s="401" t="str">
        <v>galerij 1992 - 2005</v>
      </c>
      <c r="AB14" s="401" t="str">
        <v>galerij 2006 - 2012</v>
      </c>
      <c r="AC14" s="401" t="str">
        <v>galerij &gt; 2012</v>
      </c>
      <c r="AD14" s="401" t="str">
        <v>portiek &lt; 1946</v>
      </c>
      <c r="AE14" s="401" t="str">
        <v>portiek 1946 - 1964</v>
      </c>
      <c r="AF14" s="401" t="str">
        <v>portiek 1965 - 1974</v>
      </c>
      <c r="AG14" s="401" t="str">
        <v>portiek 1975 - 1991</v>
      </c>
      <c r="AH14" s="401" t="str">
        <v>portiek 1992 - 2005</v>
      </c>
      <c r="AI14" s="401" t="str">
        <v>portiek 2006 - 2012</v>
      </c>
      <c r="AJ14" s="401" t="str">
        <v>portiek &gt; 2012</v>
      </c>
      <c r="AK14" s="401" t="str">
        <v>overig &lt; 1965</v>
      </c>
      <c r="AL14" s="401" t="str">
        <v>overig 1965 - 1974</v>
      </c>
      <c r="AM14" s="401" t="str">
        <v>overig 1975 - 1991</v>
      </c>
      <c r="AN14" s="401" t="str">
        <v>overig 1992 - 2005</v>
      </c>
      <c r="AO14" s="401" t="str">
        <v>overig 2006 - 2012</v>
      </c>
      <c r="AP14" s="400" t="str">
        <v>overig &gt; 2012</v>
      </c>
    </row>
    <row r="15" spans="1:42" s="400" customFormat="1" ht="17.5">
      <c r="A15" s="19"/>
      <c r="B15" s="14"/>
      <c r="C15" s="90" t="s">
        <v>381</v>
      </c>
      <c r="D15" s="1702" t="s">
        <v>383</v>
      </c>
      <c r="E15" s="1702"/>
      <c r="F15" s="67"/>
      <c r="G15" s="67"/>
      <c r="H15" s="67"/>
      <c r="I15" s="67"/>
      <c r="J15" s="719"/>
      <c r="K15" s="719"/>
      <c r="L15" s="719"/>
      <c r="M15" s="719"/>
      <c r="N15" s="720"/>
      <c r="O15" s="90">
        <f ca="1">COUNTA(OFFSET(O15,0,1,1,1000))</f>
        <v>2</v>
      </c>
      <c r="P15" s="720" t="str" cm="1">
        <f t="array" ref="P15:Q15">_xlfn.UNIQUE(_xlfn._xlws.FILTER(grenzen_standaard_bouwjaarklassen,grenzen_standaard_bouwjaarklassen&lt;&gt;0,""),TRUE,)</f>
        <v>&lt;1945</v>
      </c>
      <c r="Q15" s="399" t="str">
        <v>&gt;1945</v>
      </c>
      <c r="R15" s="399"/>
      <c r="S15" s="399"/>
      <c r="T15" s="399"/>
      <c r="U15" s="399"/>
      <c r="V15" s="401"/>
      <c r="W15" s="401"/>
      <c r="X15" s="401"/>
      <c r="Y15" s="401"/>
      <c r="Z15" s="401"/>
      <c r="AA15" s="401"/>
      <c r="AB15" s="401"/>
      <c r="AC15" s="401"/>
      <c r="AD15" s="401"/>
      <c r="AE15" s="401"/>
      <c r="AF15" s="401"/>
      <c r="AG15" s="401"/>
      <c r="AH15" s="401"/>
      <c r="AI15" s="401"/>
      <c r="AJ15" s="401"/>
      <c r="AK15" s="401"/>
      <c r="AL15" s="401"/>
      <c r="AM15" s="401"/>
      <c r="AN15" s="401"/>
      <c r="AO15" s="401"/>
    </row>
    <row r="16" spans="1:42" s="400" customFormat="1" ht="17.5">
      <c r="A16" s="19"/>
      <c r="B16" s="14"/>
      <c r="C16" s="90" t="s">
        <v>904</v>
      </c>
      <c r="D16" s="1702" t="s">
        <v>343</v>
      </c>
      <c r="E16" s="1702"/>
      <c r="F16" s="67"/>
      <c r="G16" s="67"/>
      <c r="H16" s="67"/>
      <c r="I16" s="67"/>
      <c r="J16" s="719"/>
      <c r="K16" s="719"/>
      <c r="L16" s="719"/>
      <c r="M16" s="719"/>
      <c r="N16" s="720"/>
      <c r="O16" s="90">
        <f ca="1">COUNTA(OFFSET(O16,0,1,1,1000))</f>
        <v>6</v>
      </c>
      <c r="P16" s="720" t="str" cm="1">
        <f t="array" ref="P16:U16">TRANSPOSE(_xlfn.UNIQUE(ventilatiesystemen,TRUE,))</f>
        <v>natuurlijk (A)</v>
      </c>
      <c r="Q16" s="399" t="str">
        <v>mech (B1)</v>
      </c>
      <c r="R16" s="399" t="str">
        <v>mech (C1)</v>
      </c>
      <c r="S16" s="399" t="str">
        <v>mech - CO2 (C4c)</v>
      </c>
      <c r="T16" s="399" t="str">
        <v>balans (D1)</v>
      </c>
      <c r="U16" s="399" t="str">
        <v>balans CO2 (D5a)</v>
      </c>
      <c r="V16" s="401"/>
      <c r="W16" s="401"/>
      <c r="X16" s="401"/>
      <c r="Y16" s="401"/>
      <c r="Z16" s="401"/>
      <c r="AA16" s="401"/>
      <c r="AB16" s="401"/>
      <c r="AC16" s="401"/>
      <c r="AD16" s="401"/>
      <c r="AE16" s="401"/>
      <c r="AF16" s="401"/>
      <c r="AG16" s="401"/>
      <c r="AH16" s="401"/>
      <c r="AI16" s="401"/>
      <c r="AJ16" s="401"/>
      <c r="AK16" s="401"/>
      <c r="AL16" s="401"/>
      <c r="AM16" s="401"/>
      <c r="AN16" s="401"/>
      <c r="AO16" s="401"/>
    </row>
    <row r="17" spans="1:21" ht="17.5">
      <c r="A17" s="19"/>
      <c r="B17" s="14"/>
      <c r="C17" s="67"/>
      <c r="D17" s="67"/>
      <c r="E17" s="67"/>
      <c r="F17" s="67"/>
      <c r="G17" s="67"/>
      <c r="H17" s="67"/>
      <c r="I17" s="67"/>
      <c r="J17" s="14"/>
      <c r="K17" s="14"/>
      <c r="L17" s="14"/>
      <c r="M17" s="14"/>
      <c r="N17" s="19"/>
      <c r="O17" s="12"/>
      <c r="P17" s="19"/>
      <c r="Q17" s="19"/>
      <c r="R17" s="29"/>
      <c r="S17" s="29"/>
      <c r="T17" s="29"/>
      <c r="U17" s="29"/>
    </row>
    <row r="18" spans="1:21" ht="17.5">
      <c r="A18" s="19"/>
      <c r="B18" s="14"/>
      <c r="C18" s="68" t="s">
        <v>884</v>
      </c>
      <c r="D18" s="68"/>
      <c r="E18" s="68"/>
      <c r="F18" s="68"/>
      <c r="G18" s="79"/>
      <c r="H18" s="79"/>
      <c r="I18" s="79"/>
      <c r="J18" s="719"/>
      <c r="K18" s="719"/>
      <c r="L18" s="719"/>
      <c r="M18" s="719"/>
      <c r="N18" s="19"/>
      <c r="O18" s="12"/>
      <c r="P18" s="19"/>
      <c r="Q18" s="19"/>
      <c r="R18" s="19"/>
      <c r="S18" s="19"/>
      <c r="T18" s="19"/>
      <c r="U18" s="19"/>
    </row>
    <row r="19" spans="1:21" ht="32">
      <c r="A19" s="19"/>
      <c r="B19" s="210"/>
      <c r="C19" s="118" t="s">
        <v>885</v>
      </c>
      <c r="D19" s="397" t="s">
        <v>886</v>
      </c>
      <c r="E19" s="397" t="s">
        <v>887</v>
      </c>
      <c r="F19" s="397" t="s">
        <v>888</v>
      </c>
      <c r="G19" s="397" t="s">
        <v>889</v>
      </c>
      <c r="H19" s="397" t="s">
        <v>890</v>
      </c>
      <c r="I19" s="397" t="s">
        <v>891</v>
      </c>
      <c r="J19" s="721"/>
      <c r="K19" s="721"/>
      <c r="L19" s="721"/>
      <c r="M19" s="721"/>
      <c r="N19" s="116"/>
      <c r="O19" s="398"/>
      <c r="P19" s="116"/>
      <c r="Q19" s="116"/>
      <c r="R19" s="397" t="s">
        <v>892</v>
      </c>
      <c r="S19" s="397" t="s">
        <v>893</v>
      </c>
      <c r="T19" s="116"/>
      <c r="U19" s="116"/>
    </row>
    <row r="20" spans="1:21" ht="17.5">
      <c r="A20" s="19"/>
      <c r="B20" s="14"/>
      <c r="C20" s="90" t="s">
        <v>310</v>
      </c>
      <c r="D20" s="392">
        <f>INDEX(voorbeeldgebouwen_Ag,MATCH(D$14,voorbeeldgebouwen,0))</f>
        <v>89.195558781748076</v>
      </c>
      <c r="E20" s="394">
        <v>92.4</v>
      </c>
      <c r="F20" s="392">
        <f>IF(E20="",D20,E20)</f>
        <v>92.4</v>
      </c>
      <c r="G20" s="38"/>
      <c r="H20" s="38"/>
      <c r="I20" s="38"/>
      <c r="J20" s="719"/>
      <c r="K20" s="719"/>
      <c r="L20" s="719"/>
      <c r="M20" s="719"/>
      <c r="N20" s="19"/>
      <c r="O20" s="12"/>
      <c r="P20" s="19"/>
      <c r="Q20" s="19"/>
      <c r="R20" s="23"/>
      <c r="S20" s="38"/>
      <c r="T20" s="19"/>
      <c r="U20" s="19"/>
    </row>
    <row r="21" spans="1:21" ht="17.5">
      <c r="A21" s="19"/>
      <c r="B21" s="14"/>
      <c r="C21" s="90" t="s">
        <v>313</v>
      </c>
      <c r="D21" s="392">
        <f>INDEX(voorbeeldgebouwen_m2_bg_vloer,MATCH(D$14,voorbeeldgebouwen,0))</f>
        <v>14.637012519708392</v>
      </c>
      <c r="E21" s="394">
        <v>0</v>
      </c>
      <c r="F21" s="392">
        <f t="shared" ref="F21:F25" si="0">IF(E21="",D21,E21)</f>
        <v>0</v>
      </c>
      <c r="G21" s="395">
        <v>3.5</v>
      </c>
      <c r="H21" s="38"/>
      <c r="I21" s="396">
        <f>IF(G21="","",CEILING(1/(G21+R21),0.01))</f>
        <v>0.27</v>
      </c>
      <c r="J21" s="719"/>
      <c r="K21" s="719"/>
      <c r="L21" s="719"/>
      <c r="M21" s="719"/>
      <c r="N21" s="19"/>
      <c r="O21" s="12"/>
      <c r="P21" s="19"/>
      <c r="Q21" s="19"/>
      <c r="R21" s="392">
        <f>IF(G21="","",0.26)</f>
        <v>0.26</v>
      </c>
      <c r="S21" s="392">
        <f t="shared" ref="S21:S25" si="1">IF(I21="","",I21*F21)</f>
        <v>0</v>
      </c>
      <c r="T21" s="19"/>
      <c r="U21" s="19"/>
    </row>
    <row r="22" spans="1:21" ht="17.5">
      <c r="A22" s="19"/>
      <c r="B22" s="14"/>
      <c r="C22" s="90" t="s">
        <v>314</v>
      </c>
      <c r="D22" s="392">
        <f>INDEX(voorbeeldgebouwen_m2_dichte_gevel,MATCH(D$14,voorbeeldgebouwen,0))</f>
        <v>33.579619725565493</v>
      </c>
      <c r="E22" s="394">
        <f>54-SUM(E24:E25)</f>
        <v>22.5</v>
      </c>
      <c r="F22" s="392">
        <f t="shared" si="0"/>
        <v>22.5</v>
      </c>
      <c r="G22" s="395">
        <v>1.7</v>
      </c>
      <c r="H22" s="38"/>
      <c r="I22" s="396">
        <f>IF(G22="","",CEILING(1/(G22+R22),0.01))</f>
        <v>0.54</v>
      </c>
      <c r="J22" s="719"/>
      <c r="K22" s="719"/>
      <c r="L22" s="719"/>
      <c r="M22" s="719"/>
      <c r="N22" s="19"/>
      <c r="O22" s="12"/>
      <c r="P22" s="19"/>
      <c r="Q22" s="19"/>
      <c r="R22" s="392">
        <f>IF(G22="","",0.17)</f>
        <v>0.17</v>
      </c>
      <c r="S22" s="392">
        <f t="shared" si="1"/>
        <v>12.15</v>
      </c>
      <c r="T22" s="19"/>
      <c r="U22" s="19"/>
    </row>
    <row r="23" spans="1:21" ht="17.5">
      <c r="A23" s="19"/>
      <c r="B23" s="14"/>
      <c r="C23" s="90" t="s">
        <v>315</v>
      </c>
      <c r="D23" s="392">
        <f>INDEX(voorbeeldgebouwen_m2_plat_dak,MATCH(D$14,voorbeeldgebouwen,0))</f>
        <v>26.907375076101715</v>
      </c>
      <c r="E23" s="394">
        <v>0</v>
      </c>
      <c r="F23" s="392">
        <f t="shared" si="0"/>
        <v>0</v>
      </c>
      <c r="G23" s="395">
        <v>3.5</v>
      </c>
      <c r="H23" s="38"/>
      <c r="I23" s="396">
        <f>IF(G23="","",CEILING(1/(G23+R23),0.01))</f>
        <v>0.28000000000000003</v>
      </c>
      <c r="J23" s="719"/>
      <c r="K23" s="719"/>
      <c r="L23" s="719"/>
      <c r="M23" s="719"/>
      <c r="N23" s="19"/>
      <c r="O23" s="12"/>
      <c r="P23" s="19"/>
      <c r="Q23" s="19"/>
      <c r="R23" s="392">
        <f>IF(G23="","",0.13)</f>
        <v>0.13</v>
      </c>
      <c r="S23" s="392">
        <f t="shared" si="1"/>
        <v>0</v>
      </c>
      <c r="T23" s="19"/>
      <c r="U23" s="19"/>
    </row>
    <row r="24" spans="1:21" ht="17.5">
      <c r="A24" s="19"/>
      <c r="B24" s="14"/>
      <c r="C24" s="90" t="s">
        <v>316</v>
      </c>
      <c r="D24" s="392">
        <f>INDEX(voorbeeldgebouwen_m2_raam,MATCH(D$14,voorbeeldgebouwen,0))</f>
        <v>17.572547807489968</v>
      </c>
      <c r="E24" s="394">
        <v>27</v>
      </c>
      <c r="F24" s="392">
        <f t="shared" si="0"/>
        <v>27</v>
      </c>
      <c r="G24" s="38"/>
      <c r="H24" s="395">
        <v>1.65</v>
      </c>
      <c r="I24" s="396">
        <f>IF(H24="","",CEILING(H24,0.01))</f>
        <v>1.6500000000000001</v>
      </c>
      <c r="J24" s="719"/>
      <c r="K24" s="719"/>
      <c r="L24" s="719"/>
      <c r="M24" s="719"/>
      <c r="N24" s="19"/>
      <c r="O24" s="14"/>
      <c r="P24" s="19"/>
      <c r="Q24" s="19"/>
      <c r="R24" s="19"/>
      <c r="S24" s="392">
        <f t="shared" si="1"/>
        <v>44.550000000000004</v>
      </c>
      <c r="T24" s="19"/>
      <c r="U24" s="19"/>
    </row>
    <row r="25" spans="1:21" ht="17.5">
      <c r="A25" s="19"/>
      <c r="B25" s="14"/>
      <c r="C25" s="90" t="s">
        <v>317</v>
      </c>
      <c r="D25" s="392">
        <f>INDEX(voorbeeldgebouwen_m2_deur,MATCH(D$14,voorbeeldgebouwen,0))</f>
        <v>6.1066137467022577</v>
      </c>
      <c r="E25" s="394">
        <v>4.5</v>
      </c>
      <c r="F25" s="392">
        <f t="shared" si="0"/>
        <v>4.5</v>
      </c>
      <c r="G25" s="38"/>
      <c r="H25" s="395">
        <v>2</v>
      </c>
      <c r="I25" s="396">
        <f>IF(H25="","",CEILING(H25,0.01))</f>
        <v>2</v>
      </c>
      <c r="J25" s="14"/>
      <c r="K25" s="14"/>
      <c r="L25" s="14"/>
      <c r="M25" s="14"/>
      <c r="N25" s="19"/>
      <c r="O25" s="12"/>
      <c r="P25" s="19"/>
      <c r="Q25" s="19"/>
      <c r="R25" s="19"/>
      <c r="S25" s="392">
        <f t="shared" si="1"/>
        <v>9</v>
      </c>
      <c r="T25" s="19"/>
      <c r="U25" s="19"/>
    </row>
    <row r="26" spans="1:21" ht="17.5">
      <c r="A26" s="19"/>
      <c r="B26" s="14"/>
      <c r="C26" s="90" t="s">
        <v>318</v>
      </c>
      <c r="D26" s="392"/>
      <c r="E26" s="392"/>
      <c r="F26" s="392">
        <f>0.7*F21+SUM(F22:F25)</f>
        <v>54</v>
      </c>
      <c r="G26" s="38"/>
      <c r="H26" s="38"/>
      <c r="I26" s="396"/>
      <c r="J26" s="719"/>
      <c r="K26" s="719"/>
      <c r="L26" s="719"/>
      <c r="M26" s="719"/>
      <c r="N26" s="19"/>
      <c r="O26" s="12"/>
      <c r="P26" s="19"/>
      <c r="Q26" s="19"/>
      <c r="R26" s="19"/>
      <c r="S26" s="392">
        <f>SUM(S21:S25)</f>
        <v>65.7</v>
      </c>
      <c r="T26" s="19"/>
      <c r="U26" s="19"/>
    </row>
    <row r="27" spans="1:21" ht="17.5">
      <c r="A27" s="19"/>
      <c r="B27" s="14"/>
      <c r="C27" s="90" t="s">
        <v>905</v>
      </c>
      <c r="D27" s="392"/>
      <c r="E27" s="392"/>
      <c r="F27" s="392">
        <f>F26/F20</f>
        <v>0.58441558441558439</v>
      </c>
      <c r="G27" s="38"/>
      <c r="H27" s="38"/>
      <c r="I27" s="396"/>
      <c r="J27" s="719"/>
      <c r="K27" s="719"/>
      <c r="L27" s="719"/>
      <c r="M27" s="719"/>
      <c r="N27" s="19"/>
      <c r="O27" s="12"/>
      <c r="P27" s="19"/>
      <c r="Q27" s="19"/>
      <c r="R27" s="19"/>
      <c r="S27" s="19"/>
      <c r="T27" s="19"/>
      <c r="U27" s="19"/>
    </row>
    <row r="28" spans="1:21" ht="17.5">
      <c r="A28" s="19"/>
      <c r="B28" s="14"/>
      <c r="C28" s="90" t="s">
        <v>895</v>
      </c>
      <c r="D28" s="392"/>
      <c r="E28" s="392"/>
      <c r="F28" s="392"/>
      <c r="G28" s="38"/>
      <c r="H28" s="38"/>
      <c r="I28" s="396">
        <f>IF(F26=0,0,S26/F26)</f>
        <v>1.2166666666666668</v>
      </c>
      <c r="J28" s="719"/>
      <c r="K28" s="719"/>
      <c r="L28" s="719"/>
      <c r="M28" s="719"/>
      <c r="N28" s="19"/>
      <c r="O28" s="12"/>
      <c r="P28" s="19"/>
      <c r="Q28" s="19"/>
      <c r="R28" s="19"/>
      <c r="S28" s="19"/>
      <c r="T28" s="19"/>
      <c r="U28" s="19"/>
    </row>
    <row r="29" spans="1:21" ht="17.5">
      <c r="A29" s="19"/>
      <c r="B29" s="14"/>
      <c r="C29" s="67"/>
      <c r="D29" s="67"/>
      <c r="E29" s="67"/>
      <c r="F29" s="67"/>
      <c r="G29" s="67"/>
      <c r="H29" s="67"/>
      <c r="I29" s="67"/>
      <c r="J29" s="14"/>
      <c r="K29" s="14"/>
      <c r="L29" s="14"/>
      <c r="M29" s="14"/>
      <c r="N29" s="19"/>
      <c r="O29" s="12"/>
      <c r="P29" s="19"/>
      <c r="Q29" s="19"/>
      <c r="R29" s="19"/>
      <c r="S29" s="19"/>
      <c r="T29" s="19"/>
      <c r="U29" s="19"/>
    </row>
    <row r="30" spans="1:21" ht="17.5">
      <c r="A30" s="19"/>
      <c r="B30" s="14"/>
      <c r="C30" s="68" t="s">
        <v>906</v>
      </c>
      <c r="D30" s="68"/>
      <c r="E30" s="68"/>
      <c r="F30" s="67"/>
      <c r="G30" s="67"/>
      <c r="H30" s="67"/>
      <c r="I30" s="67"/>
      <c r="J30" s="14"/>
      <c r="K30" s="14"/>
      <c r="L30" s="14"/>
      <c r="M30" s="14"/>
      <c r="N30" s="19"/>
      <c r="O30" s="12"/>
      <c r="P30" s="19"/>
      <c r="Q30" s="19"/>
      <c r="R30" s="26" t="s">
        <v>386</v>
      </c>
      <c r="S30" s="402" t="s">
        <v>388</v>
      </c>
      <c r="T30" s="26" t="s">
        <v>196</v>
      </c>
      <c r="U30" s="26" t="s">
        <v>197</v>
      </c>
    </row>
    <row r="31" spans="1:21" ht="17.5">
      <c r="A31" s="19"/>
      <c r="B31" s="14"/>
      <c r="C31" s="91" t="s">
        <v>907</v>
      </c>
      <c r="D31" s="22"/>
      <c r="E31" s="392">
        <f>IF($F$27&lt;=$R$31,$S$31,$T$31+$U$31*($F$27-1))</f>
        <v>45</v>
      </c>
      <c r="F31" s="67"/>
      <c r="G31" s="67"/>
      <c r="H31" s="67"/>
      <c r="I31" s="67"/>
      <c r="J31" s="14"/>
      <c r="K31" s="14"/>
      <c r="L31" s="14"/>
      <c r="M31" s="14"/>
      <c r="N31" s="19"/>
      <c r="O31" s="12"/>
      <c r="P31" s="19"/>
      <c r="Q31" s="19"/>
      <c r="R31" s="391">
        <f>INDEX(grenzen_standaard_grenswaarde,MATCH($D$13&amp;" "&amp;$D$15,grenzen_standaard_gebruiksfuncties_bouwjaarklassen,0))</f>
        <v>1</v>
      </c>
      <c r="S31" s="38">
        <f>INDEX(grenzen_standaard_standaard,MATCH($D$13&amp;" "&amp;$D$15,grenzen_standaard_gebruiksfuncties_bouwjaarklassen,0))</f>
        <v>45</v>
      </c>
      <c r="T31" s="38">
        <f>INDEX(grenzen_standaard_C1,MATCH($D$13&amp;" "&amp;$D$15,grenzen_standaard_gebruiksfuncties_bouwjaarklassen,0))</f>
        <v>45</v>
      </c>
      <c r="U31" s="38">
        <f>INDEX(grenzen_standaard_C2,MATCH($D$13&amp;" "&amp;$D$15,grenzen_standaard_gebruiksfuncties_bouwjaarklassen,0))</f>
        <v>45</v>
      </c>
    </row>
    <row r="32" spans="1:21" ht="17.5">
      <c r="A32" s="19"/>
      <c r="B32" s="14"/>
      <c r="C32" s="22" t="s">
        <v>908</v>
      </c>
      <c r="D32" s="22"/>
      <c r="E32" s="408">
        <f>MAX(warmtebehoefte_verwarming_ondergrens,
VLOOKUP($D$16,warmtebehoefte_verwarming_snijpunt,MATCH($D$13,warmtebehoefte_verwarming_gebruiksfuncties,0),FALSE)+
VLOOKUP($D$16,warmtebehoefte_verwarming_C,MATCH($D$13,warmtebehoefte_verwarming_gebruiksfuncties,0),FALSE)*
I$28*$F27^VLOOKUP($D$16,warmtebehoefte_verwarming_n,MATCH($D$13,warmtebehoefte_verwarming_gebruiksfuncties,0),FALSE))</f>
        <v>36.991121596259148</v>
      </c>
      <c r="F32" s="67"/>
      <c r="G32" s="67"/>
      <c r="H32" s="67"/>
      <c r="I32" s="67"/>
      <c r="J32" s="14"/>
      <c r="K32" s="14"/>
      <c r="L32" s="14"/>
      <c r="M32" s="14"/>
      <c r="N32" s="19"/>
      <c r="O32" s="12"/>
      <c r="P32" s="19"/>
      <c r="Q32" s="19"/>
      <c r="R32" s="29"/>
      <c r="S32" s="29"/>
      <c r="T32" s="29"/>
      <c r="U32" s="29"/>
    </row>
    <row r="33" spans="1:21" ht="17.5">
      <c r="A33" s="19"/>
      <c r="B33" s="14"/>
      <c r="C33" s="22" t="s">
        <v>909</v>
      </c>
      <c r="D33" s="22"/>
      <c r="E33" s="409" t="str">
        <f>IF(E32&lt;=E31,"ja","nee")</f>
        <v>ja</v>
      </c>
      <c r="F33" s="67"/>
      <c r="G33" s="67"/>
      <c r="H33" s="67"/>
      <c r="I33" s="67"/>
      <c r="J33" s="14"/>
      <c r="K33" s="14"/>
      <c r="L33" s="14"/>
      <c r="M33" s="14"/>
      <c r="N33" s="19"/>
      <c r="O33" s="12"/>
      <c r="P33" s="19"/>
      <c r="Q33" s="19"/>
      <c r="R33" s="29"/>
      <c r="S33" s="29"/>
      <c r="T33" s="29"/>
      <c r="U33" s="29"/>
    </row>
    <row r="34" spans="1:21" ht="17.5">
      <c r="A34" s="19"/>
      <c r="B34" s="14"/>
      <c r="C34" s="14"/>
      <c r="D34" s="14"/>
      <c r="E34" s="14"/>
      <c r="F34" s="14"/>
      <c r="G34" s="14"/>
      <c r="H34" s="14"/>
      <c r="I34" s="14"/>
      <c r="J34" s="14"/>
      <c r="K34" s="14"/>
      <c r="L34" s="14"/>
      <c r="M34" s="14"/>
      <c r="N34" s="19"/>
      <c r="O34" s="12"/>
      <c r="P34" s="19"/>
      <c r="Q34" s="19"/>
      <c r="R34" s="19"/>
      <c r="S34" s="19"/>
      <c r="T34" s="19"/>
      <c r="U34" s="19"/>
    </row>
    <row r="35" spans="1:21" ht="17.5">
      <c r="A35" s="19"/>
      <c r="B35" s="141" t="str">
        <f>"© W/E adviseurs, Utrecht/Eindhoven, versie rekenhulpmiddelen "&amp;TEXT(Wijzigingsblad!$B$3,"d mmmm jjjj")</f>
        <v>© W/E adviseurs, Utrecht/Eindhoven, versie rekenhulpmiddelen 17 april 2024</v>
      </c>
      <c r="C35" s="19"/>
      <c r="D35" s="19"/>
      <c r="E35" s="19"/>
      <c r="F35" s="19"/>
      <c r="G35" s="37"/>
      <c r="H35" s="37"/>
      <c r="I35" s="37"/>
      <c r="J35" s="19"/>
      <c r="K35" s="19"/>
      <c r="L35" s="19"/>
      <c r="M35" s="19"/>
      <c r="N35" s="19"/>
      <c r="O35" s="19"/>
      <c r="P35" s="19"/>
      <c r="Q35" s="19"/>
      <c r="R35" s="19"/>
      <c r="S35" s="19"/>
      <c r="T35" s="19"/>
      <c r="U35" s="19"/>
    </row>
  </sheetData>
  <sheetProtection sheet="1" objects="1" scenarios="1"/>
  <mergeCells count="10">
    <mergeCell ref="B3:C3"/>
    <mergeCell ref="D15:E15"/>
    <mergeCell ref="D16:E16"/>
    <mergeCell ref="D6:E6"/>
    <mergeCell ref="D7:E7"/>
    <mergeCell ref="D8:E8"/>
    <mergeCell ref="D9:E9"/>
    <mergeCell ref="D10:E10"/>
    <mergeCell ref="D13:E13"/>
    <mergeCell ref="D14:E14"/>
  </mergeCells>
  <conditionalFormatting sqref="D13:D16">
    <cfRule type="expression" dxfId="48" priority="6">
      <formula>OR(D13="",AND(D13&lt;&gt;"",ISERROR(MATCH(D13,OFFSET($P13,0,0,1,$O13),0))=TRUE))</formula>
    </cfRule>
  </conditionalFormatting>
  <conditionalFormatting sqref="D20:D25">
    <cfRule type="expression" dxfId="47" priority="3">
      <formula>E20&lt;&gt;""</formula>
    </cfRule>
  </conditionalFormatting>
  <conditionalFormatting sqref="E33">
    <cfRule type="cellIs" dxfId="46" priority="1" operator="equal">
      <formula>"nee"</formula>
    </cfRule>
  </conditionalFormatting>
  <conditionalFormatting sqref="G21:G23 H24:H25">
    <cfRule type="expression" dxfId="45" priority="4">
      <formula>AND($E21&lt;&gt;"",$F21&gt;0,G21="")</formula>
    </cfRule>
    <cfRule type="expression" dxfId="44" priority="5">
      <formula>AND($E21&lt;&gt;"",$F21&gt;0)</formula>
    </cfRule>
  </conditionalFormatting>
  <conditionalFormatting sqref="R21:R23">
    <cfRule type="expression" dxfId="43" priority="2">
      <formula>H21&lt;&gt;""</formula>
    </cfRule>
  </conditionalFormatting>
  <dataValidations count="1">
    <dataValidation type="list" allowBlank="1" showInputMessage="1" showErrorMessage="1" sqref="D13:D16" xr:uid="{92ECC715-3A1D-424B-8D5E-49AB72C05EE5}">
      <formula1>OFFSET($P13,0,0,1,$O13)</formula1>
    </dataValidation>
  </dataValidations>
  <hyperlinks>
    <hyperlink ref="A1" location="'Overzicht GPR Hulpmiddelen'!A1" tooltip="naar startscherm" display="&lt;" xr:uid="{CD2D9DCE-92D3-4709-9067-EB87819F2F09}"/>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6DB7A-1A7E-4EA2-AB12-4559437ADE6C}">
  <sheetPr codeName="Blad20">
    <tabColor rgb="FFFFFF00"/>
  </sheetPr>
  <dimension ref="A1:AX223"/>
  <sheetViews>
    <sheetView showGridLines="0" showRowColHeaders="0" zoomScaleNormal="100" workbookViewId="0">
      <pane xSplit="1" ySplit="3" topLeftCell="B4" activePane="bottomRight" state="frozen"/>
      <selection pane="topRight" activeCell="B1" sqref="B1"/>
      <selection pane="bottomLeft" activeCell="A4" sqref="A4"/>
      <selection pane="bottomRight" activeCell="D13" sqref="D13"/>
    </sheetView>
  </sheetViews>
  <sheetFormatPr defaultColWidth="9.1796875" defaultRowHeight="17.5"/>
  <cols>
    <col min="1" max="1" width="9.26953125" style="18" customWidth="1"/>
    <col min="2" max="2" width="2.7265625" style="18" customWidth="1"/>
    <col min="3" max="3" width="14.81640625" style="18" customWidth="1"/>
    <col min="4" max="4" width="29.7265625" style="18" customWidth="1"/>
    <col min="5" max="5" width="32" style="18" customWidth="1"/>
    <col min="6" max="6" width="28.54296875" style="18" customWidth="1"/>
    <col min="7" max="7" width="11.26953125" style="21" customWidth="1"/>
    <col min="8" max="13" width="8.7265625" style="21" customWidth="1"/>
    <col min="14" max="14" width="2.7265625" style="18" customWidth="1"/>
    <col min="15" max="15" width="10.7265625" style="18" customWidth="1"/>
    <col min="16" max="16" width="7.7265625" style="18" hidden="1" customWidth="1"/>
    <col min="17" max="17" width="3" style="18" hidden="1" customWidth="1"/>
    <col min="18" max="18" width="17.7265625" style="18" hidden="1" customWidth="1"/>
    <col min="19" max="19" width="8.7265625" style="18" hidden="1" customWidth="1"/>
    <col min="20" max="20" width="2.26953125" style="18" hidden="1" customWidth="1"/>
    <col min="21" max="21" width="30.453125" style="18" hidden="1" customWidth="1"/>
    <col min="22" max="22" width="5.54296875" style="18" hidden="1" customWidth="1"/>
    <col min="23" max="23" width="6.54296875" style="18" hidden="1" customWidth="1"/>
    <col min="24" max="24" width="5.54296875" style="18" hidden="1" customWidth="1"/>
    <col min="25" max="25" width="6.26953125" style="18" hidden="1" customWidth="1"/>
    <col min="26" max="26" width="5.1796875" style="18" hidden="1" customWidth="1"/>
    <col min="27" max="27" width="5.81640625" style="18" hidden="1" customWidth="1"/>
    <col min="28" max="28" width="5.54296875" style="18" hidden="1" customWidth="1"/>
    <col min="29" max="29" width="6.26953125" style="18" hidden="1" customWidth="1"/>
    <col min="30" max="30" width="9.1796875" style="18" hidden="1" customWidth="1"/>
    <col min="31" max="31" width="5.54296875" style="18" hidden="1" customWidth="1"/>
    <col min="32" max="32" width="6.54296875" style="18" hidden="1" customWidth="1"/>
    <col min="33" max="33" width="5.54296875" style="18" hidden="1" customWidth="1"/>
    <col min="34" max="34" width="6.26953125" style="18" hidden="1" customWidth="1"/>
    <col min="35" max="35" width="5.1796875" style="18" hidden="1" customWidth="1"/>
    <col min="36" max="36" width="5.81640625" style="18" hidden="1" customWidth="1"/>
    <col min="37" max="37" width="5.54296875" style="18" hidden="1" customWidth="1"/>
    <col min="38" max="38" width="6.26953125" style="18" hidden="1" customWidth="1"/>
    <col min="39" max="39" width="9.1796875" style="18" hidden="1" customWidth="1"/>
    <col min="40" max="40" width="5.54296875" style="18" hidden="1" customWidth="1"/>
    <col min="41" max="41" width="6.54296875" style="18" hidden="1" customWidth="1"/>
    <col min="42" max="42" width="5.54296875" style="18" hidden="1" customWidth="1"/>
    <col min="43" max="43" width="6.26953125" style="18" hidden="1" customWidth="1"/>
    <col min="44" max="44" width="5.1796875" style="18" hidden="1" customWidth="1"/>
    <col min="45" max="45" width="5.81640625" style="18" hidden="1" customWidth="1"/>
    <col min="46" max="46" width="5.54296875" style="18" hidden="1" customWidth="1"/>
    <col min="47" max="47" width="6.26953125" style="18" hidden="1" customWidth="1"/>
    <col min="48" max="48" width="9.1796875" style="18" hidden="1" customWidth="1"/>
    <col min="49" max="49" width="11.453125" style="18" hidden="1" customWidth="1"/>
    <col min="50" max="50" width="9.1796875" style="18" hidden="1" customWidth="1"/>
    <col min="51" max="16384" width="9.1796875" style="18"/>
  </cols>
  <sheetData>
    <row r="1" spans="1:49" ht="32.5">
      <c r="A1" s="176" t="s">
        <v>12</v>
      </c>
      <c r="C1" s="174"/>
      <c r="D1" s="175"/>
      <c r="E1" s="31"/>
      <c r="F1" s="31"/>
      <c r="P1" s="696" t="s">
        <v>910</v>
      </c>
    </row>
    <row r="2" spans="1:49" ht="21">
      <c r="A2" s="33" t="s">
        <v>877</v>
      </c>
      <c r="B2" s="28" t="s">
        <v>911</v>
      </c>
      <c r="C2" s="28"/>
      <c r="D2" s="28"/>
      <c r="E2" s="28"/>
      <c r="F2" s="28"/>
      <c r="G2" s="27"/>
      <c r="H2" s="27"/>
      <c r="I2" s="27"/>
      <c r="J2" s="27"/>
      <c r="K2" s="27"/>
      <c r="L2" s="27"/>
      <c r="M2" s="27"/>
      <c r="N2" s="27"/>
      <c r="P2" s="27" t="s">
        <v>81</v>
      </c>
      <c r="R2" s="27" t="s">
        <v>912</v>
      </c>
      <c r="S2" s="27"/>
      <c r="U2" s="463" t="s">
        <v>913</v>
      </c>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row>
    <row r="3" spans="1:49">
      <c r="A3" s="29"/>
      <c r="B3" s="1687">
        <v>45096</v>
      </c>
      <c r="C3" s="1688"/>
      <c r="D3" s="1713"/>
      <c r="E3" s="29"/>
      <c r="F3" s="29"/>
      <c r="G3" s="37"/>
      <c r="H3" s="37"/>
      <c r="I3" s="37"/>
      <c r="J3" s="37"/>
      <c r="K3" s="37"/>
      <c r="L3" s="37"/>
      <c r="M3" s="37"/>
      <c r="O3" s="29"/>
      <c r="P3" s="29"/>
      <c r="Q3" s="29"/>
      <c r="U3" s="18" t="str">
        <f>"vanaf rij "&amp;ROW(U199)</f>
        <v>vanaf rij 199</v>
      </c>
      <c r="Z3" s="29"/>
    </row>
    <row r="4" spans="1:49">
      <c r="B4" s="35"/>
      <c r="C4" s="35"/>
      <c r="D4" s="35"/>
      <c r="E4" s="35"/>
      <c r="F4" s="35"/>
      <c r="G4" s="135"/>
      <c r="H4" s="135"/>
      <c r="I4" s="135"/>
      <c r="J4" s="135"/>
      <c r="K4" s="135"/>
      <c r="L4" s="135"/>
      <c r="M4" s="135"/>
      <c r="N4" s="35"/>
      <c r="P4" s="35"/>
      <c r="R4" s="35"/>
      <c r="S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row>
    <row r="5" spans="1:49">
      <c r="A5" s="19"/>
      <c r="B5" s="14"/>
      <c r="C5" s="68" t="s">
        <v>3</v>
      </c>
      <c r="D5" s="68"/>
      <c r="E5" s="35"/>
      <c r="F5" s="68" t="s">
        <v>485</v>
      </c>
      <c r="G5" s="14"/>
      <c r="H5" s="14"/>
      <c r="I5" s="14"/>
      <c r="J5" s="14"/>
      <c r="K5" s="14"/>
      <c r="L5" s="14"/>
      <c r="M5" s="14"/>
      <c r="N5" s="14"/>
      <c r="P5" s="35"/>
      <c r="R5" s="35"/>
      <c r="S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row>
    <row r="6" spans="1:49" ht="17.25" customHeight="1">
      <c r="A6" s="19"/>
      <c r="B6" s="14"/>
      <c r="C6" s="22" t="s">
        <v>4</v>
      </c>
      <c r="D6" s="543" t="str">
        <f>IF('Overzicht GPR Hulpmiddelen'!D6="","",'Overzicht GPR Hulpmiddelen'!D6)</f>
        <v/>
      </c>
      <c r="E6" s="35"/>
      <c r="F6" s="67"/>
      <c r="G6" s="67"/>
      <c r="H6" s="67"/>
      <c r="I6" s="67"/>
      <c r="J6" s="67"/>
      <c r="K6" s="14"/>
      <c r="L6" s="14"/>
      <c r="M6" s="14"/>
      <c r="N6" s="14"/>
      <c r="P6" s="35"/>
      <c r="R6" s="35"/>
      <c r="S6" s="35"/>
      <c r="U6" s="35"/>
      <c r="V6" s="35"/>
      <c r="W6" s="35"/>
      <c r="X6" s="35"/>
      <c r="Y6" s="35"/>
      <c r="Z6" s="35"/>
      <c r="AA6" s="35"/>
      <c r="AB6" s="35"/>
      <c r="AC6" s="35"/>
      <c r="AD6" s="35"/>
      <c r="AE6" s="35"/>
      <c r="AF6" s="35"/>
      <c r="AG6" s="35"/>
      <c r="AH6" s="35"/>
      <c r="AI6" s="35"/>
      <c r="AJ6" s="35"/>
      <c r="AK6" s="35"/>
      <c r="AL6" s="35"/>
      <c r="AM6" s="35"/>
      <c r="AN6" s="35"/>
      <c r="AO6" s="35"/>
      <c r="AP6" s="35"/>
      <c r="AQ6" s="35"/>
      <c r="AR6" s="35"/>
      <c r="AS6" s="35"/>
      <c r="AT6" s="35"/>
      <c r="AU6" s="35"/>
      <c r="AV6" s="35"/>
      <c r="AW6" s="35"/>
    </row>
    <row r="7" spans="1:49">
      <c r="A7" s="19"/>
      <c r="B7" s="14"/>
      <c r="C7" s="22" t="s">
        <v>5</v>
      </c>
      <c r="D7" s="543" t="str">
        <f>IF('Overzicht GPR Hulpmiddelen'!D7="","",'Overzicht GPR Hulpmiddelen'!D7)</f>
        <v/>
      </c>
      <c r="E7" s="35"/>
      <c r="F7" s="67"/>
      <c r="G7" s="67"/>
      <c r="H7" s="67"/>
      <c r="I7" s="67"/>
      <c r="J7" s="67"/>
      <c r="K7" s="14"/>
      <c r="L7" s="14"/>
      <c r="M7" s="14"/>
      <c r="N7" s="14"/>
      <c r="P7" s="35"/>
      <c r="R7" s="35"/>
      <c r="S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row>
    <row r="8" spans="1:49">
      <c r="A8" s="19"/>
      <c r="B8" s="14"/>
      <c r="C8" s="22" t="s">
        <v>6</v>
      </c>
      <c r="D8" s="543" t="str">
        <f>IF('Overzicht GPR Hulpmiddelen'!D8="","",'Overzicht GPR Hulpmiddelen'!D8)</f>
        <v/>
      </c>
      <c r="E8" s="35"/>
      <c r="F8" s="67"/>
      <c r="G8" s="67"/>
      <c r="H8" s="67"/>
      <c r="I8" s="67"/>
      <c r="J8" s="67"/>
      <c r="K8" s="14"/>
      <c r="L8" s="14"/>
      <c r="M8" s="14"/>
      <c r="N8" s="14"/>
      <c r="P8" s="35"/>
      <c r="R8" s="35"/>
      <c r="S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row>
    <row r="9" spans="1:49">
      <c r="A9" s="19"/>
      <c r="B9" s="14"/>
      <c r="C9" s="22" t="s">
        <v>7</v>
      </c>
      <c r="D9" s="544" t="str">
        <f>IF('Overzicht GPR Hulpmiddelen'!D9="","",'Overzicht GPR Hulpmiddelen'!D9)</f>
        <v/>
      </c>
      <c r="E9" s="35"/>
      <c r="F9" s="67"/>
      <c r="G9" s="67"/>
      <c r="H9" s="67"/>
      <c r="I9" s="67"/>
      <c r="J9" s="67"/>
      <c r="K9" s="14"/>
      <c r="L9" s="14"/>
      <c r="M9" s="14"/>
      <c r="N9" s="14"/>
      <c r="P9" s="35"/>
      <c r="R9" s="35"/>
      <c r="S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row>
    <row r="10" spans="1:49">
      <c r="B10" s="14"/>
      <c r="C10" s="22" t="s">
        <v>914</v>
      </c>
      <c r="D10" s="545"/>
      <c r="E10" s="35"/>
      <c r="F10" s="67"/>
      <c r="G10" s="67"/>
      <c r="H10" s="67"/>
      <c r="I10" s="67"/>
      <c r="J10" s="67"/>
      <c r="K10" s="14"/>
      <c r="L10" s="14"/>
      <c r="M10" s="14"/>
      <c r="N10" s="14"/>
      <c r="O10" s="19"/>
      <c r="P10" s="35"/>
      <c r="Q10" s="19"/>
      <c r="R10" s="35"/>
      <c r="S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row>
    <row r="11" spans="1:49">
      <c r="B11" s="14"/>
      <c r="C11" s="67"/>
      <c r="D11" s="67"/>
      <c r="E11" s="67"/>
      <c r="F11" s="67"/>
      <c r="G11" s="67"/>
      <c r="H11" s="67"/>
      <c r="I11" s="67"/>
      <c r="J11" s="67"/>
      <c r="K11" s="14"/>
      <c r="L11" s="14"/>
      <c r="M11" s="14"/>
      <c r="N11" s="14"/>
      <c r="O11" s="29"/>
      <c r="P11" s="35"/>
      <c r="Q11" s="29"/>
      <c r="R11" s="35"/>
      <c r="S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row>
    <row r="12" spans="1:49">
      <c r="B12" s="35"/>
      <c r="C12" s="68" t="s">
        <v>915</v>
      </c>
      <c r="D12" s="68"/>
      <c r="E12" s="15"/>
      <c r="F12" s="15"/>
      <c r="G12" s="67"/>
      <c r="H12" s="67"/>
      <c r="I12" s="67"/>
      <c r="J12" s="67"/>
      <c r="K12" s="67"/>
      <c r="L12" s="67"/>
      <c r="M12" s="67"/>
      <c r="N12" s="35"/>
      <c r="P12" s="35"/>
      <c r="R12" s="35"/>
      <c r="S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row>
    <row r="13" spans="1:49" s="19" customFormat="1">
      <c r="B13" s="12"/>
      <c r="C13" s="90" t="s">
        <v>558</v>
      </c>
      <c r="D13" s="42" t="s">
        <v>926</v>
      </c>
      <c r="E13" s="15"/>
      <c r="F13" s="1744" t="s">
        <v>916</v>
      </c>
      <c r="G13" s="1745"/>
      <c r="H13" s="1745"/>
      <c r="I13" s="67"/>
      <c r="J13" s="67"/>
      <c r="K13" s="67"/>
      <c r="L13" s="67"/>
      <c r="M13" s="67"/>
      <c r="N13" s="12"/>
      <c r="P13" s="12"/>
      <c r="R13" s="12"/>
      <c r="S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row>
    <row r="14" spans="1:49" s="19" customFormat="1">
      <c r="B14" s="12"/>
      <c r="C14" s="90" t="s">
        <v>917</v>
      </c>
      <c r="D14" s="42" t="s">
        <v>939</v>
      </c>
      <c r="E14" s="12"/>
      <c r="F14" s="12"/>
      <c r="G14" s="14"/>
      <c r="H14" s="14"/>
      <c r="I14" s="14"/>
      <c r="J14" s="14"/>
      <c r="K14" s="14"/>
      <c r="L14" s="14"/>
      <c r="M14" s="14"/>
      <c r="N14" s="12"/>
      <c r="P14" s="12"/>
      <c r="R14" s="12"/>
      <c r="S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row>
    <row r="15" spans="1:49" s="19" customFormat="1">
      <c r="B15" s="12"/>
      <c r="C15" s="90" t="s">
        <v>918</v>
      </c>
      <c r="D15" s="546" t="str">
        <f>IF(R40=1,S40,IF(R41=1,S41,IF(R42=1,S42,IF(R43=1,S43,IF(R44=1,S44,IF(R45=1,S45,IF(R46=1,S46,IF(R47=1,S47))))))))</f>
        <v>1.WO-BI</v>
      </c>
      <c r="E15" s="12"/>
      <c r="F15" s="12"/>
      <c r="G15" s="14"/>
      <c r="H15" s="14"/>
      <c r="I15" s="14"/>
      <c r="J15" s="14"/>
      <c r="K15" s="14"/>
      <c r="L15" s="14"/>
      <c r="M15" s="14"/>
      <c r="N15" s="12"/>
      <c r="P15" s="12"/>
      <c r="R15" s="12"/>
      <c r="S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row>
    <row r="16" spans="1:49" s="19" customFormat="1">
      <c r="B16" s="12"/>
      <c r="C16" s="12"/>
      <c r="D16" s="12"/>
      <c r="E16" s="12"/>
      <c r="F16" s="12"/>
      <c r="G16" s="14"/>
      <c r="H16" s="14"/>
      <c r="I16" s="14"/>
      <c r="J16" s="14"/>
      <c r="K16" s="14"/>
      <c r="L16" s="14"/>
      <c r="M16" s="14"/>
      <c r="N16" s="12"/>
      <c r="P16" s="12"/>
      <c r="R16" s="12"/>
      <c r="S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row>
    <row r="17" spans="1:49" s="19" customFormat="1">
      <c r="B17" s="12"/>
      <c r="C17" s="747" t="s">
        <v>919</v>
      </c>
      <c r="D17" s="748"/>
      <c r="E17" s="749" t="s">
        <v>920</v>
      </c>
      <c r="F17" s="15"/>
      <c r="G17" s="67"/>
      <c r="H17" s="67"/>
      <c r="I17" s="728" t="s">
        <v>921</v>
      </c>
      <c r="J17" s="746"/>
      <c r="K17" s="746"/>
      <c r="L17" s="728"/>
      <c r="M17" s="728" t="s">
        <v>922</v>
      </c>
      <c r="N17" s="12"/>
      <c r="P17" s="12"/>
      <c r="R17" s="12"/>
      <c r="S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row>
    <row r="18" spans="1:49" s="19" customFormat="1">
      <c r="B18" s="12"/>
      <c r="C18" s="796" t="s">
        <v>923</v>
      </c>
      <c r="D18" s="90"/>
      <c r="E18" s="797">
        <f>M18/4</f>
        <v>0</v>
      </c>
      <c r="F18" s="90"/>
      <c r="G18" s="38"/>
      <c r="H18" s="38"/>
      <c r="I18" s="38"/>
      <c r="J18" s="38"/>
      <c r="K18" s="38"/>
      <c r="L18" s="757" t="s">
        <v>924</v>
      </c>
      <c r="M18" s="798">
        <f>M19*I19+M20*I20</f>
        <v>0</v>
      </c>
      <c r="N18" s="12"/>
      <c r="P18" s="12"/>
      <c r="R18" s="12" t="s">
        <v>619</v>
      </c>
      <c r="S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row>
    <row r="19" spans="1:49">
      <c r="A19" s="19"/>
      <c r="B19" s="12"/>
      <c r="C19" s="750" t="s">
        <v>925</v>
      </c>
      <c r="D19" s="352"/>
      <c r="E19" s="751">
        <f>M19/4</f>
        <v>0</v>
      </c>
      <c r="F19" s="352"/>
      <c r="G19" s="77"/>
      <c r="H19" s="77"/>
      <c r="I19" s="729">
        <f>$AW$201</f>
        <v>0.7</v>
      </c>
      <c r="J19" s="77"/>
      <c r="K19" s="77"/>
      <c r="L19" s="757" t="s">
        <v>924</v>
      </c>
      <c r="M19" s="730">
        <f>M52</f>
        <v>0</v>
      </c>
      <c r="N19" s="12"/>
      <c r="O19" s="19"/>
      <c r="P19" s="35"/>
      <c r="R19" s="104" t="s">
        <v>926</v>
      </c>
      <c r="S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row>
    <row r="20" spans="1:49" s="19" customFormat="1">
      <c r="B20" s="12"/>
      <c r="C20" s="752" t="s">
        <v>927</v>
      </c>
      <c r="D20" s="753"/>
      <c r="E20" s="754">
        <f>M20/4</f>
        <v>0</v>
      </c>
      <c r="F20" s="90"/>
      <c r="G20" s="38"/>
      <c r="H20" s="38"/>
      <c r="I20" s="687">
        <f>$AW$212</f>
        <v>0.30000000000000004</v>
      </c>
      <c r="J20" s="38"/>
      <c r="K20" s="38"/>
      <c r="L20" s="757" t="s">
        <v>924</v>
      </c>
      <c r="M20" s="391">
        <f>M121</f>
        <v>0</v>
      </c>
      <c r="N20" s="12"/>
      <c r="P20" s="12"/>
      <c r="R20" s="90" t="s">
        <v>144</v>
      </c>
      <c r="S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row>
    <row r="21" spans="1:49" s="19" customFormat="1">
      <c r="B21" s="12"/>
      <c r="C21" s="15"/>
      <c r="D21" s="15"/>
      <c r="E21" s="15"/>
      <c r="F21" s="122"/>
      <c r="G21" s="123"/>
      <c r="H21" s="123"/>
      <c r="I21" s="123"/>
      <c r="J21" s="123"/>
      <c r="K21" s="123"/>
      <c r="L21" s="123"/>
      <c r="M21" s="123"/>
      <c r="N21" s="12"/>
      <c r="P21" s="12"/>
      <c r="R21" s="90" t="s">
        <v>147</v>
      </c>
      <c r="S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row>
    <row r="22" spans="1:49" s="19" customFormat="1">
      <c r="B22" s="12"/>
      <c r="C22" s="68" t="s">
        <v>928</v>
      </c>
      <c r="D22" s="68"/>
      <c r="E22" s="15"/>
      <c r="F22" s="15"/>
      <c r="G22" s="67"/>
      <c r="H22" s="67"/>
      <c r="I22" s="67"/>
      <c r="J22" s="67"/>
      <c r="K22" s="67"/>
      <c r="L22" s="67"/>
      <c r="M22" s="67"/>
      <c r="N22" s="12"/>
      <c r="P22" s="12"/>
      <c r="R22" s="90" t="s">
        <v>929</v>
      </c>
      <c r="S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row>
    <row r="23" spans="1:49" s="19" customFormat="1">
      <c r="B23" s="12"/>
      <c r="C23" s="233" t="s">
        <v>930</v>
      </c>
      <c r="D23" s="146"/>
      <c r="E23" s="301"/>
      <c r="F23" s="301"/>
      <c r="G23" s="26" t="s">
        <v>931</v>
      </c>
      <c r="H23" s="26" t="s">
        <v>932</v>
      </c>
      <c r="I23" s="26" t="s">
        <v>933</v>
      </c>
      <c r="J23" s="26" t="s">
        <v>934</v>
      </c>
      <c r="K23" s="26" t="s">
        <v>120</v>
      </c>
      <c r="L23" s="26"/>
      <c r="M23" s="26" t="s">
        <v>935</v>
      </c>
      <c r="N23" s="12"/>
      <c r="P23" s="12"/>
      <c r="R23" s="12"/>
      <c r="S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row>
    <row r="24" spans="1:49" s="19" customFormat="1">
      <c r="A24" s="18"/>
      <c r="B24" s="35"/>
      <c r="C24" s="731" t="s">
        <v>936</v>
      </c>
      <c r="D24" s="105"/>
      <c r="E24" s="548"/>
      <c r="F24" s="681" t="s">
        <v>937</v>
      </c>
      <c r="G24" s="26"/>
      <c r="H24" s="26">
        <f>COUNTIF(H25:H40,"x")+IF($R$31=1,0,COUNTIF(H42:H49,"x"))</f>
        <v>0</v>
      </c>
      <c r="I24" s="26">
        <f>COUNTIF(I25:I40,"x")+IF($R$31=1,0,COUNTIF(I42:I49,"x"))</f>
        <v>0</v>
      </c>
      <c r="J24" s="26">
        <f>COUNTIF(J25:J40,"x")+IF($R$31=1,0,COUNTIF(J42:J49,"x"))</f>
        <v>0</v>
      </c>
      <c r="K24" s="26">
        <f>COUNTIF(K25:K40,"x")+IF($R$31=1,0,COUNTIF(K42:K49,"x"))</f>
        <v>0</v>
      </c>
      <c r="L24" s="682" t="s">
        <v>938</v>
      </c>
      <c r="M24" s="26">
        <f>SUM(M25:M49)</f>
        <v>0</v>
      </c>
      <c r="N24" s="35"/>
      <c r="O24" s="18"/>
      <c r="P24" s="12"/>
      <c r="R24" s="12" t="s">
        <v>917</v>
      </c>
      <c r="S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row>
    <row r="25" spans="1:49" s="19" customFormat="1">
      <c r="B25" s="12"/>
      <c r="C25" s="90" t="str">
        <f>'Indicatoren adaptief vermogen'!K48</f>
        <v>D01a</v>
      </c>
      <c r="D25" s="90" t="str">
        <f>'Indicatoren adaptief vermogen'!L48</f>
        <v>Onderscheid draagconstructie en installaties (gebruiksdynamiek)</v>
      </c>
      <c r="E25" s="38"/>
      <c r="F25" s="38"/>
      <c r="G25" s="683"/>
      <c r="H25" s="38" t="str">
        <f t="shared" ref="H25:K40" si="0">IF($G25=H$23,"x","")</f>
        <v/>
      </c>
      <c r="I25" s="38" t="str">
        <f t="shared" si="0"/>
        <v/>
      </c>
      <c r="J25" s="38" t="str">
        <f t="shared" si="0"/>
        <v/>
      </c>
      <c r="K25" s="38" t="str">
        <f t="shared" si="0"/>
        <v/>
      </c>
      <c r="L25" s="38"/>
      <c r="M25" s="684">
        <f t="shared" ref="M25:M40" si="1">IFERROR(INDEX($S$34:$S$37,MATCH($G25,$R$34:$R$37,0)),0)</f>
        <v>0</v>
      </c>
      <c r="N25" s="12"/>
      <c r="P25" s="12"/>
      <c r="R25" s="90" t="s">
        <v>939</v>
      </c>
      <c r="S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row>
    <row r="26" spans="1:49" s="19" customFormat="1">
      <c r="B26" s="12"/>
      <c r="C26" s="90" t="str">
        <f>'Indicatoren adaptief vermogen'!K49</f>
        <v>D01b</v>
      </c>
      <c r="D26" s="90" t="str">
        <f>'Indicatoren adaptief vermogen'!L49</f>
        <v>Onderscheid draagconstructie en installaties (herbestemmingsdynamiek)</v>
      </c>
      <c r="E26" s="38"/>
      <c r="F26" s="38"/>
      <c r="G26" s="683"/>
      <c r="H26" s="38" t="str">
        <f t="shared" si="0"/>
        <v/>
      </c>
      <c r="I26" s="38" t="str">
        <f t="shared" si="0"/>
        <v/>
      </c>
      <c r="J26" s="38" t="str">
        <f t="shared" si="0"/>
        <v/>
      </c>
      <c r="K26" s="38" t="str">
        <f t="shared" si="0"/>
        <v/>
      </c>
      <c r="L26" s="38"/>
      <c r="M26" s="684">
        <f t="shared" si="1"/>
        <v>0</v>
      </c>
      <c r="N26" s="12"/>
      <c r="P26" s="12"/>
      <c r="R26" s="90" t="s">
        <v>940</v>
      </c>
      <c r="S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row>
    <row r="27" spans="1:49" s="19" customFormat="1">
      <c r="B27" s="12"/>
      <c r="C27" s="90" t="str">
        <f>'Indicatoren adaptief vermogen'!K50</f>
        <v>D02a</v>
      </c>
      <c r="D27" s="90" t="str">
        <f>'Indicatoren adaptief vermogen'!L50</f>
        <v>Overmaat gebouwoppervlak</v>
      </c>
      <c r="E27" s="38"/>
      <c r="F27" s="38"/>
      <c r="G27" s="683"/>
      <c r="H27" s="38" t="str">
        <f t="shared" si="0"/>
        <v/>
      </c>
      <c r="I27" s="38" t="str">
        <f t="shared" si="0"/>
        <v/>
      </c>
      <c r="J27" s="38" t="str">
        <f t="shared" si="0"/>
        <v/>
      </c>
      <c r="K27" s="38" t="str">
        <f t="shared" si="0"/>
        <v/>
      </c>
      <c r="L27" s="38"/>
      <c r="M27" s="684">
        <f t="shared" si="1"/>
        <v>0</v>
      </c>
      <c r="N27" s="12"/>
      <c r="P27" s="12"/>
      <c r="R27" s="12"/>
      <c r="S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row>
    <row r="28" spans="1:49" s="19" customFormat="1">
      <c r="B28" s="12"/>
      <c r="C28" s="90" t="str">
        <f>'Indicatoren adaptief vermogen'!K51</f>
        <v>D02b</v>
      </c>
      <c r="D28" s="90" t="str">
        <f>'Indicatoren adaptief vermogen'!L51</f>
        <v>Overmaat woning</v>
      </c>
      <c r="E28" s="38"/>
      <c r="F28" s="38"/>
      <c r="G28" s="683"/>
      <c r="H28" s="38" t="str">
        <f t="shared" si="0"/>
        <v/>
      </c>
      <c r="I28" s="38" t="str">
        <f t="shared" si="0"/>
        <v/>
      </c>
      <c r="J28" s="38" t="str">
        <f t="shared" si="0"/>
        <v/>
      </c>
      <c r="K28" s="38" t="str">
        <f t="shared" si="0"/>
        <v/>
      </c>
      <c r="L28" s="38"/>
      <c r="M28" s="684">
        <f t="shared" si="1"/>
        <v>0</v>
      </c>
      <c r="N28" s="12"/>
      <c r="P28" s="12"/>
      <c r="R28" s="12" t="s">
        <v>941</v>
      </c>
      <c r="S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row>
    <row r="29" spans="1:49" s="19" customFormat="1">
      <c r="B29" s="12"/>
      <c r="C29" s="90" t="str">
        <f>'Indicatoren adaptief vermogen'!K52</f>
        <v>D03</v>
      </c>
      <c r="D29" s="90" t="str">
        <f>'Indicatoren adaptief vermogen'!L52&amp;IF(G29&lt;&gt;"slecht",""," ≤ 260 mm: 'Rode vlag' Herbestemmingsdynamiek")</f>
        <v>Vrije verdiepingshoogte</v>
      </c>
      <c r="E29" s="38"/>
      <c r="F29" s="685"/>
      <c r="G29" s="683"/>
      <c r="H29" s="38" t="str">
        <f t="shared" si="0"/>
        <v/>
      </c>
      <c r="I29" s="38" t="str">
        <f t="shared" si="0"/>
        <v/>
      </c>
      <c r="J29" s="38" t="str">
        <f t="shared" si="0"/>
        <v/>
      </c>
      <c r="K29" s="38" t="str">
        <f t="shared" si="0"/>
        <v/>
      </c>
      <c r="L29" s="38"/>
      <c r="M29" s="684">
        <f t="shared" si="1"/>
        <v>0</v>
      </c>
      <c r="N29" s="12"/>
      <c r="P29" s="12"/>
      <c r="R29" s="90" t="s">
        <v>942</v>
      </c>
      <c r="S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row>
    <row r="30" spans="1:49" s="19" customFormat="1">
      <c r="B30" s="12"/>
      <c r="C30" s="90" t="str">
        <f>'Indicatoren adaptief vermogen'!K53</f>
        <v>D04</v>
      </c>
      <c r="D30" s="90" t="str">
        <f>'Indicatoren adaptief vermogen'!L53</f>
        <v>Overdimensionering bouwkundige ruimte/reservering voor E&amp;W- installaties en schachten</v>
      </c>
      <c r="E30" s="38"/>
      <c r="F30" s="38"/>
      <c r="G30" s="683"/>
      <c r="H30" s="38" t="str">
        <f t="shared" si="0"/>
        <v/>
      </c>
      <c r="I30" s="38" t="str">
        <f t="shared" si="0"/>
        <v/>
      </c>
      <c r="J30" s="38" t="str">
        <f t="shared" si="0"/>
        <v/>
      </c>
      <c r="K30" s="38" t="str">
        <f t="shared" si="0"/>
        <v/>
      </c>
      <c r="L30" s="38"/>
      <c r="M30" s="684">
        <f t="shared" si="1"/>
        <v>0</v>
      </c>
      <c r="N30" s="12"/>
      <c r="P30" s="12"/>
      <c r="R30" s="90" t="s">
        <v>943</v>
      </c>
      <c r="S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row>
    <row r="31" spans="1:49" s="19" customFormat="1">
      <c r="B31" s="12"/>
      <c r="C31" s="90" t="str">
        <f>'Indicatoren adaptief vermogen'!K54</f>
        <v>D05</v>
      </c>
      <c r="D31" s="90" t="str">
        <f>'Indicatoren adaptief vermogen'!L54</f>
        <v xml:space="preserve">Uitbreidbaar gebouw of woning/unit, horizontaal en/of vertikaal
</v>
      </c>
      <c r="E31" s="38"/>
      <c r="F31" s="38"/>
      <c r="G31" s="683"/>
      <c r="H31" s="38" t="str">
        <f t="shared" si="0"/>
        <v/>
      </c>
      <c r="I31" s="38" t="str">
        <f t="shared" si="0"/>
        <v/>
      </c>
      <c r="J31" s="38" t="str">
        <f t="shared" si="0"/>
        <v/>
      </c>
      <c r="K31" s="38" t="str">
        <f t="shared" si="0"/>
        <v/>
      </c>
      <c r="L31" s="38"/>
      <c r="M31" s="684">
        <f t="shared" si="1"/>
        <v>0</v>
      </c>
      <c r="N31" s="12"/>
      <c r="P31" s="12"/>
      <c r="R31" s="22">
        <f>IF($D$23="gebruik defaults",1,0)</f>
        <v>0</v>
      </c>
      <c r="S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row>
    <row r="32" spans="1:49" s="19" customFormat="1">
      <c r="B32" s="12"/>
      <c r="C32" s="90" t="str">
        <f>'Indicatoren adaptief vermogen'!K55</f>
        <v>D06</v>
      </c>
      <c r="D32" s="90" t="str">
        <f>'Indicatoren adaptief vermogen'!L55</f>
        <v xml:space="preserve">Instelbaarheid van installaties
</v>
      </c>
      <c r="E32" s="38"/>
      <c r="F32" s="38"/>
      <c r="G32" s="683"/>
      <c r="H32" s="38" t="str">
        <f t="shared" si="0"/>
        <v/>
      </c>
      <c r="I32" s="38" t="str">
        <f t="shared" si="0"/>
        <v/>
      </c>
      <c r="J32" s="38" t="str">
        <f t="shared" si="0"/>
        <v/>
      </c>
      <c r="K32" s="38" t="str">
        <f t="shared" si="0"/>
        <v/>
      </c>
      <c r="L32" s="38"/>
      <c r="M32" s="684">
        <f t="shared" si="1"/>
        <v>0</v>
      </c>
      <c r="N32" s="12"/>
      <c r="P32" s="12"/>
      <c r="R32" s="12"/>
      <c r="S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row>
    <row r="33" spans="1:49" s="19" customFormat="1">
      <c r="B33" s="12"/>
      <c r="C33" s="90" t="str">
        <f>'Indicatoren adaptief vermogen'!K56</f>
        <v>D07</v>
      </c>
      <c r="D33" s="90" t="str">
        <f>'Indicatoren adaptief vermogen'!L56</f>
        <v xml:space="preserve">Verplaatsbare binnenwanden
</v>
      </c>
      <c r="E33" s="38"/>
      <c r="F33" s="38"/>
      <c r="G33" s="683"/>
      <c r="H33" s="38" t="str">
        <f t="shared" si="0"/>
        <v/>
      </c>
      <c r="I33" s="38" t="str">
        <f t="shared" si="0"/>
        <v/>
      </c>
      <c r="J33" s="38" t="str">
        <f t="shared" si="0"/>
        <v/>
      </c>
      <c r="K33" s="38" t="str">
        <f t="shared" si="0"/>
        <v/>
      </c>
      <c r="L33" s="38"/>
      <c r="M33" s="684">
        <f t="shared" si="1"/>
        <v>0</v>
      </c>
      <c r="N33" s="12"/>
      <c r="P33" s="12"/>
      <c r="R33" s="12" t="s">
        <v>944</v>
      </c>
      <c r="S33" s="13" t="s">
        <v>935</v>
      </c>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row>
    <row r="34" spans="1:49" s="19" customFormat="1">
      <c r="B34" s="12"/>
      <c r="C34" s="90" t="str">
        <f>'Indicatoren adaptief vermogen'!K57</f>
        <v>D08</v>
      </c>
      <c r="D34" s="90" t="str">
        <f>'Indicatoren adaptief vermogen'!L57</f>
        <v xml:space="preserve">Ontkoppelbaarheid en bereikbaarheid installatiecomponenten
</v>
      </c>
      <c r="E34" s="38"/>
      <c r="F34" s="38"/>
      <c r="G34" s="683"/>
      <c r="H34" s="38" t="str">
        <f t="shared" si="0"/>
        <v/>
      </c>
      <c r="I34" s="38" t="str">
        <f t="shared" si="0"/>
        <v/>
      </c>
      <c r="J34" s="38" t="str">
        <f t="shared" si="0"/>
        <v/>
      </c>
      <c r="K34" s="38" t="str">
        <f t="shared" si="0"/>
        <v/>
      </c>
      <c r="L34" s="38"/>
      <c r="M34" s="684">
        <f t="shared" si="1"/>
        <v>0</v>
      </c>
      <c r="N34" s="12"/>
      <c r="P34" s="12"/>
      <c r="R34" s="90" t="s">
        <v>932</v>
      </c>
      <c r="S34" s="23">
        <v>0</v>
      </c>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row>
    <row r="35" spans="1:49" s="19" customFormat="1">
      <c r="B35" s="12"/>
      <c r="C35" s="90" t="str">
        <f>'Indicatoren adaptief vermogen'!K58</f>
        <v>D09</v>
      </c>
      <c r="D35" s="90" t="str">
        <f>'Indicatoren adaptief vermogen'!L58</f>
        <v>Positionering obstakels draagstructuur</v>
      </c>
      <c r="E35" s="38"/>
      <c r="F35" s="38"/>
      <c r="G35" s="683"/>
      <c r="H35" s="38" t="str">
        <f t="shared" si="0"/>
        <v/>
      </c>
      <c r="I35" s="38" t="str">
        <f t="shared" si="0"/>
        <v/>
      </c>
      <c r="J35" s="38" t="str">
        <f t="shared" si="0"/>
        <v/>
      </c>
      <c r="K35" s="38" t="str">
        <f t="shared" si="0"/>
        <v/>
      </c>
      <c r="L35" s="38"/>
      <c r="M35" s="684">
        <f t="shared" si="1"/>
        <v>0</v>
      </c>
      <c r="N35" s="12"/>
      <c r="P35" s="12"/>
      <c r="R35" s="90" t="s">
        <v>933</v>
      </c>
      <c r="S35" s="23">
        <v>1</v>
      </c>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row>
    <row r="36" spans="1:49" s="697" customFormat="1">
      <c r="A36" s="19"/>
      <c r="B36" s="12"/>
      <c r="C36" s="90" t="str">
        <f>'Indicatoren adaptief vermogen'!K59</f>
        <v>D10</v>
      </c>
      <c r="D36" s="90" t="str">
        <f>'Indicatoren adaptief vermogen'!L59&amp;IF(G36&lt;&gt;"slecht",""," - daglichtopening/diepte ≤0,5: 'Rode vlag' Herverkavel-, herindeelbaarheid")</f>
        <v xml:space="preserve">Daglichttoetreding
</v>
      </c>
      <c r="E36" s="38"/>
      <c r="F36" s="685"/>
      <c r="G36" s="683"/>
      <c r="H36" s="38" t="str">
        <f t="shared" si="0"/>
        <v/>
      </c>
      <c r="I36" s="38" t="str">
        <f t="shared" si="0"/>
        <v/>
      </c>
      <c r="J36" s="38" t="str">
        <f t="shared" si="0"/>
        <v/>
      </c>
      <c r="K36" s="38" t="str">
        <f t="shared" si="0"/>
        <v/>
      </c>
      <c r="L36" s="38"/>
      <c r="M36" s="684">
        <f t="shared" si="1"/>
        <v>0</v>
      </c>
      <c r="N36" s="12"/>
      <c r="O36" s="19"/>
      <c r="P36" s="35"/>
      <c r="R36" s="90" t="s">
        <v>934</v>
      </c>
      <c r="S36" s="23">
        <v>2</v>
      </c>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row>
    <row r="37" spans="1:49" s="19" customFormat="1">
      <c r="B37" s="12"/>
      <c r="C37" s="90" t="str">
        <f>'Indicatoren adaptief vermogen'!K60</f>
        <v>D11</v>
      </c>
      <c r="D37" s="90" t="str">
        <f>'Indicatoren adaptief vermogen'!L60</f>
        <v>Aanwezigheid+positie van trappen en/of liften, of uitbredingsmogelijkheden voor trappen/liften</v>
      </c>
      <c r="E37" s="38"/>
      <c r="F37" s="38"/>
      <c r="G37" s="683"/>
      <c r="H37" s="38" t="str">
        <f t="shared" si="0"/>
        <v/>
      </c>
      <c r="I37" s="38" t="str">
        <f t="shared" si="0"/>
        <v/>
      </c>
      <c r="J37" s="38" t="str">
        <f t="shared" si="0"/>
        <v/>
      </c>
      <c r="K37" s="38" t="str">
        <f t="shared" si="0"/>
        <v/>
      </c>
      <c r="L37" s="38"/>
      <c r="M37" s="684">
        <f t="shared" si="1"/>
        <v>0</v>
      </c>
      <c r="N37" s="12"/>
      <c r="P37" s="12"/>
      <c r="R37" s="90" t="s">
        <v>120</v>
      </c>
      <c r="S37" s="23">
        <v>4</v>
      </c>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row>
    <row r="38" spans="1:49" s="19" customFormat="1">
      <c r="B38" s="12"/>
      <c r="C38" s="90" t="str">
        <f>'Indicatoren adaptief vermogen'!K61</f>
        <v>D12</v>
      </c>
      <c r="D38" s="90" t="str">
        <f>'Indicatoren adaptief vermogen'!L61</f>
        <v xml:space="preserve">Multifunctioneel gebruik gebouw of woning/unit in de tijd
</v>
      </c>
      <c r="E38" s="38"/>
      <c r="F38" s="38"/>
      <c r="G38" s="683"/>
      <c r="H38" s="38" t="str">
        <f t="shared" si="0"/>
        <v/>
      </c>
      <c r="I38" s="38" t="str">
        <f t="shared" si="0"/>
        <v/>
      </c>
      <c r="J38" s="38" t="str">
        <f t="shared" si="0"/>
        <v/>
      </c>
      <c r="K38" s="38" t="str">
        <f t="shared" si="0"/>
        <v/>
      </c>
      <c r="L38" s="38"/>
      <c r="M38" s="684">
        <f t="shared" si="1"/>
        <v>0</v>
      </c>
      <c r="N38" s="12"/>
      <c r="P38" s="12"/>
      <c r="R38" s="12"/>
      <c r="S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row>
    <row r="39" spans="1:49" s="19" customFormat="1">
      <c r="B39" s="12"/>
      <c r="C39" s="90" t="str">
        <f>'Indicatoren adaptief vermogen'!K62</f>
        <v>D13</v>
      </c>
      <c r="D39" s="90" t="str">
        <f>'Indicatoren adaptief vermogen'!L62</f>
        <v>Dragende vloeren</v>
      </c>
      <c r="E39" s="38"/>
      <c r="F39" s="38"/>
      <c r="G39" s="683"/>
      <c r="H39" s="38" t="str">
        <f t="shared" si="0"/>
        <v/>
      </c>
      <c r="I39" s="38" t="str">
        <f t="shared" si="0"/>
        <v/>
      </c>
      <c r="J39" s="38" t="str">
        <f t="shared" si="0"/>
        <v/>
      </c>
      <c r="K39" s="38" t="str">
        <f t="shared" si="0"/>
        <v/>
      </c>
      <c r="L39" s="38"/>
      <c r="M39" s="684">
        <f t="shared" si="1"/>
        <v>0</v>
      </c>
      <c r="N39" s="12"/>
      <c r="P39" s="12"/>
      <c r="R39" s="41" t="s">
        <v>918</v>
      </c>
      <c r="S39" s="41" t="s">
        <v>617</v>
      </c>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row>
    <row r="40" spans="1:49" s="19" customFormat="1">
      <c r="B40" s="12"/>
      <c r="C40" s="90" t="str">
        <f>'Indicatoren adaptief vermogen'!K63</f>
        <v>D14</v>
      </c>
      <c r="D40" s="90" t="str">
        <f>'Indicatoren adaptief vermogen'!L63</f>
        <v>Mogelijkheid tot indeling middels een vrij indeelbare plattegrond.</v>
      </c>
      <c r="E40" s="38"/>
      <c r="F40" s="38"/>
      <c r="G40" s="683"/>
      <c r="H40" s="38" t="str">
        <f t="shared" si="0"/>
        <v/>
      </c>
      <c r="I40" s="38" t="str">
        <f t="shared" si="0"/>
        <v/>
      </c>
      <c r="J40" s="38" t="str">
        <f t="shared" si="0"/>
        <v/>
      </c>
      <c r="K40" s="38" t="str">
        <f t="shared" si="0"/>
        <v/>
      </c>
      <c r="L40" s="38"/>
      <c r="M40" s="684">
        <f t="shared" si="1"/>
        <v>0</v>
      </c>
      <c r="N40" s="12"/>
      <c r="P40" s="12"/>
      <c r="R40" s="686">
        <f>IF(AND($D$13="Woon",$D$14="binnenstedelijk"),1,0)</f>
        <v>1</v>
      </c>
      <c r="S40" s="686" t="s">
        <v>945</v>
      </c>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row>
    <row r="41" spans="1:49" s="19" customFormat="1">
      <c r="B41" s="35"/>
      <c r="C41" s="731" t="s">
        <v>946</v>
      </c>
      <c r="D41" s="698"/>
      <c r="E41" s="699"/>
      <c r="F41" s="700"/>
      <c r="G41" s="701"/>
      <c r="H41" s="701"/>
      <c r="I41" s="702"/>
      <c r="J41" s="701"/>
      <c r="K41" s="701"/>
      <c r="L41" s="701"/>
      <c r="M41" s="701"/>
      <c r="N41" s="35"/>
      <c r="O41" s="697"/>
      <c r="P41" s="12"/>
      <c r="R41" s="686">
        <f>IF(AND($D$13="Woon",$D$14="niet-binnenstedelijk"),1,0)</f>
        <v>0</v>
      </c>
      <c r="S41" s="686" t="s">
        <v>947</v>
      </c>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row>
    <row r="42" spans="1:49" s="19" customFormat="1">
      <c r="B42" s="12"/>
      <c r="C42" s="90" t="str">
        <f>'Indicatoren adaptief vermogen'!K64</f>
        <v>A01</v>
      </c>
      <c r="D42" s="90" t="str">
        <f>'Indicatoren adaptief vermogen'!L64</f>
        <v xml:space="preserve">Utilitaire functie: afstootbaar deel van gebouw, horizontaal of verticaal, of afstootbare gebruikersunit
</v>
      </c>
      <c r="E42" s="38"/>
      <c r="F42" s="38"/>
      <c r="G42" s="683"/>
      <c r="H42" s="38" t="str">
        <f t="shared" ref="H42:K49" si="2">IF(IF($R$31=1,$R$35,$G42)=H$23,"x","")</f>
        <v/>
      </c>
      <c r="I42" s="38" t="str">
        <f t="shared" si="2"/>
        <v/>
      </c>
      <c r="J42" s="38" t="str">
        <f t="shared" si="2"/>
        <v/>
      </c>
      <c r="K42" s="38" t="str">
        <f t="shared" si="2"/>
        <v/>
      </c>
      <c r="L42" s="38"/>
      <c r="M42" s="684">
        <f>IF($R$50=0,0,IF($R$31=1,1,IF($H42="x",0,IF($I42="x",1,IF($J42="x",2,IF($K42="x",4))))))</f>
        <v>0</v>
      </c>
      <c r="N42" s="12"/>
      <c r="P42" s="12"/>
      <c r="R42" s="686">
        <f>IF(AND($D$13="Kantoor",$D$14="binnenstedelijk"),1,0)</f>
        <v>0</v>
      </c>
      <c r="S42" s="686" t="s">
        <v>948</v>
      </c>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row>
    <row r="43" spans="1:49" s="19" customFormat="1">
      <c r="B43" s="12"/>
      <c r="C43" s="90" t="str">
        <f>'Indicatoren adaptief vermogen'!K65</f>
        <v>A02</v>
      </c>
      <c r="D43" s="90" t="str">
        <f>'Indicatoren adaptief vermogen'!L65</f>
        <v>Utilitaire functie: mogelijkheid tot verdeling van de oppervlakte in units van de genoemde grootte.</v>
      </c>
      <c r="E43" s="38"/>
      <c r="F43" s="38"/>
      <c r="G43" s="683"/>
      <c r="H43" s="38" t="str">
        <f t="shared" si="2"/>
        <v/>
      </c>
      <c r="I43" s="38" t="str">
        <f t="shared" si="2"/>
        <v/>
      </c>
      <c r="J43" s="38" t="str">
        <f t="shared" si="2"/>
        <v/>
      </c>
      <c r="K43" s="38" t="str">
        <f t="shared" si="2"/>
        <v/>
      </c>
      <c r="L43" s="38"/>
      <c r="M43" s="684">
        <f>IF($R$50=0,0,IF($R$31=1,1,IF($H43="x",0,IF($I43="x",1,IF($J43="x",2,IF($K43="x",4))))))</f>
        <v>0</v>
      </c>
      <c r="N43" s="12"/>
      <c r="P43" s="12"/>
      <c r="R43" s="686">
        <f>IF(AND($D$13="Kantoor",$D$14="niet-binnenstedelijk"),1,0)</f>
        <v>0</v>
      </c>
      <c r="S43" s="686" t="s">
        <v>949</v>
      </c>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row>
    <row r="44" spans="1:49" s="19" customFormat="1">
      <c r="B44" s="12"/>
      <c r="C44" s="90" t="str">
        <f>'Indicatoren adaptief vermogen'!K66</f>
        <v>A03</v>
      </c>
      <c r="D44" s="90" t="str">
        <f>'Indicatoren adaptief vermogen'!L66</f>
        <v>Utilitaire functie: zelfstandigheid voorzieningen gebruiksunit.</v>
      </c>
      <c r="E44" s="38"/>
      <c r="F44" s="38"/>
      <c r="G44" s="683"/>
      <c r="H44" s="38" t="str">
        <f t="shared" si="2"/>
        <v/>
      </c>
      <c r="I44" s="38" t="str">
        <f t="shared" si="2"/>
        <v/>
      </c>
      <c r="J44" s="38" t="str">
        <f t="shared" si="2"/>
        <v/>
      </c>
      <c r="K44" s="38" t="str">
        <f t="shared" si="2"/>
        <v/>
      </c>
      <c r="L44" s="38"/>
      <c r="M44" s="684">
        <f>IF($R$50=0,0,IF($R$31=1,1,IF($H44="x",0,IF($I44="x",1,IF($J44="x",2,IF($K44="x",4))))))</f>
        <v>0</v>
      </c>
      <c r="N44" s="12"/>
      <c r="P44" s="12"/>
      <c r="R44" s="686">
        <f>IF(AND($D$13="Winkel",$D$14="binnenstedelijk"),1,0)</f>
        <v>0</v>
      </c>
      <c r="S44" s="686" t="s">
        <v>950</v>
      </c>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row>
    <row r="45" spans="1:49" s="19" customFormat="1">
      <c r="B45" s="12"/>
      <c r="C45" s="90" t="str">
        <f>'Indicatoren adaptief vermogen'!K67</f>
        <v>A04</v>
      </c>
      <c r="D45" s="90" t="str">
        <f>'Indicatoren adaptief vermogen'!L67</f>
        <v>Utilitaire functie: te openen ramen.</v>
      </c>
      <c r="E45" s="38"/>
      <c r="F45" s="38"/>
      <c r="G45" s="683"/>
      <c r="H45" s="38" t="str">
        <f t="shared" si="2"/>
        <v/>
      </c>
      <c r="I45" s="38" t="str">
        <f t="shared" si="2"/>
        <v/>
      </c>
      <c r="J45" s="38" t="str">
        <f t="shared" si="2"/>
        <v/>
      </c>
      <c r="K45" s="38" t="str">
        <f t="shared" si="2"/>
        <v/>
      </c>
      <c r="L45" s="38"/>
      <c r="M45" s="684">
        <f>IF($R$50=0,0,IF($R$31=1,1,IF($H45="x",0,IF($I45="x",1,IF($J45="x",2,IF($K45="x",4))))))</f>
        <v>0</v>
      </c>
      <c r="N45" s="12"/>
      <c r="P45" s="12"/>
      <c r="R45" s="686">
        <f>IF(AND($D$13="Winkel",$D$14="niet-binnenstedelijk"),1,0)</f>
        <v>0</v>
      </c>
      <c r="S45" s="686" t="s">
        <v>951</v>
      </c>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row>
    <row r="46" spans="1:49" s="19" customFormat="1">
      <c r="B46" s="12"/>
      <c r="C46" s="90" t="str">
        <f>'Indicatoren adaptief vermogen'!K68</f>
        <v>A05</v>
      </c>
      <c r="D46" s="90" t="str">
        <f>'Indicatoren adaptief vermogen'!L68</f>
        <v>Demontabele gevel</v>
      </c>
      <c r="E46" s="38"/>
      <c r="F46" s="38"/>
      <c r="G46" s="683"/>
      <c r="H46" s="38" t="str">
        <f t="shared" si="2"/>
        <v/>
      </c>
      <c r="I46" s="38" t="str">
        <f t="shared" si="2"/>
        <v/>
      </c>
      <c r="J46" s="38" t="str">
        <f t="shared" si="2"/>
        <v/>
      </c>
      <c r="K46" s="38" t="str">
        <f t="shared" si="2"/>
        <v/>
      </c>
      <c r="L46" s="38"/>
      <c r="M46" s="684" t="b">
        <f>IF($R$31=1,1,IF($H46="x",0,IF($I46="x",1,IF($J46="x",2,IF($K46="x",4)))))</f>
        <v>0</v>
      </c>
      <c r="N46" s="12"/>
      <c r="P46" s="12"/>
      <c r="R46" s="686">
        <f>IF(AND($D$13="Utiliteit,overig",$D$14="binnenstedelijk"),1,0)</f>
        <v>0</v>
      </c>
      <c r="S46" s="686" t="s">
        <v>952</v>
      </c>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row>
    <row r="47" spans="1:49" s="19" customFormat="1">
      <c r="B47" s="12"/>
      <c r="C47" s="90" t="str">
        <f>'Indicatoren adaptief vermogen'!K69</f>
        <v>A06</v>
      </c>
      <c r="D47" s="90" t="str">
        <f>'Indicatoren adaptief vermogen'!L69</f>
        <v xml:space="preserve">Aanpasbaarheid gevel (-componenten)
</v>
      </c>
      <c r="E47" s="38"/>
      <c r="F47" s="38"/>
      <c r="G47" s="683"/>
      <c r="H47" s="38" t="str">
        <f t="shared" si="2"/>
        <v/>
      </c>
      <c r="I47" s="38" t="str">
        <f t="shared" si="2"/>
        <v/>
      </c>
      <c r="J47" s="38" t="str">
        <f t="shared" si="2"/>
        <v/>
      </c>
      <c r="K47" s="38" t="str">
        <f t="shared" si="2"/>
        <v/>
      </c>
      <c r="L47" s="38"/>
      <c r="M47" s="684" t="b">
        <f>IF($R$31=1,1,IF($H47="x",0,IF($I47="x",1,IF($J47="x",2,IF($K47="x",4)))))</f>
        <v>0</v>
      </c>
      <c r="N47" s="12"/>
      <c r="P47" s="12"/>
      <c r="R47" s="686">
        <f>IF(AND($D$13="Utiliteit,overig",$D$14="niet-binnenstedelijk"),1,0)</f>
        <v>0</v>
      </c>
      <c r="S47" s="686" t="s">
        <v>953</v>
      </c>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row>
    <row r="48" spans="1:49" s="19" customFormat="1">
      <c r="B48" s="12"/>
      <c r="C48" s="90" t="str">
        <f>'Indicatoren adaptief vermogen'!K70</f>
        <v>A07</v>
      </c>
      <c r="D48" s="90" t="str">
        <f>'Indicatoren adaptief vermogen'!L70</f>
        <v>Mogelijkheid balkons aan gevel</v>
      </c>
      <c r="E48" s="38"/>
      <c r="F48" s="38"/>
      <c r="G48" s="683"/>
      <c r="H48" s="38" t="str">
        <f t="shared" si="2"/>
        <v/>
      </c>
      <c r="I48" s="38" t="str">
        <f t="shared" si="2"/>
        <v/>
      </c>
      <c r="J48" s="38" t="str">
        <f t="shared" si="2"/>
        <v/>
      </c>
      <c r="K48" s="38" t="str">
        <f t="shared" si="2"/>
        <v/>
      </c>
      <c r="L48" s="38"/>
      <c r="M48" s="684" t="b">
        <f>IF($R$31=1,1,IF($H48="x",0,IF($I48="x",1,IF($J48="x",2,IF($K48="x",4)))))</f>
        <v>0</v>
      </c>
      <c r="N48" s="12"/>
      <c r="P48" s="12"/>
      <c r="R48" s="12"/>
      <c r="S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row>
    <row r="49" spans="2:49" s="19" customFormat="1">
      <c r="B49" s="12"/>
      <c r="C49" s="90" t="str">
        <f>'Indicatoren adaptief vermogen'!K71</f>
        <v>A08</v>
      </c>
      <c r="D49" s="90" t="str">
        <f>'Indicatoren adaptief vermogen'!L71</f>
        <v>Verticale uitbreiding: ontsluiting</v>
      </c>
      <c r="E49" s="38"/>
      <c r="F49" s="38"/>
      <c r="G49" s="683"/>
      <c r="H49" s="38" t="str">
        <f t="shared" si="2"/>
        <v/>
      </c>
      <c r="I49" s="38" t="str">
        <f t="shared" si="2"/>
        <v/>
      </c>
      <c r="J49" s="38" t="str">
        <f t="shared" si="2"/>
        <v/>
      </c>
      <c r="K49" s="38" t="str">
        <f t="shared" si="2"/>
        <v/>
      </c>
      <c r="L49" s="38"/>
      <c r="M49" s="684" t="b">
        <f>IF($R$31=1,1,IF($H49="x",0,IF($I49="x",1,IF($J49="x",2,IF($K49="x",4)))))</f>
        <v>0</v>
      </c>
      <c r="N49" s="12"/>
      <c r="P49" s="12"/>
      <c r="R49" s="41" t="s">
        <v>954</v>
      </c>
      <c r="S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row>
    <row r="50" spans="2:49" s="19" customFormat="1">
      <c r="B50" s="12"/>
      <c r="C50" s="12"/>
      <c r="D50" s="12"/>
      <c r="E50" s="12"/>
      <c r="F50" s="12"/>
      <c r="G50" s="14"/>
      <c r="H50" s="14"/>
      <c r="I50" s="14"/>
      <c r="J50" s="14"/>
      <c r="K50" s="14"/>
      <c r="L50" s="14"/>
      <c r="M50" s="14"/>
      <c r="N50" s="12"/>
      <c r="P50" s="12"/>
      <c r="R50" s="22">
        <f>IF($D$13=$R$19,0,1)</f>
        <v>0</v>
      </c>
      <c r="S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row>
    <row r="51" spans="2:49" s="19" customFormat="1">
      <c r="B51" s="12"/>
      <c r="C51" s="15"/>
      <c r="D51" s="15"/>
      <c r="E51" s="15"/>
      <c r="F51" s="15"/>
      <c r="G51" s="67"/>
      <c r="H51" s="67"/>
      <c r="I51" s="1743" t="s">
        <v>921</v>
      </c>
      <c r="J51" s="1743"/>
      <c r="K51" s="1743"/>
      <c r="L51" s="728"/>
      <c r="M51" s="728" t="s">
        <v>922</v>
      </c>
      <c r="N51" s="12"/>
      <c r="P51" s="12"/>
      <c r="R51" s="12"/>
      <c r="S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row>
    <row r="52" spans="2:49" s="19" customFormat="1">
      <c r="B52" s="12"/>
      <c r="C52" s="755" t="s">
        <v>955</v>
      </c>
      <c r="D52" s="737"/>
      <c r="E52" s="737"/>
      <c r="F52" s="737"/>
      <c r="G52" s="738"/>
      <c r="H52" s="738"/>
      <c r="I52" s="738"/>
      <c r="J52" s="738"/>
      <c r="K52" s="738"/>
      <c r="L52" s="738"/>
      <c r="M52" s="756">
        <f>M54+M73+M97</f>
        <v>0</v>
      </c>
      <c r="N52" s="12"/>
      <c r="P52" s="12"/>
      <c r="R52" s="12"/>
      <c r="S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row>
    <row r="53" spans="2:49" s="19" customFormat="1">
      <c r="B53" s="12"/>
      <c r="C53" s="68"/>
      <c r="D53" s="68"/>
      <c r="E53" s="68"/>
      <c r="F53" s="68"/>
      <c r="G53" s="726" t="s">
        <v>935</v>
      </c>
      <c r="H53" s="726"/>
      <c r="I53" s="726" t="s">
        <v>956</v>
      </c>
      <c r="J53" s="726" t="s">
        <v>957</v>
      </c>
      <c r="K53" s="726" t="s">
        <v>958</v>
      </c>
      <c r="L53" s="726"/>
      <c r="M53" s="14"/>
      <c r="N53" s="12"/>
      <c r="P53" s="12"/>
      <c r="R53" s="12"/>
      <c r="S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row>
    <row r="54" spans="2:49" s="19" customFormat="1">
      <c r="B54" s="12"/>
      <c r="C54" s="742" t="s">
        <v>597</v>
      </c>
      <c r="D54" s="742"/>
      <c r="E54" s="742"/>
      <c r="F54" s="742"/>
      <c r="G54" s="743"/>
      <c r="H54" s="743"/>
      <c r="I54" s="744">
        <f>AW202</f>
        <v>0.3</v>
      </c>
      <c r="J54" s="744"/>
      <c r="K54" s="744"/>
      <c r="L54" s="744"/>
      <c r="M54" s="745">
        <f>M55+M60+M69</f>
        <v>0</v>
      </c>
      <c r="N54" s="12"/>
      <c r="P54" s="12"/>
      <c r="R54" s="12"/>
      <c r="S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row>
    <row r="55" spans="2:49" s="19" customFormat="1">
      <c r="B55" s="12"/>
      <c r="C55" s="233" t="s">
        <v>598</v>
      </c>
      <c r="D55" s="233"/>
      <c r="E55" s="233"/>
      <c r="F55" s="233"/>
      <c r="G55" s="690"/>
      <c r="H55" s="690"/>
      <c r="I55" s="199"/>
      <c r="J55" s="199">
        <f>AW203</f>
        <v>0.5</v>
      </c>
      <c r="K55" s="199"/>
      <c r="L55" s="199"/>
      <c r="M55" s="58">
        <f>SUM(M56:M59)</f>
        <v>0</v>
      </c>
      <c r="N55" s="12"/>
      <c r="P55" s="38">
        <f>SUM(K56:K59)</f>
        <v>1</v>
      </c>
      <c r="R55" s="12"/>
      <c r="S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row>
    <row r="56" spans="2:49" s="19" customFormat="1">
      <c r="B56" s="12"/>
      <c r="C56" s="90" t="str">
        <f>'Indicatoren adaptief vermogen'!K53</f>
        <v>D04</v>
      </c>
      <c r="D56" s="90" t="str">
        <f>VLOOKUP(C56,$C$25:$D$40,2,FALSE)</f>
        <v>Overdimensionering bouwkundige ruimte/reservering voor E&amp;W- installaties en schachten</v>
      </c>
      <c r="E56" s="90"/>
      <c r="F56" s="90"/>
      <c r="G56" s="691">
        <f>VLOOKUP(C56,$C$25:$M$40,COLUMNS($C$25:$M$25))</f>
        <v>0</v>
      </c>
      <c r="H56" s="691"/>
      <c r="I56" s="197"/>
      <c r="J56" s="197"/>
      <c r="K56" s="197">
        <f>IF($R$50=1,1/(3*1+1*0.25),1/(3*1+0*0.25))</f>
        <v>0.33333333333333331</v>
      </c>
      <c r="L56" s="197"/>
      <c r="M56" s="391">
        <f>G56*$I$54*$J$55*K56</f>
        <v>0</v>
      </c>
      <c r="N56" s="12"/>
      <c r="P56" s="12"/>
      <c r="R56" s="12"/>
      <c r="S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row>
    <row r="57" spans="2:49" s="19" customFormat="1">
      <c r="B57" s="12"/>
      <c r="C57" s="90" t="str">
        <f>'Indicatoren adaptief vermogen'!K54</f>
        <v>D05</v>
      </c>
      <c r="D57" s="90" t="str">
        <f>VLOOKUP(C57,$C$25:$D$40,2,FALSE)</f>
        <v xml:space="preserve">Uitbreidbaar gebouw of woning/unit, horizontaal en/of vertikaal
</v>
      </c>
      <c r="E57" s="90"/>
      <c r="F57" s="90"/>
      <c r="G57" s="691">
        <f>VLOOKUP(C57,$C$25:$M$40,COLUMNS($C$25:$M$25))</f>
        <v>0</v>
      </c>
      <c r="H57" s="691"/>
      <c r="I57" s="197"/>
      <c r="J57" s="197"/>
      <c r="K57" s="197">
        <f>IF($R$50=1,1/(3*1+1*0.25),1/(3*1+0*0.25))</f>
        <v>0.33333333333333331</v>
      </c>
      <c r="L57" s="197"/>
      <c r="M57" s="391">
        <f>G57*$I$54*$J$55*K57</f>
        <v>0</v>
      </c>
      <c r="N57" s="12"/>
      <c r="P57" s="12"/>
      <c r="R57" s="12"/>
      <c r="S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row>
    <row r="58" spans="2:49" s="19" customFormat="1">
      <c r="B58" s="12"/>
      <c r="C58" s="90" t="str">
        <f>'Indicatoren adaptief vermogen'!K55</f>
        <v>D06</v>
      </c>
      <c r="D58" s="90" t="str">
        <f>VLOOKUP(C58,$C$25:$D$40,2,FALSE)</f>
        <v xml:space="preserve">Instelbaarheid van installaties
</v>
      </c>
      <c r="E58" s="90"/>
      <c r="F58" s="90"/>
      <c r="G58" s="691">
        <f>VLOOKUP(C58,$C$25:$M$40,COLUMNS($C$25:$M$25))</f>
        <v>0</v>
      </c>
      <c r="H58" s="691"/>
      <c r="I58" s="197"/>
      <c r="J58" s="197"/>
      <c r="K58" s="197">
        <f>IF($R$50=1,1/(3*1+1*0.25),1/(3*1+0*0.25))</f>
        <v>0.33333333333333331</v>
      </c>
      <c r="L58" s="197"/>
      <c r="M58" s="391">
        <f>G58*$I$54*$J$55*K58</f>
        <v>0</v>
      </c>
      <c r="N58" s="12"/>
      <c r="P58" s="12"/>
      <c r="R58" s="12"/>
      <c r="S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row>
    <row r="59" spans="2:49" s="19" customFormat="1">
      <c r="B59" s="12"/>
      <c r="C59" s="90" t="str">
        <f>'Indicatoren adaptief vermogen'!K65</f>
        <v>A02</v>
      </c>
      <c r="D59" s="90" t="str">
        <f>VLOOKUP(C59,$C$42:$D$49,2,FALSE)</f>
        <v>Utilitaire functie: mogelijkheid tot verdeling van de oppervlakte in units van de genoemde grootte.</v>
      </c>
      <c r="E59" s="90"/>
      <c r="F59" s="90"/>
      <c r="G59" s="691">
        <f>VLOOKUP(C59,$C$42:$M$49,COLUMNS($C$25:$M$25))</f>
        <v>0</v>
      </c>
      <c r="H59" s="691"/>
      <c r="I59" s="197"/>
      <c r="J59" s="197"/>
      <c r="K59" s="197">
        <f>IF($R$50=1,0.25/(3*1+1*0.25),0)</f>
        <v>0</v>
      </c>
      <c r="L59" s="197"/>
      <c r="M59" s="391">
        <f>G59*$I$54*$J$55*K59</f>
        <v>0</v>
      </c>
      <c r="N59" s="12"/>
      <c r="P59" s="12"/>
      <c r="R59" s="12"/>
      <c r="S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row>
    <row r="60" spans="2:49" s="19" customFormat="1">
      <c r="B60" s="12"/>
      <c r="C60" s="90"/>
      <c r="D60" s="90" t="s">
        <v>599</v>
      </c>
      <c r="E60" s="90"/>
      <c r="F60" s="90"/>
      <c r="G60" s="691"/>
      <c r="H60" s="691"/>
      <c r="I60" s="197"/>
      <c r="J60" s="197">
        <f>AW204</f>
        <v>0.5</v>
      </c>
      <c r="K60" s="197"/>
      <c r="L60" s="197"/>
      <c r="M60" s="391">
        <f>SUM(M61:M68)</f>
        <v>0</v>
      </c>
      <c r="N60" s="12"/>
      <c r="P60" s="38">
        <f>SUM(K61:K68)</f>
        <v>0.99999999999999989</v>
      </c>
      <c r="R60" s="12"/>
      <c r="S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row>
    <row r="61" spans="2:49" s="19" customFormat="1">
      <c r="B61" s="12"/>
      <c r="C61" s="90" t="str">
        <f>'Indicatoren adaptief vermogen'!K48</f>
        <v>D01a</v>
      </c>
      <c r="D61" s="90" t="str">
        <f t="shared" ref="D61:D67" si="3">VLOOKUP(C61,$C$25:$D$40,2,FALSE)</f>
        <v>Onderscheid draagconstructie en installaties (gebruiksdynamiek)</v>
      </c>
      <c r="E61" s="90"/>
      <c r="F61" s="90"/>
      <c r="G61" s="691">
        <f t="shared" ref="G61:G67" si="4">VLOOKUP(C61,$C$25:$M$40,COLUMNS($C$25:$M$25))</f>
        <v>0</v>
      </c>
      <c r="H61" s="691"/>
      <c r="I61" s="197"/>
      <c r="J61" s="197"/>
      <c r="K61" s="197">
        <f>IF($R$50=1,1/(6*1+1*0.25),1/(6*1+0*0.25))</f>
        <v>0.16666666666666666</v>
      </c>
      <c r="L61" s="197"/>
      <c r="M61" s="391">
        <f t="shared" ref="M61:M68" si="5">G61*$I$54*$J$60*K61</f>
        <v>0</v>
      </c>
      <c r="N61" s="12"/>
      <c r="P61" s="12"/>
      <c r="R61" s="12"/>
      <c r="S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row>
    <row r="62" spans="2:49" s="19" customFormat="1">
      <c r="B62" s="12"/>
      <c r="C62" s="90" t="str">
        <f>'Indicatoren adaptief vermogen'!K50</f>
        <v>D02a</v>
      </c>
      <c r="D62" s="90" t="str">
        <f t="shared" si="3"/>
        <v>Overmaat gebouwoppervlak</v>
      </c>
      <c r="E62" s="90"/>
      <c r="F62" s="90"/>
      <c r="G62" s="691">
        <f t="shared" si="4"/>
        <v>0</v>
      </c>
      <c r="H62" s="691"/>
      <c r="I62" s="197"/>
      <c r="J62" s="197"/>
      <c r="K62" s="197">
        <f>IF($R$50=1,1/2/(6*1+1*0.25),1/2/(6*1+0*0.25))</f>
        <v>8.3333333333333329E-2</v>
      </c>
      <c r="L62" s="197"/>
      <c r="M62" s="391">
        <f t="shared" si="5"/>
        <v>0</v>
      </c>
      <c r="N62" s="12"/>
      <c r="P62" s="12"/>
      <c r="R62" s="12"/>
      <c r="S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row>
    <row r="63" spans="2:49" s="19" customFormat="1">
      <c r="B63" s="12"/>
      <c r="C63" s="90" t="str">
        <f>'Indicatoren adaptief vermogen'!K51</f>
        <v>D02b</v>
      </c>
      <c r="D63" s="90" t="str">
        <f t="shared" si="3"/>
        <v>Overmaat woning</v>
      </c>
      <c r="E63" s="90"/>
      <c r="F63" s="90"/>
      <c r="G63" s="691">
        <f t="shared" si="4"/>
        <v>0</v>
      </c>
      <c r="H63" s="691"/>
      <c r="I63" s="197"/>
      <c r="J63" s="197"/>
      <c r="K63" s="197">
        <f>IF($R$50=1,1/2/(6*1+1*0.25),1/2/(6*1+0*0.25))</f>
        <v>8.3333333333333329E-2</v>
      </c>
      <c r="L63" s="197"/>
      <c r="M63" s="391">
        <f t="shared" si="5"/>
        <v>0</v>
      </c>
      <c r="N63" s="12"/>
      <c r="P63" s="12"/>
      <c r="R63" s="12"/>
      <c r="S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row>
    <row r="64" spans="2:49" s="19" customFormat="1">
      <c r="B64" s="12"/>
      <c r="C64" s="90" t="str">
        <f>'Indicatoren adaptief vermogen'!K55</f>
        <v>D06</v>
      </c>
      <c r="D64" s="90" t="str">
        <f t="shared" si="3"/>
        <v xml:space="preserve">Instelbaarheid van installaties
</v>
      </c>
      <c r="E64" s="90"/>
      <c r="F64" s="90"/>
      <c r="G64" s="691">
        <f t="shared" si="4"/>
        <v>0</v>
      </c>
      <c r="H64" s="691"/>
      <c r="I64" s="197"/>
      <c r="J64" s="197"/>
      <c r="K64" s="197">
        <f>IF($R$50=1,1/(6*1+1*0.25),1/(6*1+0*0.25))</f>
        <v>0.16666666666666666</v>
      </c>
      <c r="L64" s="197"/>
      <c r="M64" s="391">
        <f t="shared" si="5"/>
        <v>0</v>
      </c>
      <c r="N64" s="12"/>
      <c r="P64" s="12"/>
      <c r="R64" s="12"/>
      <c r="S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row>
    <row r="65" spans="2:49" s="19" customFormat="1">
      <c r="B65" s="12"/>
      <c r="C65" s="90" t="str">
        <f>'Indicatoren adaptief vermogen'!K57</f>
        <v>D08</v>
      </c>
      <c r="D65" s="90" t="str">
        <f t="shared" si="3"/>
        <v xml:space="preserve">Ontkoppelbaarheid en bereikbaarheid installatiecomponenten
</v>
      </c>
      <c r="E65" s="90"/>
      <c r="F65" s="90"/>
      <c r="G65" s="691">
        <f t="shared" si="4"/>
        <v>0</v>
      </c>
      <c r="H65" s="691"/>
      <c r="I65" s="197"/>
      <c r="J65" s="197"/>
      <c r="K65" s="197">
        <f>IF($R$50=1,1/(6*1+1*0.25),1/(6*1+0*0.25))</f>
        <v>0.16666666666666666</v>
      </c>
      <c r="L65" s="197"/>
      <c r="M65" s="391">
        <f t="shared" si="5"/>
        <v>0</v>
      </c>
      <c r="N65" s="12"/>
      <c r="P65" s="12"/>
      <c r="R65" s="12"/>
      <c r="S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row>
    <row r="66" spans="2:49" s="19" customFormat="1">
      <c r="B66" s="12"/>
      <c r="C66" s="90" t="str">
        <f>'Indicatoren adaptief vermogen'!K60</f>
        <v>D11</v>
      </c>
      <c r="D66" s="90" t="str">
        <f t="shared" si="3"/>
        <v>Aanwezigheid+positie van trappen en/of liften, of uitbredingsmogelijkheden voor trappen/liften</v>
      </c>
      <c r="E66" s="90"/>
      <c r="F66" s="90"/>
      <c r="G66" s="691">
        <f t="shared" si="4"/>
        <v>0</v>
      </c>
      <c r="H66" s="691"/>
      <c r="I66" s="197"/>
      <c r="J66" s="197"/>
      <c r="K66" s="197">
        <f>IF($R$50=1,1/(6*1+1*0.25),1/(6*1+0*0.25))</f>
        <v>0.16666666666666666</v>
      </c>
      <c r="L66" s="197"/>
      <c r="M66" s="391">
        <f t="shared" si="5"/>
        <v>0</v>
      </c>
      <c r="N66" s="12"/>
      <c r="P66" s="12"/>
      <c r="R66" s="12"/>
      <c r="S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row>
    <row r="67" spans="2:49" s="19" customFormat="1">
      <c r="B67" s="12"/>
      <c r="C67" s="90" t="str">
        <f>'Indicatoren adaptief vermogen'!K61</f>
        <v>D12</v>
      </c>
      <c r="D67" s="90" t="str">
        <f t="shared" si="3"/>
        <v xml:space="preserve">Multifunctioneel gebruik gebouw of woning/unit in de tijd
</v>
      </c>
      <c r="E67" s="90"/>
      <c r="F67" s="90"/>
      <c r="G67" s="691">
        <f t="shared" si="4"/>
        <v>0</v>
      </c>
      <c r="H67" s="691"/>
      <c r="I67" s="197"/>
      <c r="J67" s="197"/>
      <c r="K67" s="197">
        <f>IF($R$50=1,1/(6*1+1*0.25),1/(6*1+0*0.25))</f>
        <v>0.16666666666666666</v>
      </c>
      <c r="L67" s="197"/>
      <c r="M67" s="391">
        <f t="shared" si="5"/>
        <v>0</v>
      </c>
      <c r="N67" s="12"/>
      <c r="P67" s="12"/>
      <c r="R67" s="12"/>
      <c r="S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row>
    <row r="68" spans="2:49" s="19" customFormat="1">
      <c r="B68" s="12"/>
      <c r="C68" s="90" t="str">
        <f>'Indicatoren adaptief vermogen'!K64</f>
        <v>A01</v>
      </c>
      <c r="D68" s="90" t="str">
        <f>VLOOKUP(C68,$C$42:$D$49,2,FALSE)</f>
        <v xml:space="preserve">Utilitaire functie: afstootbaar deel van gebouw, horizontaal of verticaal, of afstootbare gebruikersunit
</v>
      </c>
      <c r="E68" s="90"/>
      <c r="F68" s="90"/>
      <c r="G68" s="691">
        <f>VLOOKUP(C68,$C$42:$M$49,COLUMNS($C$25:$M$25))</f>
        <v>0</v>
      </c>
      <c r="H68" s="691"/>
      <c r="I68" s="197"/>
      <c r="J68" s="197"/>
      <c r="K68" s="197">
        <f>IF($R$50=1,0.25/(6*1+1*0.25),0)</f>
        <v>0</v>
      </c>
      <c r="L68" s="197"/>
      <c r="M68" s="391">
        <f t="shared" si="5"/>
        <v>0</v>
      </c>
      <c r="N68" s="12"/>
      <c r="P68" s="12"/>
      <c r="R68" s="12"/>
      <c r="S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row>
    <row r="69" spans="2:49" s="19" customFormat="1">
      <c r="B69" s="12"/>
      <c r="C69" s="233"/>
      <c r="D69" s="233" t="s">
        <v>600</v>
      </c>
      <c r="E69" s="233"/>
      <c r="F69" s="233"/>
      <c r="G69" s="690"/>
      <c r="H69" s="690"/>
      <c r="I69" s="199"/>
      <c r="J69" s="199">
        <f>AW205</f>
        <v>0</v>
      </c>
      <c r="K69" s="199"/>
      <c r="L69" s="199"/>
      <c r="M69" s="58">
        <f>SUM(M70:M72)</f>
        <v>0</v>
      </c>
      <c r="N69" s="12"/>
      <c r="P69" s="38">
        <f>SUM(K70:K72)</f>
        <v>1</v>
      </c>
      <c r="R69" s="12"/>
      <c r="S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row>
    <row r="70" spans="2:49" s="19" customFormat="1">
      <c r="B70" s="12"/>
      <c r="C70" s="90" t="str">
        <f>'Indicatoren adaptief vermogen'!K48</f>
        <v>D01a</v>
      </c>
      <c r="D70" s="90" t="str">
        <f>VLOOKUP(C70,$C$25:$D$40,2,FALSE)</f>
        <v>Onderscheid draagconstructie en installaties (gebruiksdynamiek)</v>
      </c>
      <c r="E70" s="90"/>
      <c r="F70" s="90"/>
      <c r="G70" s="691">
        <f>VLOOKUP(C70,$C$25:$M$40,COLUMNS($C$25:$M$25))</f>
        <v>0</v>
      </c>
      <c r="H70" s="691"/>
      <c r="I70" s="197"/>
      <c r="J70" s="197"/>
      <c r="K70" s="197">
        <f>IF($R$50=1,1/(3*1+0*0.25),1/(3*1+0*0.25))</f>
        <v>0.33333333333333331</v>
      </c>
      <c r="L70" s="197"/>
      <c r="M70" s="391">
        <f>G70*$I$54*$J$69*K70</f>
        <v>0</v>
      </c>
      <c r="N70" s="12"/>
      <c r="P70" s="12"/>
      <c r="R70" s="12"/>
      <c r="S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row>
    <row r="71" spans="2:49" s="19" customFormat="1">
      <c r="B71" s="12"/>
      <c r="C71" s="90" t="str">
        <f>'Indicatoren adaptief vermogen'!K56</f>
        <v>D07</v>
      </c>
      <c r="D71" s="90" t="str">
        <f>VLOOKUP(C71,$C$25:$D$40,2,FALSE)</f>
        <v xml:space="preserve">Verplaatsbare binnenwanden
</v>
      </c>
      <c r="E71" s="90"/>
      <c r="F71" s="90"/>
      <c r="G71" s="691">
        <f>VLOOKUP(C71,$C$25:$M$40,COLUMNS($C$25:$M$25))</f>
        <v>0</v>
      </c>
      <c r="H71" s="691"/>
      <c r="I71" s="197"/>
      <c r="J71" s="197"/>
      <c r="K71" s="197">
        <f>IF($R$50=1,1/(3*1+0*0.25),1/(3*1+0*0.25))</f>
        <v>0.33333333333333331</v>
      </c>
      <c r="L71" s="197"/>
      <c r="M71" s="391">
        <f>G71*$I$54*$J$69*K71</f>
        <v>0</v>
      </c>
      <c r="N71" s="12"/>
      <c r="P71" s="12"/>
      <c r="R71" s="12"/>
      <c r="S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row>
    <row r="72" spans="2:49" s="19" customFormat="1">
      <c r="B72" s="12"/>
      <c r="C72" s="90" t="str">
        <f>'Indicatoren adaptief vermogen'!K57</f>
        <v>D08</v>
      </c>
      <c r="D72" s="90" t="str">
        <f>VLOOKUP(C72,$C$25:$D$40,2,FALSE)</f>
        <v xml:space="preserve">Ontkoppelbaarheid en bereikbaarheid installatiecomponenten
</v>
      </c>
      <c r="E72" s="90"/>
      <c r="F72" s="90"/>
      <c r="G72" s="691">
        <f>VLOOKUP(C72,$C$25:$M$40,COLUMNS($C$25:$M$25))</f>
        <v>0</v>
      </c>
      <c r="H72" s="691"/>
      <c r="I72" s="197"/>
      <c r="J72" s="197"/>
      <c r="K72" s="197">
        <f>IF($R$50=1,1/(3*1+0*0.25),1/(3*1+0*0.25))</f>
        <v>0.33333333333333331</v>
      </c>
      <c r="L72" s="197"/>
      <c r="M72" s="391">
        <f>G72*$I$54*$J$69*K72</f>
        <v>0</v>
      </c>
      <c r="N72" s="12"/>
      <c r="P72" s="12"/>
      <c r="R72" s="12"/>
      <c r="S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row>
    <row r="73" spans="2:49" s="19" customFormat="1">
      <c r="B73" s="12"/>
      <c r="C73" s="742" t="s">
        <v>601</v>
      </c>
      <c r="D73" s="742"/>
      <c r="E73" s="742"/>
      <c r="F73" s="742"/>
      <c r="G73" s="743"/>
      <c r="H73" s="743"/>
      <c r="I73" s="744">
        <f>AW206</f>
        <v>0.3</v>
      </c>
      <c r="J73" s="744"/>
      <c r="K73" s="744"/>
      <c r="L73" s="744"/>
      <c r="M73" s="745">
        <f>M74+M87</f>
        <v>0</v>
      </c>
      <c r="N73" s="12"/>
      <c r="P73" s="12"/>
      <c r="R73" s="12"/>
      <c r="S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row>
    <row r="74" spans="2:49" s="19" customFormat="1">
      <c r="B74" s="12"/>
      <c r="C74" s="233" t="s">
        <v>602</v>
      </c>
      <c r="D74" s="233"/>
      <c r="E74" s="233"/>
      <c r="F74" s="233"/>
      <c r="G74" s="690"/>
      <c r="H74" s="690"/>
      <c r="I74" s="199"/>
      <c r="J74" s="199">
        <f>AW207</f>
        <v>0.3</v>
      </c>
      <c r="K74" s="199"/>
      <c r="L74" s="199"/>
      <c r="M74" s="58">
        <f>IF(M$36=0,0,SUM(M75:M86))</f>
        <v>0</v>
      </c>
      <c r="N74" s="12"/>
      <c r="P74" s="38">
        <f>SUM(K75:K86)</f>
        <v>0.99999999999999989</v>
      </c>
      <c r="R74" s="12"/>
      <c r="S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row>
    <row r="75" spans="2:49" s="19" customFormat="1">
      <c r="B75" s="12"/>
      <c r="C75" s="90" t="str">
        <f>'Indicatoren adaptief vermogen'!K48</f>
        <v>D01a</v>
      </c>
      <c r="D75" s="90" t="str">
        <f t="shared" ref="D75:D85" si="6">VLOOKUP(C75,$C$25:$D$40,2,FALSE)</f>
        <v>Onderscheid draagconstructie en installaties (gebruiksdynamiek)</v>
      </c>
      <c r="E75" s="90"/>
      <c r="F75" s="90"/>
      <c r="G75" s="691">
        <f t="shared" ref="G75:G85" si="7">VLOOKUP(C75,$C$25:$M$40,COLUMNS($C$25:$M$25))</f>
        <v>0</v>
      </c>
      <c r="H75" s="691"/>
      <c r="I75" s="197"/>
      <c r="J75" s="197"/>
      <c r="K75" s="197">
        <f>IF($R$50=1,1/(10*1+1*0.25),1/(10*1+0*0.25))</f>
        <v>0.1</v>
      </c>
      <c r="L75" s="197"/>
      <c r="M75" s="391">
        <f t="shared" ref="M75:M86" si="8">G75*$I$73*$J$74*K75</f>
        <v>0</v>
      </c>
      <c r="N75" s="12"/>
      <c r="P75" s="12"/>
      <c r="R75" s="12"/>
      <c r="S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row>
    <row r="76" spans="2:49" s="19" customFormat="1">
      <c r="B76" s="12"/>
      <c r="C76" s="90" t="str">
        <f>'Indicatoren adaptief vermogen'!K50</f>
        <v>D02a</v>
      </c>
      <c r="D76" s="90" t="str">
        <f t="shared" si="6"/>
        <v>Overmaat gebouwoppervlak</v>
      </c>
      <c r="E76" s="90"/>
      <c r="F76" s="90"/>
      <c r="G76" s="691">
        <f t="shared" si="7"/>
        <v>0</v>
      </c>
      <c r="H76" s="691"/>
      <c r="I76" s="197"/>
      <c r="J76" s="197"/>
      <c r="K76" s="197">
        <f>IF($R$50=1,1/2/(10*1+1*0.25),1/2/(10*1+0*0.25))</f>
        <v>0.05</v>
      </c>
      <c r="L76" s="197"/>
      <c r="M76" s="391">
        <f t="shared" si="8"/>
        <v>0</v>
      </c>
      <c r="N76" s="12"/>
      <c r="P76" s="12"/>
      <c r="R76" s="12"/>
      <c r="S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row>
    <row r="77" spans="2:49" s="19" customFormat="1">
      <c r="B77" s="12"/>
      <c r="C77" s="90" t="str">
        <f>'Indicatoren adaptief vermogen'!K51</f>
        <v>D02b</v>
      </c>
      <c r="D77" s="90" t="str">
        <f t="shared" si="6"/>
        <v>Overmaat woning</v>
      </c>
      <c r="E77" s="90"/>
      <c r="F77" s="90"/>
      <c r="G77" s="691">
        <f t="shared" si="7"/>
        <v>0</v>
      </c>
      <c r="H77" s="691"/>
      <c r="I77" s="197"/>
      <c r="J77" s="197"/>
      <c r="K77" s="197">
        <f>IF($R$50=1,1/2/(10*1+1*0.25),1/2/(10*1+0*0.25))</f>
        <v>0.05</v>
      </c>
      <c r="L77" s="197"/>
      <c r="M77" s="391">
        <f t="shared" si="8"/>
        <v>0</v>
      </c>
      <c r="N77" s="12"/>
      <c r="P77" s="12"/>
      <c r="R77" s="12"/>
      <c r="S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row>
    <row r="78" spans="2:49" s="19" customFormat="1">
      <c r="B78" s="12"/>
      <c r="C78" s="90" t="str">
        <f>'Indicatoren adaptief vermogen'!K52</f>
        <v>D03</v>
      </c>
      <c r="D78" s="90" t="str">
        <f t="shared" si="6"/>
        <v>Vrije verdiepingshoogte</v>
      </c>
      <c r="E78" s="90"/>
      <c r="F78" s="90"/>
      <c r="G78" s="691">
        <f t="shared" si="7"/>
        <v>0</v>
      </c>
      <c r="H78" s="691"/>
      <c r="I78" s="197"/>
      <c r="J78" s="197"/>
      <c r="K78" s="197">
        <f t="shared" ref="K78:K85" si="9">IF($R$50=1,1/(10*1+1*0.25),1/(10*1+0*0.25))</f>
        <v>0.1</v>
      </c>
      <c r="L78" s="197"/>
      <c r="M78" s="391">
        <f t="shared" si="8"/>
        <v>0</v>
      </c>
      <c r="N78" s="12"/>
      <c r="P78" s="12"/>
      <c r="R78" s="12"/>
      <c r="S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row>
    <row r="79" spans="2:49" s="19" customFormat="1">
      <c r="B79" s="12"/>
      <c r="C79" s="90" t="str">
        <f>'Indicatoren adaptief vermogen'!K55</f>
        <v>D06</v>
      </c>
      <c r="D79" s="90" t="str">
        <f t="shared" si="6"/>
        <v xml:space="preserve">Instelbaarheid van installaties
</v>
      </c>
      <c r="E79" s="90"/>
      <c r="F79" s="90"/>
      <c r="G79" s="691">
        <f t="shared" si="7"/>
        <v>0</v>
      </c>
      <c r="H79" s="691"/>
      <c r="I79" s="197"/>
      <c r="J79" s="197"/>
      <c r="K79" s="197">
        <f t="shared" si="9"/>
        <v>0.1</v>
      </c>
      <c r="L79" s="197"/>
      <c r="M79" s="391">
        <f t="shared" si="8"/>
        <v>0</v>
      </c>
      <c r="N79" s="12"/>
      <c r="P79" s="12"/>
      <c r="R79" s="12"/>
      <c r="S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row>
    <row r="80" spans="2:49" s="19" customFormat="1">
      <c r="B80" s="12"/>
      <c r="C80" s="90" t="str">
        <f>'Indicatoren adaptief vermogen'!K56</f>
        <v>D07</v>
      </c>
      <c r="D80" s="90" t="str">
        <f t="shared" si="6"/>
        <v xml:space="preserve">Verplaatsbare binnenwanden
</v>
      </c>
      <c r="E80" s="90"/>
      <c r="F80" s="90"/>
      <c r="G80" s="691">
        <f t="shared" si="7"/>
        <v>0</v>
      </c>
      <c r="H80" s="691"/>
      <c r="I80" s="197"/>
      <c r="J80" s="197"/>
      <c r="K80" s="197">
        <f t="shared" si="9"/>
        <v>0.1</v>
      </c>
      <c r="L80" s="197"/>
      <c r="M80" s="391">
        <f t="shared" si="8"/>
        <v>0</v>
      </c>
      <c r="N80" s="12"/>
      <c r="P80" s="12"/>
      <c r="R80" s="12"/>
      <c r="S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row>
    <row r="81" spans="2:49" s="19" customFormat="1">
      <c r="B81" s="12"/>
      <c r="C81" s="90" t="str">
        <f>'Indicatoren adaptief vermogen'!K57</f>
        <v>D08</v>
      </c>
      <c r="D81" s="90" t="str">
        <f t="shared" si="6"/>
        <v xml:space="preserve">Ontkoppelbaarheid en bereikbaarheid installatiecomponenten
</v>
      </c>
      <c r="E81" s="90"/>
      <c r="F81" s="90"/>
      <c r="G81" s="691">
        <f t="shared" si="7"/>
        <v>0</v>
      </c>
      <c r="H81" s="691"/>
      <c r="I81" s="197"/>
      <c r="J81" s="197"/>
      <c r="K81" s="197">
        <f t="shared" si="9"/>
        <v>0.1</v>
      </c>
      <c r="L81" s="197"/>
      <c r="M81" s="391">
        <f t="shared" si="8"/>
        <v>0</v>
      </c>
      <c r="N81" s="12"/>
      <c r="P81" s="12"/>
      <c r="R81" s="12"/>
      <c r="S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row>
    <row r="82" spans="2:49" s="19" customFormat="1">
      <c r="B82" s="12"/>
      <c r="C82" s="90" t="str">
        <f>'Indicatoren adaptief vermogen'!K58</f>
        <v>D09</v>
      </c>
      <c r="D82" s="90" t="str">
        <f t="shared" si="6"/>
        <v>Positionering obstakels draagstructuur</v>
      </c>
      <c r="E82" s="90"/>
      <c r="F82" s="90"/>
      <c r="G82" s="691">
        <f t="shared" si="7"/>
        <v>0</v>
      </c>
      <c r="H82" s="691"/>
      <c r="I82" s="197"/>
      <c r="J82" s="197"/>
      <c r="K82" s="197">
        <f t="shared" si="9"/>
        <v>0.1</v>
      </c>
      <c r="L82" s="197"/>
      <c r="M82" s="391">
        <f t="shared" si="8"/>
        <v>0</v>
      </c>
      <c r="N82" s="12"/>
      <c r="P82" s="12"/>
      <c r="R82" s="12"/>
      <c r="S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row>
    <row r="83" spans="2:49" s="19" customFormat="1">
      <c r="B83" s="12"/>
      <c r="C83" s="90" t="str">
        <f>'Indicatoren adaptief vermogen'!K59</f>
        <v>D10</v>
      </c>
      <c r="D83" s="90" t="str">
        <f t="shared" si="6"/>
        <v xml:space="preserve">Daglichttoetreding
</v>
      </c>
      <c r="E83" s="90"/>
      <c r="F83" s="90"/>
      <c r="G83" s="691">
        <f t="shared" si="7"/>
        <v>0</v>
      </c>
      <c r="H83" s="691"/>
      <c r="I83" s="197"/>
      <c r="J83" s="197"/>
      <c r="K83" s="197">
        <f t="shared" si="9"/>
        <v>0.1</v>
      </c>
      <c r="L83" s="197"/>
      <c r="M83" s="391">
        <f t="shared" si="8"/>
        <v>0</v>
      </c>
      <c r="N83" s="12"/>
      <c r="P83" s="12"/>
      <c r="R83" s="12"/>
      <c r="S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row>
    <row r="84" spans="2:49" s="19" customFormat="1">
      <c r="B84" s="12"/>
      <c r="C84" s="90" t="str">
        <f>'Indicatoren adaptief vermogen'!K61</f>
        <v>D12</v>
      </c>
      <c r="D84" s="90" t="str">
        <f t="shared" si="6"/>
        <v xml:space="preserve">Multifunctioneel gebruik gebouw of woning/unit in de tijd
</v>
      </c>
      <c r="E84" s="90"/>
      <c r="F84" s="90"/>
      <c r="G84" s="691">
        <f t="shared" si="7"/>
        <v>0</v>
      </c>
      <c r="H84" s="691"/>
      <c r="I84" s="197"/>
      <c r="J84" s="197"/>
      <c r="K84" s="197">
        <f t="shared" si="9"/>
        <v>0.1</v>
      </c>
      <c r="L84" s="197"/>
      <c r="M84" s="391">
        <f t="shared" si="8"/>
        <v>0</v>
      </c>
      <c r="N84" s="12"/>
      <c r="P84" s="12"/>
      <c r="R84" s="12"/>
      <c r="S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row>
    <row r="85" spans="2:49" s="19" customFormat="1">
      <c r="B85" s="12"/>
      <c r="C85" s="90" t="str">
        <f>'Indicatoren adaptief vermogen'!K62</f>
        <v>D13</v>
      </c>
      <c r="D85" s="90" t="str">
        <f t="shared" si="6"/>
        <v>Dragende vloeren</v>
      </c>
      <c r="E85" s="90"/>
      <c r="F85" s="90"/>
      <c r="G85" s="691">
        <f t="shared" si="7"/>
        <v>0</v>
      </c>
      <c r="H85" s="691"/>
      <c r="I85" s="197"/>
      <c r="J85" s="197"/>
      <c r="K85" s="197">
        <f t="shared" si="9"/>
        <v>0.1</v>
      </c>
      <c r="L85" s="197"/>
      <c r="M85" s="391">
        <f t="shared" si="8"/>
        <v>0</v>
      </c>
      <c r="N85" s="12"/>
      <c r="P85" s="12"/>
      <c r="R85" s="12"/>
      <c r="S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row>
    <row r="86" spans="2:49" s="19" customFormat="1">
      <c r="B86" s="12"/>
      <c r="C86" s="90" t="str">
        <f>'Indicatoren adaptief vermogen'!K65</f>
        <v>A02</v>
      </c>
      <c r="D86" s="90" t="str">
        <f>VLOOKUP(C86,$C$42:$D$49,2,FALSE)</f>
        <v>Utilitaire functie: mogelijkheid tot verdeling van de oppervlakte in units van de genoemde grootte.</v>
      </c>
      <c r="E86" s="90"/>
      <c r="F86" s="90"/>
      <c r="G86" s="691">
        <f>VLOOKUP(C86,$C$42:$M$49,COLUMNS($C$25:$M$25))</f>
        <v>0</v>
      </c>
      <c r="H86" s="691"/>
      <c r="I86" s="197"/>
      <c r="J86" s="197"/>
      <c r="K86" s="197">
        <f>IF($R$50=1,0.25/(10*1+1*0.25),0)</f>
        <v>0</v>
      </c>
      <c r="L86" s="197"/>
      <c r="M86" s="391">
        <f t="shared" si="8"/>
        <v>0</v>
      </c>
      <c r="N86" s="12"/>
      <c r="P86" s="12"/>
      <c r="R86" s="12"/>
      <c r="S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row>
    <row r="87" spans="2:49" s="19" customFormat="1">
      <c r="B87" s="12"/>
      <c r="C87" s="233" t="s">
        <v>603</v>
      </c>
      <c r="D87" s="233"/>
      <c r="E87" s="233"/>
      <c r="F87" s="233"/>
      <c r="G87" s="690"/>
      <c r="H87" s="690"/>
      <c r="I87" s="199"/>
      <c r="J87" s="199">
        <f>AW208</f>
        <v>0.7</v>
      </c>
      <c r="K87" s="199"/>
      <c r="L87" s="199"/>
      <c r="M87" s="58">
        <f>IF(M$36=0,0,SUM(M88:M96))</f>
        <v>0</v>
      </c>
      <c r="N87" s="12"/>
      <c r="P87" s="38">
        <f>SUM(K88:K96)</f>
        <v>0.99999999999999989</v>
      </c>
      <c r="R87" s="12"/>
      <c r="S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row>
    <row r="88" spans="2:49" s="19" customFormat="1">
      <c r="B88" s="12"/>
      <c r="C88" s="90" t="str">
        <f>'Indicatoren adaptief vermogen'!K48</f>
        <v>D01a</v>
      </c>
      <c r="D88" s="90" t="str">
        <f t="shared" ref="D88:D94" si="10">VLOOKUP(C88,$C$25:$D$40,2,FALSE)</f>
        <v>Onderscheid draagconstructie en installaties (gebruiksdynamiek)</v>
      </c>
      <c r="E88" s="90"/>
      <c r="F88" s="90"/>
      <c r="G88" s="691">
        <f t="shared" ref="G88:G94" si="11">VLOOKUP(C88,$C$25:$M$40,COLUMNS($C$25:$M$25))</f>
        <v>0</v>
      </c>
      <c r="H88" s="691"/>
      <c r="I88" s="197"/>
      <c r="J88" s="197"/>
      <c r="K88" s="197">
        <f>IF($R$50=1,1/(6*1+2*0.25),1/(6*1+0*0.25))</f>
        <v>0.16666666666666666</v>
      </c>
      <c r="L88" s="197"/>
      <c r="M88" s="391">
        <f t="shared" ref="M88:M96" si="12">G88*$I$73*$J$87*K88</f>
        <v>0</v>
      </c>
      <c r="N88" s="12"/>
      <c r="P88" s="12"/>
      <c r="R88" s="12"/>
      <c r="S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row>
    <row r="89" spans="2:49" s="19" customFormat="1">
      <c r="B89" s="12"/>
      <c r="C89" s="90" t="str">
        <f>'Indicatoren adaptief vermogen'!K50</f>
        <v>D02a</v>
      </c>
      <c r="D89" s="90" t="str">
        <f t="shared" si="10"/>
        <v>Overmaat gebouwoppervlak</v>
      </c>
      <c r="E89" s="90"/>
      <c r="F89" s="90"/>
      <c r="G89" s="691">
        <f t="shared" si="11"/>
        <v>0</v>
      </c>
      <c r="H89" s="691"/>
      <c r="I89" s="197"/>
      <c r="J89" s="197"/>
      <c r="K89" s="197">
        <f>IF($R$50=1,1/2/(6*1+2*0.25),1/2/(6*1+0*0.25))</f>
        <v>8.3333333333333329E-2</v>
      </c>
      <c r="L89" s="197"/>
      <c r="M89" s="391">
        <f t="shared" si="12"/>
        <v>0</v>
      </c>
      <c r="N89" s="12"/>
      <c r="P89" s="12"/>
      <c r="R89" s="12"/>
      <c r="S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row>
    <row r="90" spans="2:49" s="19" customFormat="1">
      <c r="B90" s="12"/>
      <c r="C90" s="90" t="str">
        <f>'Indicatoren adaptief vermogen'!K51</f>
        <v>D02b</v>
      </c>
      <c r="D90" s="90" t="str">
        <f t="shared" si="10"/>
        <v>Overmaat woning</v>
      </c>
      <c r="E90" s="90"/>
      <c r="F90" s="90"/>
      <c r="G90" s="691">
        <f t="shared" si="11"/>
        <v>0</v>
      </c>
      <c r="H90" s="691"/>
      <c r="I90" s="197"/>
      <c r="J90" s="197"/>
      <c r="K90" s="197">
        <f>IF($R$50=1,1/2/(6*1+2*0.25),1/2/(6*1+0*0.25))</f>
        <v>8.3333333333333329E-2</v>
      </c>
      <c r="L90" s="197"/>
      <c r="M90" s="391">
        <f t="shared" si="12"/>
        <v>0</v>
      </c>
      <c r="N90" s="12"/>
      <c r="P90" s="12"/>
      <c r="R90" s="12"/>
      <c r="S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row>
    <row r="91" spans="2:49" s="19" customFormat="1">
      <c r="B91" s="12"/>
      <c r="C91" s="90" t="str">
        <f>'Indicatoren adaptief vermogen'!K52</f>
        <v>D03</v>
      </c>
      <c r="D91" s="90" t="str">
        <f t="shared" si="10"/>
        <v>Vrije verdiepingshoogte</v>
      </c>
      <c r="E91" s="90"/>
      <c r="F91" s="90"/>
      <c r="G91" s="691">
        <f t="shared" si="11"/>
        <v>0</v>
      </c>
      <c r="H91" s="691"/>
      <c r="I91" s="197"/>
      <c r="J91" s="197"/>
      <c r="K91" s="197">
        <f>IF($R$50=1,1/(6*1+2*0.25),1/(6*1+0*0.25))</f>
        <v>0.16666666666666666</v>
      </c>
      <c r="L91" s="197"/>
      <c r="M91" s="391">
        <f t="shared" si="12"/>
        <v>0</v>
      </c>
      <c r="N91" s="12"/>
      <c r="P91" s="12"/>
      <c r="R91" s="12"/>
      <c r="S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row>
    <row r="92" spans="2:49" s="19" customFormat="1">
      <c r="B92" s="12"/>
      <c r="C92" s="90" t="str">
        <f>'Indicatoren adaptief vermogen'!K55</f>
        <v>D06</v>
      </c>
      <c r="D92" s="90" t="str">
        <f t="shared" si="10"/>
        <v xml:space="preserve">Instelbaarheid van installaties
</v>
      </c>
      <c r="E92" s="90"/>
      <c r="F92" s="90"/>
      <c r="G92" s="691">
        <f t="shared" si="11"/>
        <v>0</v>
      </c>
      <c r="H92" s="691"/>
      <c r="I92" s="197"/>
      <c r="J92" s="197"/>
      <c r="K92" s="197">
        <f>IF($R$50=1,1/(6*1+2*0.25),1/(6*1+0*0.25))</f>
        <v>0.16666666666666666</v>
      </c>
      <c r="L92" s="197"/>
      <c r="M92" s="391">
        <f t="shared" si="12"/>
        <v>0</v>
      </c>
      <c r="N92" s="12"/>
      <c r="P92" s="12"/>
      <c r="R92" s="12"/>
      <c r="S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row>
    <row r="93" spans="2:49" s="19" customFormat="1">
      <c r="B93" s="12"/>
      <c r="C93" s="90" t="str">
        <f>'Indicatoren adaptief vermogen'!K56</f>
        <v>D07</v>
      </c>
      <c r="D93" s="90" t="str">
        <f t="shared" si="10"/>
        <v xml:space="preserve">Verplaatsbare binnenwanden
</v>
      </c>
      <c r="E93" s="90"/>
      <c r="F93" s="90"/>
      <c r="G93" s="691">
        <f t="shared" si="11"/>
        <v>0</v>
      </c>
      <c r="H93" s="691"/>
      <c r="I93" s="197"/>
      <c r="J93" s="197"/>
      <c r="K93" s="197">
        <f>IF($R$50=1,1/(6*1+2*0.25),1/(6*1+0*0.25))</f>
        <v>0.16666666666666666</v>
      </c>
      <c r="L93" s="197"/>
      <c r="M93" s="391">
        <f t="shared" si="12"/>
        <v>0</v>
      </c>
      <c r="N93" s="12"/>
      <c r="P93" s="12"/>
      <c r="R93" s="12"/>
      <c r="S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row>
    <row r="94" spans="2:49" s="19" customFormat="1">
      <c r="B94" s="12"/>
      <c r="C94" s="90" t="str">
        <f>'Indicatoren adaptief vermogen'!K57</f>
        <v>D08</v>
      </c>
      <c r="D94" s="90" t="str">
        <f t="shared" si="10"/>
        <v xml:space="preserve">Ontkoppelbaarheid en bereikbaarheid installatiecomponenten
</v>
      </c>
      <c r="E94" s="90"/>
      <c r="F94" s="90"/>
      <c r="G94" s="691">
        <f t="shared" si="11"/>
        <v>0</v>
      </c>
      <c r="H94" s="691"/>
      <c r="I94" s="197"/>
      <c r="J94" s="197"/>
      <c r="K94" s="197">
        <f>IF($R$50=1,1/(6*1+2*0.25),1/(6*1+0*0.25))</f>
        <v>0.16666666666666666</v>
      </c>
      <c r="L94" s="197"/>
      <c r="M94" s="391">
        <f t="shared" si="12"/>
        <v>0</v>
      </c>
      <c r="N94" s="12"/>
      <c r="P94" s="12"/>
      <c r="R94" s="12"/>
      <c r="S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row>
    <row r="95" spans="2:49" s="19" customFormat="1">
      <c r="B95" s="12"/>
      <c r="C95" s="90" t="str">
        <f>'Indicatoren adaptief vermogen'!K65</f>
        <v>A02</v>
      </c>
      <c r="D95" s="90" t="str">
        <f>VLOOKUP(C95,$C$42:$D$49,2,FALSE)</f>
        <v>Utilitaire functie: mogelijkheid tot verdeling van de oppervlakte in units van de genoemde grootte.</v>
      </c>
      <c r="E95" s="90"/>
      <c r="F95" s="90"/>
      <c r="G95" s="691">
        <f>VLOOKUP(C95,$C$42:$M$49,COLUMNS($C$25:$M$25))</f>
        <v>0</v>
      </c>
      <c r="H95" s="691"/>
      <c r="I95" s="197"/>
      <c r="J95" s="197"/>
      <c r="K95" s="197">
        <f>IF($R$50=1,0.25/(6*1+2*0.25),0)</f>
        <v>0</v>
      </c>
      <c r="L95" s="197"/>
      <c r="M95" s="391">
        <f t="shared" si="12"/>
        <v>0</v>
      </c>
      <c r="N95" s="12"/>
      <c r="P95" s="12"/>
      <c r="R95" s="12"/>
      <c r="S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row>
    <row r="96" spans="2:49" s="19" customFormat="1">
      <c r="B96" s="12"/>
      <c r="C96" s="90" t="str">
        <f>'Indicatoren adaptief vermogen'!K66</f>
        <v>A03</v>
      </c>
      <c r="D96" s="90" t="str">
        <f>VLOOKUP(C96,$C$42:$D$49,2,FALSE)</f>
        <v>Utilitaire functie: zelfstandigheid voorzieningen gebruiksunit.</v>
      </c>
      <c r="E96" s="90"/>
      <c r="F96" s="90"/>
      <c r="G96" s="691">
        <f>VLOOKUP(C96,$C$42:$M$49,COLUMNS($C$25:$M$25))</f>
        <v>0</v>
      </c>
      <c r="H96" s="691"/>
      <c r="I96" s="197"/>
      <c r="J96" s="197"/>
      <c r="K96" s="197">
        <f>IF($R$50=1,0.25/(6*1+2*0.25),0)</f>
        <v>0</v>
      </c>
      <c r="L96" s="197"/>
      <c r="M96" s="391">
        <f t="shared" si="12"/>
        <v>0</v>
      </c>
      <c r="N96" s="12"/>
      <c r="P96" s="12"/>
      <c r="R96" s="12"/>
      <c r="S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row>
    <row r="97" spans="2:49" s="19" customFormat="1">
      <c r="B97" s="12"/>
      <c r="C97" s="742" t="s">
        <v>590</v>
      </c>
      <c r="D97" s="742"/>
      <c r="E97" s="742"/>
      <c r="F97" s="742"/>
      <c r="G97" s="743"/>
      <c r="H97" s="743"/>
      <c r="I97" s="744">
        <f>AW209</f>
        <v>0.4</v>
      </c>
      <c r="J97" s="744"/>
      <c r="K97" s="744"/>
      <c r="L97" s="744"/>
      <c r="M97" s="745">
        <f>M108+M98</f>
        <v>0</v>
      </c>
      <c r="N97" s="12"/>
      <c r="P97" s="12"/>
      <c r="R97" s="12"/>
      <c r="S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row>
    <row r="98" spans="2:49" s="19" customFormat="1">
      <c r="B98" s="12"/>
      <c r="C98" s="233" t="s">
        <v>606</v>
      </c>
      <c r="D98" s="233"/>
      <c r="E98" s="233"/>
      <c r="F98" s="233"/>
      <c r="G98" s="690"/>
      <c r="H98" s="690"/>
      <c r="I98" s="199"/>
      <c r="J98" s="199">
        <f>AW210</f>
        <v>0.5</v>
      </c>
      <c r="K98" s="199"/>
      <c r="L98" s="199"/>
      <c r="M98" s="58">
        <f>SUM(M99:M107)</f>
        <v>0</v>
      </c>
      <c r="N98" s="12"/>
      <c r="P98" s="38">
        <f>SUM(K99:K107)</f>
        <v>0.99999999999999978</v>
      </c>
      <c r="R98" s="12"/>
      <c r="S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row>
    <row r="99" spans="2:49" s="19" customFormat="1">
      <c r="B99" s="12"/>
      <c r="C99" s="90" t="str">
        <f>'Indicatoren adaptief vermogen'!K48</f>
        <v>D01a</v>
      </c>
      <c r="D99" s="90" t="str">
        <f t="shared" ref="D99:D106" si="13">VLOOKUP(C99,$C$25:$D$40,2,FALSE)</f>
        <v>Onderscheid draagconstructie en installaties (gebruiksdynamiek)</v>
      </c>
      <c r="E99" s="90"/>
      <c r="F99" s="90"/>
      <c r="G99" s="691">
        <f t="shared" ref="G99:G106" si="14">VLOOKUP(C99,$C$25:$M$40,COLUMNS($C$25:$M$25))</f>
        <v>0</v>
      </c>
      <c r="H99" s="691"/>
      <c r="I99" s="197"/>
      <c r="J99" s="197"/>
      <c r="K99" s="197">
        <f>IF($R$50=1,1/(7*1+1*0.25),1/(7*1+0*0.25))</f>
        <v>0.14285714285714285</v>
      </c>
      <c r="L99" s="197"/>
      <c r="M99" s="391">
        <f t="shared" ref="M99:M107" si="15">G99*$I$97*$J$98*K99</f>
        <v>0</v>
      </c>
      <c r="N99" s="12"/>
      <c r="P99" s="12"/>
      <c r="R99" s="12"/>
      <c r="S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row>
    <row r="100" spans="2:49" s="19" customFormat="1">
      <c r="B100" s="12"/>
      <c r="C100" s="90" t="str">
        <f>'Indicatoren adaptief vermogen'!K50</f>
        <v>D02a</v>
      </c>
      <c r="D100" s="90" t="str">
        <f t="shared" si="13"/>
        <v>Overmaat gebouwoppervlak</v>
      </c>
      <c r="E100" s="90"/>
      <c r="F100" s="90"/>
      <c r="G100" s="691">
        <f t="shared" si="14"/>
        <v>0</v>
      </c>
      <c r="H100" s="691"/>
      <c r="I100" s="197"/>
      <c r="J100" s="197"/>
      <c r="K100" s="197">
        <f>IF($R$50=1,1/2/(7*1+1*0.25),1/2/(7*1+0*0.25))</f>
        <v>7.1428571428571425E-2</v>
      </c>
      <c r="L100" s="197"/>
      <c r="M100" s="391">
        <f t="shared" si="15"/>
        <v>0</v>
      </c>
      <c r="N100" s="12"/>
      <c r="P100" s="12"/>
      <c r="R100" s="12"/>
      <c r="S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row>
    <row r="101" spans="2:49" s="19" customFormat="1">
      <c r="B101" s="12"/>
      <c r="C101" s="90" t="str">
        <f>'Indicatoren adaptief vermogen'!K51</f>
        <v>D02b</v>
      </c>
      <c r="D101" s="90" t="str">
        <f t="shared" si="13"/>
        <v>Overmaat woning</v>
      </c>
      <c r="E101" s="90"/>
      <c r="F101" s="90"/>
      <c r="G101" s="691">
        <f t="shared" si="14"/>
        <v>0</v>
      </c>
      <c r="H101" s="691"/>
      <c r="I101" s="197"/>
      <c r="J101" s="197"/>
      <c r="K101" s="197">
        <f>IF($R$50=1,1/2/(7*1+1*0.25),1/2/(7*1+0*0.25))</f>
        <v>7.1428571428571425E-2</v>
      </c>
      <c r="L101" s="197"/>
      <c r="M101" s="391">
        <f t="shared" si="15"/>
        <v>0</v>
      </c>
      <c r="N101" s="12"/>
      <c r="P101" s="12"/>
      <c r="R101" s="12"/>
      <c r="S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row>
    <row r="102" spans="2:49" s="19" customFormat="1">
      <c r="B102" s="12"/>
      <c r="C102" s="90" t="str">
        <f>'Indicatoren adaptief vermogen'!K52</f>
        <v>D03</v>
      </c>
      <c r="D102" s="90" t="str">
        <f t="shared" si="13"/>
        <v>Vrije verdiepingshoogte</v>
      </c>
      <c r="E102" s="90"/>
      <c r="F102" s="90"/>
      <c r="G102" s="691">
        <f t="shared" si="14"/>
        <v>0</v>
      </c>
      <c r="H102" s="691"/>
      <c r="I102" s="197"/>
      <c r="J102" s="197"/>
      <c r="K102" s="197">
        <f>IF($R$50=1,1/(7*1+1*0.25),1/(7*1+0*0.25))</f>
        <v>0.14285714285714285</v>
      </c>
      <c r="L102" s="197"/>
      <c r="M102" s="391">
        <f t="shared" si="15"/>
        <v>0</v>
      </c>
      <c r="N102" s="12"/>
      <c r="P102" s="12"/>
      <c r="R102" s="12"/>
      <c r="S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row>
    <row r="103" spans="2:49" s="19" customFormat="1">
      <c r="B103" s="12"/>
      <c r="C103" s="90" t="str">
        <f>'Indicatoren adaptief vermogen'!K55</f>
        <v>D06</v>
      </c>
      <c r="D103" s="90" t="str">
        <f t="shared" si="13"/>
        <v xml:space="preserve">Instelbaarheid van installaties
</v>
      </c>
      <c r="E103" s="90"/>
      <c r="F103" s="90"/>
      <c r="G103" s="691">
        <f t="shared" si="14"/>
        <v>0</v>
      </c>
      <c r="H103" s="691"/>
      <c r="I103" s="197"/>
      <c r="J103" s="197"/>
      <c r="K103" s="197">
        <f>IF($R$50=1,1/(7*1+1*0.25),1/(7*1+0*0.25))</f>
        <v>0.14285714285714285</v>
      </c>
      <c r="L103" s="197"/>
      <c r="M103" s="391">
        <f t="shared" si="15"/>
        <v>0</v>
      </c>
      <c r="N103" s="12"/>
      <c r="P103" s="12"/>
      <c r="R103" s="12"/>
      <c r="S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row>
    <row r="104" spans="2:49" s="19" customFormat="1">
      <c r="B104" s="12"/>
      <c r="C104" s="90" t="str">
        <f>'Indicatoren adaptief vermogen'!K57</f>
        <v>D08</v>
      </c>
      <c r="D104" s="90" t="str">
        <f t="shared" si="13"/>
        <v xml:space="preserve">Ontkoppelbaarheid en bereikbaarheid installatiecomponenten
</v>
      </c>
      <c r="E104" s="90"/>
      <c r="F104" s="90"/>
      <c r="G104" s="691">
        <f t="shared" si="14"/>
        <v>0</v>
      </c>
      <c r="H104" s="691"/>
      <c r="I104" s="197"/>
      <c r="J104" s="197"/>
      <c r="K104" s="197">
        <f>IF($R$50=1,1/(7*1+1*0.25),1/(7*1+0*0.25))</f>
        <v>0.14285714285714285</v>
      </c>
      <c r="L104" s="197"/>
      <c r="M104" s="391">
        <f t="shared" si="15"/>
        <v>0</v>
      </c>
      <c r="N104" s="12"/>
      <c r="P104" s="12"/>
      <c r="R104" s="12"/>
      <c r="S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row>
    <row r="105" spans="2:49" s="19" customFormat="1">
      <c r="B105" s="12"/>
      <c r="C105" s="90" t="str">
        <f>'Indicatoren adaptief vermogen'!K61</f>
        <v>D12</v>
      </c>
      <c r="D105" s="90" t="str">
        <f t="shared" si="13"/>
        <v xml:space="preserve">Multifunctioneel gebruik gebouw of woning/unit in de tijd
</v>
      </c>
      <c r="E105" s="90"/>
      <c r="F105" s="90"/>
      <c r="G105" s="691">
        <f t="shared" si="14"/>
        <v>0</v>
      </c>
      <c r="H105" s="691"/>
      <c r="I105" s="197"/>
      <c r="J105" s="197"/>
      <c r="K105" s="197">
        <f>IF($R$50=1,1/(7*1+1*0.25),1/(7*1+0*0.25))</f>
        <v>0.14285714285714285</v>
      </c>
      <c r="L105" s="197"/>
      <c r="M105" s="391">
        <f t="shared" si="15"/>
        <v>0</v>
      </c>
      <c r="N105" s="12"/>
      <c r="P105" s="12"/>
      <c r="R105" s="12"/>
      <c r="S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row>
    <row r="106" spans="2:49" s="19" customFormat="1">
      <c r="B106" s="12"/>
      <c r="C106" s="90" t="str">
        <f>'Indicatoren adaptief vermogen'!K62</f>
        <v>D13</v>
      </c>
      <c r="D106" s="90" t="str">
        <f t="shared" si="13"/>
        <v>Dragende vloeren</v>
      </c>
      <c r="E106" s="90"/>
      <c r="F106" s="90"/>
      <c r="G106" s="691">
        <f t="shared" si="14"/>
        <v>0</v>
      </c>
      <c r="H106" s="691"/>
      <c r="I106" s="197"/>
      <c r="J106" s="197"/>
      <c r="K106" s="197">
        <f>IF($R$50=1,1/(7*1+1*0.25),1/(7*1+0*0.25))</f>
        <v>0.14285714285714285</v>
      </c>
      <c r="L106" s="197"/>
      <c r="M106" s="391">
        <f t="shared" si="15"/>
        <v>0</v>
      </c>
      <c r="N106" s="12"/>
      <c r="P106" s="12"/>
      <c r="R106" s="12"/>
      <c r="S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row>
    <row r="107" spans="2:49" s="19" customFormat="1">
      <c r="B107" s="12"/>
      <c r="C107" s="90" t="str">
        <f>'Indicatoren adaptief vermogen'!K66</f>
        <v>A03</v>
      </c>
      <c r="D107" s="90" t="str">
        <f>VLOOKUP(C107,$C$42:$D$49,2,FALSE)</f>
        <v>Utilitaire functie: zelfstandigheid voorzieningen gebruiksunit.</v>
      </c>
      <c r="E107" s="90"/>
      <c r="F107" s="90"/>
      <c r="G107" s="691">
        <f>VLOOKUP(C107,$C$42:$M$49,COLUMNS($C$25:$M$25))</f>
        <v>0</v>
      </c>
      <c r="H107" s="691"/>
      <c r="I107" s="197"/>
      <c r="J107" s="197"/>
      <c r="K107" s="197">
        <f>IF($R$50=1,0.25/(7*1+1*0.25),0)</f>
        <v>0</v>
      </c>
      <c r="L107" s="197"/>
      <c r="M107" s="391">
        <f t="shared" si="15"/>
        <v>0</v>
      </c>
      <c r="N107" s="12"/>
      <c r="P107" s="12"/>
      <c r="R107" s="12"/>
      <c r="S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row>
    <row r="108" spans="2:49" s="19" customFormat="1">
      <c r="B108" s="12"/>
      <c r="C108" s="233" t="s">
        <v>605</v>
      </c>
      <c r="D108" s="233"/>
      <c r="E108" s="233"/>
      <c r="F108" s="233"/>
      <c r="G108" s="690"/>
      <c r="H108" s="690"/>
      <c r="I108" s="199"/>
      <c r="J108" s="199">
        <f>AW211</f>
        <v>0.5</v>
      </c>
      <c r="K108" s="199"/>
      <c r="L108" s="199"/>
      <c r="M108" s="58">
        <f>SUM(M109:M118)</f>
        <v>0</v>
      </c>
      <c r="N108" s="12"/>
      <c r="P108" s="38">
        <f>SUM(K109:K118)</f>
        <v>0.99999999999999989</v>
      </c>
      <c r="R108" s="12"/>
      <c r="S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row>
    <row r="109" spans="2:49" s="19" customFormat="1">
      <c r="B109" s="12"/>
      <c r="C109" s="90" t="str">
        <f>'Indicatoren adaptief vermogen'!K48</f>
        <v>D01a</v>
      </c>
      <c r="D109" s="90" t="str">
        <f t="shared" ref="D109:D115" si="16">VLOOKUP(C109,$C$25:$D$40,2,FALSE)</f>
        <v>Onderscheid draagconstructie en installaties (gebruiksdynamiek)</v>
      </c>
      <c r="E109" s="90"/>
      <c r="F109" s="90"/>
      <c r="G109" s="691">
        <f t="shared" ref="G109:G115" si="17">VLOOKUP(C109,$C$25:$M$40,COLUMNS($C$25:$M$25))</f>
        <v>0</v>
      </c>
      <c r="H109" s="691"/>
      <c r="I109" s="197"/>
      <c r="J109" s="197"/>
      <c r="K109" s="197">
        <f>IF($R$50=1,1/(6*1+3*0.25),1/(6*1+0*0.25))</f>
        <v>0.16666666666666666</v>
      </c>
      <c r="L109" s="197"/>
      <c r="M109" s="391">
        <f t="shared" ref="M109:M118" si="18">G109*$I$97*$J$108*K109</f>
        <v>0</v>
      </c>
      <c r="N109" s="12"/>
      <c r="P109" s="12"/>
      <c r="R109" s="12"/>
      <c r="S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row>
    <row r="110" spans="2:49" s="19" customFormat="1">
      <c r="B110" s="12"/>
      <c r="C110" s="90" t="str">
        <f>'Indicatoren adaptief vermogen'!K50</f>
        <v>D02a</v>
      </c>
      <c r="D110" s="90" t="str">
        <f t="shared" si="16"/>
        <v>Overmaat gebouwoppervlak</v>
      </c>
      <c r="E110" s="90"/>
      <c r="F110" s="90"/>
      <c r="G110" s="691">
        <f t="shared" si="17"/>
        <v>0</v>
      </c>
      <c r="H110" s="691"/>
      <c r="I110" s="197"/>
      <c r="J110" s="197"/>
      <c r="K110" s="197">
        <f>IF($R$50=1,1/2/(6*1+3*0.25),1/2/(6*1+0*0.25))</f>
        <v>8.3333333333333329E-2</v>
      </c>
      <c r="L110" s="197"/>
      <c r="M110" s="391">
        <f t="shared" si="18"/>
        <v>0</v>
      </c>
      <c r="N110" s="12"/>
      <c r="P110" s="12"/>
      <c r="R110" s="12"/>
      <c r="S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row>
    <row r="111" spans="2:49" s="19" customFormat="1">
      <c r="B111" s="12"/>
      <c r="C111" s="90" t="str">
        <f>'Indicatoren adaptief vermogen'!K51</f>
        <v>D02b</v>
      </c>
      <c r="D111" s="90" t="str">
        <f t="shared" si="16"/>
        <v>Overmaat woning</v>
      </c>
      <c r="E111" s="90"/>
      <c r="F111" s="90"/>
      <c r="G111" s="691">
        <f t="shared" si="17"/>
        <v>0</v>
      </c>
      <c r="H111" s="691"/>
      <c r="I111" s="197"/>
      <c r="J111" s="197"/>
      <c r="K111" s="197">
        <f>IF($R$50=1,1/2/(6*1+3*0.25),1/2/(6*1+0*0.25))</f>
        <v>8.3333333333333329E-2</v>
      </c>
      <c r="L111" s="197"/>
      <c r="M111" s="391">
        <f t="shared" si="18"/>
        <v>0</v>
      </c>
      <c r="N111" s="12"/>
      <c r="P111" s="12"/>
      <c r="R111" s="12"/>
      <c r="S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row>
    <row r="112" spans="2:49" s="19" customFormat="1">
      <c r="B112" s="12"/>
      <c r="C112" s="90" t="str">
        <f>'Indicatoren adaptief vermogen'!K52</f>
        <v>D03</v>
      </c>
      <c r="D112" s="90" t="str">
        <f t="shared" si="16"/>
        <v>Vrije verdiepingshoogte</v>
      </c>
      <c r="E112" s="90"/>
      <c r="F112" s="90"/>
      <c r="G112" s="691">
        <f t="shared" si="17"/>
        <v>0</v>
      </c>
      <c r="H112" s="691"/>
      <c r="I112" s="197"/>
      <c r="J112" s="197"/>
      <c r="K112" s="197">
        <f>IF($R$50=1,1/(6*1+3*0.25),1/(6*1+0*0.25))</f>
        <v>0.16666666666666666</v>
      </c>
      <c r="L112" s="197"/>
      <c r="M112" s="391">
        <f t="shared" si="18"/>
        <v>0</v>
      </c>
      <c r="N112" s="12"/>
      <c r="P112" s="12"/>
      <c r="R112" s="12"/>
      <c r="S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row>
    <row r="113" spans="2:49" s="19" customFormat="1">
      <c r="B113" s="12"/>
      <c r="C113" s="90" t="str">
        <f>'Indicatoren adaptief vermogen'!K56</f>
        <v>D07</v>
      </c>
      <c r="D113" s="90" t="str">
        <f t="shared" si="16"/>
        <v xml:space="preserve">Verplaatsbare binnenwanden
</v>
      </c>
      <c r="E113" s="90"/>
      <c r="F113" s="90"/>
      <c r="G113" s="691">
        <f t="shared" si="17"/>
        <v>0</v>
      </c>
      <c r="H113" s="691"/>
      <c r="I113" s="197"/>
      <c r="J113" s="197"/>
      <c r="K113" s="197">
        <f>IF($R$50=1,1/(6*1+3*0.25),1/(6*1+0*0.25))</f>
        <v>0.16666666666666666</v>
      </c>
      <c r="L113" s="197"/>
      <c r="M113" s="391">
        <f t="shared" si="18"/>
        <v>0</v>
      </c>
      <c r="N113" s="12"/>
      <c r="P113" s="12"/>
      <c r="R113" s="12"/>
      <c r="S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row>
    <row r="114" spans="2:49" s="19" customFormat="1">
      <c r="B114" s="12"/>
      <c r="C114" s="90" t="str">
        <f>'Indicatoren adaptief vermogen'!K59</f>
        <v>D10</v>
      </c>
      <c r="D114" s="90" t="str">
        <f t="shared" si="16"/>
        <v xml:space="preserve">Daglichttoetreding
</v>
      </c>
      <c r="E114" s="90"/>
      <c r="F114" s="90"/>
      <c r="G114" s="691">
        <f t="shared" si="17"/>
        <v>0</v>
      </c>
      <c r="H114" s="691"/>
      <c r="I114" s="197"/>
      <c r="J114" s="197"/>
      <c r="K114" s="197">
        <f>IF($R$50=1,1/(6*1+3*0.25),1/(6*1+0*0.25))</f>
        <v>0.16666666666666666</v>
      </c>
      <c r="L114" s="197"/>
      <c r="M114" s="391">
        <f t="shared" si="18"/>
        <v>0</v>
      </c>
      <c r="N114" s="12"/>
      <c r="P114" s="12"/>
      <c r="R114" s="12"/>
      <c r="S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row>
    <row r="115" spans="2:49" s="19" customFormat="1">
      <c r="B115" s="12"/>
      <c r="C115" s="90" t="str">
        <f>'Indicatoren adaptief vermogen'!K62</f>
        <v>D13</v>
      </c>
      <c r="D115" s="90" t="str">
        <f t="shared" si="16"/>
        <v>Dragende vloeren</v>
      </c>
      <c r="E115" s="90"/>
      <c r="F115" s="90"/>
      <c r="G115" s="691">
        <f t="shared" si="17"/>
        <v>0</v>
      </c>
      <c r="H115" s="691"/>
      <c r="I115" s="197"/>
      <c r="J115" s="197"/>
      <c r="K115" s="197">
        <f>IF($R$50=1,1/(6*1+3*0.25),1/(6*1+0*0.25))</f>
        <v>0.16666666666666666</v>
      </c>
      <c r="L115" s="197"/>
      <c r="M115" s="391">
        <f t="shared" si="18"/>
        <v>0</v>
      </c>
      <c r="N115" s="12"/>
      <c r="P115" s="12"/>
      <c r="R115" s="12"/>
      <c r="S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row>
    <row r="116" spans="2:49" s="19" customFormat="1">
      <c r="B116" s="12"/>
      <c r="C116" s="90" t="str">
        <f>'Indicatoren adaptief vermogen'!K65</f>
        <v>A02</v>
      </c>
      <c r="D116" s="90" t="str">
        <f>VLOOKUP(C116,$C$42:$D$49,2,FALSE)</f>
        <v>Utilitaire functie: mogelijkheid tot verdeling van de oppervlakte in units van de genoemde grootte.</v>
      </c>
      <c r="E116" s="90"/>
      <c r="F116" s="90"/>
      <c r="G116" s="691">
        <f>VLOOKUP(C116,$C$42:$M$49,COLUMNS($C$25:$M$25))</f>
        <v>0</v>
      </c>
      <c r="H116" s="691"/>
      <c r="I116" s="197"/>
      <c r="J116" s="197"/>
      <c r="K116" s="197">
        <f>IF($R$50=1,0.25/(6*1+3*0.25),0)</f>
        <v>0</v>
      </c>
      <c r="L116" s="197"/>
      <c r="M116" s="391">
        <f t="shared" si="18"/>
        <v>0</v>
      </c>
      <c r="N116" s="12"/>
      <c r="P116" s="12"/>
      <c r="R116" s="12"/>
      <c r="S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row>
    <row r="117" spans="2:49" s="19" customFormat="1">
      <c r="B117" s="12"/>
      <c r="C117" s="90" t="str">
        <f>'Indicatoren adaptief vermogen'!K66</f>
        <v>A03</v>
      </c>
      <c r="D117" s="90" t="str">
        <f>VLOOKUP(C117,$C$42:$D$49,2,FALSE)</f>
        <v>Utilitaire functie: zelfstandigheid voorzieningen gebruiksunit.</v>
      </c>
      <c r="E117" s="90"/>
      <c r="F117" s="90"/>
      <c r="G117" s="691">
        <f>VLOOKUP(C117,$C$42:$M$49,COLUMNS($C$25:$M$25))</f>
        <v>0</v>
      </c>
      <c r="H117" s="691"/>
      <c r="I117" s="197"/>
      <c r="J117" s="197"/>
      <c r="K117" s="197">
        <f>IF($R$50=1,0.25/(6*1+3*0.25),0)</f>
        <v>0</v>
      </c>
      <c r="L117" s="197"/>
      <c r="M117" s="391">
        <f t="shared" si="18"/>
        <v>0</v>
      </c>
      <c r="N117" s="12"/>
      <c r="P117" s="12"/>
      <c r="R117" s="12"/>
      <c r="S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row>
    <row r="118" spans="2:49" s="19" customFormat="1">
      <c r="B118" s="12"/>
      <c r="C118" s="90" t="str">
        <f>'Indicatoren adaptief vermogen'!K67</f>
        <v>A04</v>
      </c>
      <c r="D118" s="90" t="str">
        <f>VLOOKUP(C118,$C$42:$D$49,2,FALSE)</f>
        <v>Utilitaire functie: te openen ramen.</v>
      </c>
      <c r="E118" s="90"/>
      <c r="F118" s="90"/>
      <c r="G118" s="691">
        <f>VLOOKUP(C118,$C$42:$M$49,COLUMNS($C$25:$M$25))</f>
        <v>0</v>
      </c>
      <c r="H118" s="691"/>
      <c r="I118" s="197"/>
      <c r="J118" s="197"/>
      <c r="K118" s="197">
        <f>IF($R$50=1,0.25/(6*1+3*0.25),0)</f>
        <v>0</v>
      </c>
      <c r="L118" s="197"/>
      <c r="M118" s="391">
        <f t="shared" si="18"/>
        <v>0</v>
      </c>
      <c r="N118" s="12"/>
      <c r="P118" s="12"/>
      <c r="R118" s="12"/>
      <c r="S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row>
    <row r="119" spans="2:49" s="19" customFormat="1">
      <c r="B119" s="12"/>
      <c r="C119" s="688"/>
      <c r="D119" s="688"/>
      <c r="E119" s="688"/>
      <c r="F119" s="688"/>
      <c r="G119" s="692"/>
      <c r="H119" s="692"/>
      <c r="I119" s="693"/>
      <c r="J119" s="693"/>
      <c r="K119" s="693"/>
      <c r="L119" s="693"/>
      <c r="M119" s="694"/>
      <c r="N119" s="12"/>
      <c r="P119" s="12"/>
      <c r="R119" s="12"/>
      <c r="S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row>
    <row r="120" spans="2:49" s="19" customFormat="1">
      <c r="B120" s="12"/>
      <c r="C120" s="15"/>
      <c r="D120" s="15"/>
      <c r="E120" s="15"/>
      <c r="F120" s="15"/>
      <c r="G120" s="732"/>
      <c r="H120" s="732"/>
      <c r="I120" s="1742" t="s">
        <v>921</v>
      </c>
      <c r="J120" s="1742"/>
      <c r="K120" s="1742"/>
      <c r="L120" s="733"/>
      <c r="M120" s="441" t="s">
        <v>922</v>
      </c>
      <c r="N120" s="12"/>
      <c r="P120" s="12"/>
      <c r="R120" s="12"/>
      <c r="S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row>
    <row r="121" spans="2:49" s="19" customFormat="1">
      <c r="B121" s="12"/>
      <c r="C121" s="736" t="s">
        <v>959</v>
      </c>
      <c r="D121" s="737"/>
      <c r="E121" s="737"/>
      <c r="F121" s="737"/>
      <c r="G121" s="740"/>
      <c r="H121" s="740"/>
      <c r="I121" s="741"/>
      <c r="J121" s="741"/>
      <c r="K121" s="741"/>
      <c r="L121" s="741"/>
      <c r="M121" s="739">
        <f>IF(M$29=0,0,M123+M146+M171)</f>
        <v>0</v>
      </c>
      <c r="N121" s="12"/>
      <c r="P121" s="12"/>
      <c r="R121" s="12"/>
      <c r="S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row>
    <row r="122" spans="2:49" s="19" customFormat="1">
      <c r="B122" s="12"/>
      <c r="C122" s="734"/>
      <c r="D122" s="734"/>
      <c r="E122" s="734"/>
      <c r="F122" s="734"/>
      <c r="G122" s="735" t="s">
        <v>935</v>
      </c>
      <c r="H122" s="735"/>
      <c r="I122" s="727" t="s">
        <v>956</v>
      </c>
      <c r="J122" s="727" t="s">
        <v>957</v>
      </c>
      <c r="K122" s="727" t="s">
        <v>958</v>
      </c>
      <c r="L122" s="727"/>
      <c r="M122" s="695"/>
      <c r="N122" s="12"/>
      <c r="P122" s="12"/>
      <c r="R122" s="12"/>
      <c r="S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row>
    <row r="123" spans="2:49" s="19" customFormat="1">
      <c r="B123" s="12"/>
      <c r="C123" s="742" t="s">
        <v>597</v>
      </c>
      <c r="D123" s="742"/>
      <c r="E123" s="742"/>
      <c r="F123" s="742"/>
      <c r="G123" s="743"/>
      <c r="H123" s="743"/>
      <c r="I123" s="744">
        <f>AW213</f>
        <v>0.3</v>
      </c>
      <c r="J123" s="744"/>
      <c r="K123" s="744"/>
      <c r="L123" s="744"/>
      <c r="M123" s="745">
        <f>M124+M132+M141</f>
        <v>0</v>
      </c>
      <c r="N123" s="12"/>
      <c r="P123" s="38">
        <f>SUM(K125:K131)</f>
        <v>1</v>
      </c>
      <c r="R123" s="12"/>
      <c r="S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row>
    <row r="124" spans="2:49" s="19" customFormat="1">
      <c r="B124" s="12"/>
      <c r="C124" s="233" t="s">
        <v>598</v>
      </c>
      <c r="D124" s="233"/>
      <c r="E124" s="233"/>
      <c r="F124" s="233"/>
      <c r="G124" s="690"/>
      <c r="H124" s="690"/>
      <c r="I124" s="199"/>
      <c r="J124" s="199">
        <f>AW214</f>
        <v>0.4</v>
      </c>
      <c r="K124" s="199"/>
      <c r="L124" s="199"/>
      <c r="M124" s="58">
        <f>SUM(M125:M131)</f>
        <v>0</v>
      </c>
      <c r="N124" s="12"/>
      <c r="P124" s="12"/>
      <c r="R124" s="12"/>
      <c r="S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row>
    <row r="125" spans="2:49" s="19" customFormat="1">
      <c r="B125" s="12"/>
      <c r="C125" s="90" t="str">
        <f>'Indicatoren adaptief vermogen'!K53</f>
        <v>D04</v>
      </c>
      <c r="D125" s="90" t="str">
        <f>VLOOKUP(C125,$C$25:$D$40,2,FALSE)</f>
        <v>Overdimensionering bouwkundige ruimte/reservering voor E&amp;W- installaties en schachten</v>
      </c>
      <c r="E125" s="90"/>
      <c r="F125" s="90"/>
      <c r="G125" s="691">
        <f>VLOOKUP(C125,$C$25:$M$40,COLUMNS($C$25:$M$25))</f>
        <v>0</v>
      </c>
      <c r="H125" s="691"/>
      <c r="I125" s="197"/>
      <c r="J125" s="197"/>
      <c r="K125" s="197">
        <f>IF($R$50=1,1/(3*1+4*0.25),1/(3*1+0*0.25))</f>
        <v>0.33333333333333331</v>
      </c>
      <c r="L125" s="197"/>
      <c r="M125" s="391">
        <f t="shared" ref="M125:M131" si="19">G125*$I$123*$J$124*K125</f>
        <v>0</v>
      </c>
      <c r="N125" s="12"/>
      <c r="P125" s="12"/>
      <c r="R125" s="12"/>
      <c r="S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row>
    <row r="126" spans="2:49" s="19" customFormat="1">
      <c r="B126" s="12"/>
      <c r="C126" s="90" t="str">
        <f>'Indicatoren adaptief vermogen'!K54</f>
        <v>D05</v>
      </c>
      <c r="D126" s="90" t="str">
        <f>VLOOKUP(C126,$C$25:$D$40,2,FALSE)</f>
        <v xml:space="preserve">Uitbreidbaar gebouw of woning/unit, horizontaal en/of vertikaal
</v>
      </c>
      <c r="E126" s="90"/>
      <c r="F126" s="90"/>
      <c r="G126" s="691">
        <f>VLOOKUP(C126,$C$25:$M$40,COLUMNS($C$25:$M$25))</f>
        <v>0</v>
      </c>
      <c r="H126" s="691"/>
      <c r="I126" s="197"/>
      <c r="J126" s="197"/>
      <c r="K126" s="197">
        <f>IF($R$50=1,1/(3*1+4*0.25),1/(3*1+0*0.25))</f>
        <v>0.33333333333333331</v>
      </c>
      <c r="L126" s="197"/>
      <c r="M126" s="391">
        <f t="shared" si="19"/>
        <v>0</v>
      </c>
      <c r="N126" s="12"/>
      <c r="P126" s="12"/>
      <c r="R126" s="12"/>
      <c r="S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row>
    <row r="127" spans="2:49" s="19" customFormat="1">
      <c r="B127" s="12"/>
      <c r="C127" s="90" t="str">
        <f>'Indicatoren adaptief vermogen'!K55</f>
        <v>D06</v>
      </c>
      <c r="D127" s="90" t="str">
        <f>VLOOKUP(C127,$C$25:$D$40,2,FALSE)</f>
        <v xml:space="preserve">Instelbaarheid van installaties
</v>
      </c>
      <c r="E127" s="90"/>
      <c r="F127" s="90"/>
      <c r="G127" s="691">
        <f>VLOOKUP(C127,$C$25:$M$40,COLUMNS($C$25:$M$25))</f>
        <v>0</v>
      </c>
      <c r="H127" s="691"/>
      <c r="I127" s="197"/>
      <c r="J127" s="197"/>
      <c r="K127" s="197">
        <f>IF($R$50=1,1/(3*1+4*0.25),1/(3*1+0*0.25))</f>
        <v>0.33333333333333331</v>
      </c>
      <c r="L127" s="197"/>
      <c r="M127" s="391">
        <f t="shared" si="19"/>
        <v>0</v>
      </c>
      <c r="N127" s="12"/>
      <c r="P127" s="12"/>
      <c r="R127" s="12"/>
      <c r="S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row>
    <row r="128" spans="2:49" s="19" customFormat="1">
      <c r="B128" s="12"/>
      <c r="C128" s="90" t="str">
        <f>'Indicatoren adaptief vermogen'!K65</f>
        <v>A02</v>
      </c>
      <c r="D128" s="90" t="str">
        <f>VLOOKUP(C128,$C$42:$D$49,2,FALSE)</f>
        <v>Utilitaire functie: mogelijkheid tot verdeling van de oppervlakte in units van de genoemde grootte.</v>
      </c>
      <c r="E128" s="90"/>
      <c r="F128" s="90"/>
      <c r="G128" s="691">
        <f>VLOOKUP(C128,$C$42:$M$49,COLUMNS($C$25:$M$25))</f>
        <v>0</v>
      </c>
      <c r="H128" s="691"/>
      <c r="I128" s="197"/>
      <c r="J128" s="197"/>
      <c r="K128" s="197">
        <f>IF($R$50=1,0.25/(3*1+4*0.25),0)</f>
        <v>0</v>
      </c>
      <c r="L128" s="197"/>
      <c r="M128" s="391">
        <f t="shared" si="19"/>
        <v>0</v>
      </c>
      <c r="N128" s="12"/>
      <c r="P128" s="12"/>
      <c r="R128" s="12"/>
      <c r="S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row>
    <row r="129" spans="2:49" s="19" customFormat="1">
      <c r="B129" s="12"/>
      <c r="C129" s="90" t="str">
        <f>'Indicatoren adaptief vermogen'!K68</f>
        <v>A05</v>
      </c>
      <c r="D129" s="90" t="str">
        <f>VLOOKUP(C129,$C$42:$D$49,2,FALSE)</f>
        <v>Demontabele gevel</v>
      </c>
      <c r="E129" s="90"/>
      <c r="F129" s="90"/>
      <c r="G129" s="691" t="b">
        <f>VLOOKUP(C129,$C$42:$M$49,COLUMNS($C$25:$M$25))</f>
        <v>0</v>
      </c>
      <c r="H129" s="691"/>
      <c r="I129" s="197"/>
      <c r="J129" s="197"/>
      <c r="K129" s="197">
        <f>IF($R$50=1,0.25/(3*1+4*0.25),0)</f>
        <v>0</v>
      </c>
      <c r="L129" s="197"/>
      <c r="M129" s="391">
        <f t="shared" si="19"/>
        <v>0</v>
      </c>
      <c r="N129" s="12"/>
      <c r="P129" s="12"/>
      <c r="R129" s="12"/>
      <c r="S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row>
    <row r="130" spans="2:49" s="19" customFormat="1">
      <c r="B130" s="12"/>
      <c r="C130" s="90" t="str">
        <f>'Indicatoren adaptief vermogen'!K70</f>
        <v>A07</v>
      </c>
      <c r="D130" s="90" t="str">
        <f>VLOOKUP(C130,$C$42:$D$49,2,FALSE)</f>
        <v>Mogelijkheid balkons aan gevel</v>
      </c>
      <c r="E130" s="90"/>
      <c r="F130" s="90"/>
      <c r="G130" s="691" t="b">
        <f>VLOOKUP(C130,$C$42:$M$49,COLUMNS($C$25:$M$25))</f>
        <v>0</v>
      </c>
      <c r="H130" s="691"/>
      <c r="I130" s="197"/>
      <c r="J130" s="197"/>
      <c r="K130" s="197">
        <f>IF($R$50=1,0.25/(3*1+4*0.25),0)</f>
        <v>0</v>
      </c>
      <c r="L130" s="197"/>
      <c r="M130" s="391">
        <f t="shared" si="19"/>
        <v>0</v>
      </c>
      <c r="N130" s="12"/>
      <c r="P130" s="12"/>
      <c r="R130" s="12"/>
      <c r="S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row>
    <row r="131" spans="2:49" s="19" customFormat="1">
      <c r="B131" s="12"/>
      <c r="C131" s="90" t="str">
        <f>'Indicatoren adaptief vermogen'!K71</f>
        <v>A08</v>
      </c>
      <c r="D131" s="90" t="str">
        <f>VLOOKUP(C131,$C$42:$D$49,2,FALSE)</f>
        <v>Verticale uitbreiding: ontsluiting</v>
      </c>
      <c r="E131" s="90"/>
      <c r="F131" s="90"/>
      <c r="G131" s="691" t="b">
        <f>VLOOKUP(C131,$C$42:$M$49,COLUMNS($C$25:$M$25))</f>
        <v>0</v>
      </c>
      <c r="H131" s="691"/>
      <c r="I131" s="197"/>
      <c r="J131" s="197"/>
      <c r="K131" s="197">
        <f>IF($R$50=1,0.25/(3*1+4*0.25),0)</f>
        <v>0</v>
      </c>
      <c r="L131" s="197"/>
      <c r="M131" s="391">
        <f t="shared" si="19"/>
        <v>0</v>
      </c>
      <c r="N131" s="12"/>
      <c r="P131" s="38">
        <f>SUM(K133:K140)</f>
        <v>0.99999999999999989</v>
      </c>
      <c r="R131" s="12"/>
      <c r="S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row>
    <row r="132" spans="2:49" s="19" customFormat="1">
      <c r="B132" s="12"/>
      <c r="C132" s="233" t="s">
        <v>599</v>
      </c>
      <c r="D132" s="233"/>
      <c r="E132" s="233"/>
      <c r="F132" s="233"/>
      <c r="G132" s="690"/>
      <c r="H132" s="690"/>
      <c r="I132" s="199"/>
      <c r="J132" s="199">
        <f>AW215</f>
        <v>0.4</v>
      </c>
      <c r="K132" s="199"/>
      <c r="L132" s="199"/>
      <c r="M132" s="58">
        <f>SUM(M133:M140)</f>
        <v>0</v>
      </c>
      <c r="N132" s="12"/>
      <c r="P132" s="12"/>
      <c r="R132" s="12"/>
      <c r="S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row>
    <row r="133" spans="2:49" s="19" customFormat="1">
      <c r="B133" s="12"/>
      <c r="C133" s="90" t="str">
        <f>'Indicatoren adaptief vermogen'!K49</f>
        <v>D01b</v>
      </c>
      <c r="D133" s="90" t="str">
        <f t="shared" ref="D133:D139" si="20">VLOOKUP(C133,$C$25:$D$40,2,FALSE)</f>
        <v>Onderscheid draagconstructie en installaties (herbestemmingsdynamiek)</v>
      </c>
      <c r="E133" s="90"/>
      <c r="F133" s="90"/>
      <c r="G133" s="691">
        <f t="shared" ref="G133:G139" si="21">VLOOKUP(C133,$C$25:$M$40,COLUMNS($C$25:$M$25))</f>
        <v>0</v>
      </c>
      <c r="H133" s="691"/>
      <c r="I133" s="197"/>
      <c r="J133" s="197"/>
      <c r="K133" s="197">
        <f>IF($R$50=1,1/(6*1+1*0.25),1/(6*1+0*0.25))</f>
        <v>0.16666666666666666</v>
      </c>
      <c r="L133" s="197"/>
      <c r="M133" s="391">
        <f t="shared" ref="M133:M140" si="22">G133*$I$123*$J$132*K133</f>
        <v>0</v>
      </c>
      <c r="N133" s="12"/>
      <c r="P133" s="12"/>
      <c r="R133" s="12"/>
      <c r="S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row>
    <row r="134" spans="2:49" s="19" customFormat="1">
      <c r="B134" s="12"/>
      <c r="C134" s="90" t="str">
        <f>'Indicatoren adaptief vermogen'!K50</f>
        <v>D02a</v>
      </c>
      <c r="D134" s="90" t="str">
        <f t="shared" si="20"/>
        <v>Overmaat gebouwoppervlak</v>
      </c>
      <c r="E134" s="90"/>
      <c r="F134" s="90"/>
      <c r="G134" s="691">
        <f t="shared" si="21"/>
        <v>0</v>
      </c>
      <c r="H134" s="691"/>
      <c r="I134" s="197"/>
      <c r="J134" s="197"/>
      <c r="K134" s="197">
        <f>IF($R$50=1,1/2/(6*1+1*0.25),1/2/(6*1+0*0.25))</f>
        <v>8.3333333333333329E-2</v>
      </c>
      <c r="L134" s="197"/>
      <c r="M134" s="391">
        <f t="shared" si="22"/>
        <v>0</v>
      </c>
      <c r="N134" s="12"/>
      <c r="P134" s="12"/>
      <c r="R134" s="12"/>
      <c r="S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row>
    <row r="135" spans="2:49" s="19" customFormat="1">
      <c r="B135" s="12"/>
      <c r="C135" s="90" t="str">
        <f>'Indicatoren adaptief vermogen'!K51</f>
        <v>D02b</v>
      </c>
      <c r="D135" s="90" t="str">
        <f t="shared" si="20"/>
        <v>Overmaat woning</v>
      </c>
      <c r="E135" s="90"/>
      <c r="F135" s="90"/>
      <c r="G135" s="691">
        <f t="shared" si="21"/>
        <v>0</v>
      </c>
      <c r="H135" s="691"/>
      <c r="I135" s="197"/>
      <c r="J135" s="197"/>
      <c r="K135" s="197">
        <f>IF($R$50=1,1/2/(6*1+1*0.25),1/2/(6*1+0*0.25))</f>
        <v>8.3333333333333329E-2</v>
      </c>
      <c r="L135" s="197"/>
      <c r="M135" s="391">
        <f t="shared" si="22"/>
        <v>0</v>
      </c>
      <c r="N135" s="12"/>
      <c r="P135" s="12"/>
      <c r="R135" s="12"/>
      <c r="S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row>
    <row r="136" spans="2:49" s="19" customFormat="1">
      <c r="B136" s="12"/>
      <c r="C136" s="90" t="str">
        <f>'Indicatoren adaptief vermogen'!K55</f>
        <v>D06</v>
      </c>
      <c r="D136" s="90" t="str">
        <f t="shared" si="20"/>
        <v xml:space="preserve">Instelbaarheid van installaties
</v>
      </c>
      <c r="E136" s="90"/>
      <c r="F136" s="90"/>
      <c r="G136" s="691">
        <f t="shared" si="21"/>
        <v>0</v>
      </c>
      <c r="H136" s="691"/>
      <c r="I136" s="197"/>
      <c r="J136" s="197"/>
      <c r="K136" s="197">
        <f>IF($R$50=1,1/(6*1+1*0.25),1/(6*1+0*0.25))</f>
        <v>0.16666666666666666</v>
      </c>
      <c r="L136" s="197"/>
      <c r="M136" s="391">
        <f t="shared" si="22"/>
        <v>0</v>
      </c>
      <c r="N136" s="12"/>
      <c r="P136" s="12"/>
      <c r="R136" s="12"/>
      <c r="S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row>
    <row r="137" spans="2:49" s="19" customFormat="1">
      <c r="B137" s="12"/>
      <c r="C137" s="90" t="str">
        <f>'Indicatoren adaptief vermogen'!K57</f>
        <v>D08</v>
      </c>
      <c r="D137" s="90" t="str">
        <f t="shared" si="20"/>
        <v xml:space="preserve">Ontkoppelbaarheid en bereikbaarheid installatiecomponenten
</v>
      </c>
      <c r="E137" s="90"/>
      <c r="F137" s="90"/>
      <c r="G137" s="691">
        <f t="shared" si="21"/>
        <v>0</v>
      </c>
      <c r="H137" s="691"/>
      <c r="I137" s="197"/>
      <c r="J137" s="197"/>
      <c r="K137" s="197">
        <f>IF($R$50=1,1/(6*1+1*0.25),1/(6*1+0*0.25))</f>
        <v>0.16666666666666666</v>
      </c>
      <c r="L137" s="197"/>
      <c r="M137" s="391">
        <f t="shared" si="22"/>
        <v>0</v>
      </c>
      <c r="N137" s="12"/>
      <c r="P137" s="12"/>
      <c r="R137" s="12"/>
      <c r="S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row>
    <row r="138" spans="2:49" s="19" customFormat="1">
      <c r="B138" s="12"/>
      <c r="C138" s="90" t="str">
        <f>'Indicatoren adaptief vermogen'!K60</f>
        <v>D11</v>
      </c>
      <c r="D138" s="90" t="str">
        <f t="shared" si="20"/>
        <v>Aanwezigheid+positie van trappen en/of liften, of uitbredingsmogelijkheden voor trappen/liften</v>
      </c>
      <c r="E138" s="90"/>
      <c r="F138" s="90"/>
      <c r="G138" s="691">
        <f t="shared" si="21"/>
        <v>0</v>
      </c>
      <c r="H138" s="691"/>
      <c r="I138" s="197"/>
      <c r="J138" s="197"/>
      <c r="K138" s="197">
        <f>IF($R$50=1,1/(6*1+1*0.25),1/(6*1+0*0.25))</f>
        <v>0.16666666666666666</v>
      </c>
      <c r="L138" s="197"/>
      <c r="M138" s="391">
        <f t="shared" si="22"/>
        <v>0</v>
      </c>
      <c r="N138" s="12"/>
      <c r="P138" s="12"/>
      <c r="R138" s="12"/>
      <c r="S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row>
    <row r="139" spans="2:49" s="19" customFormat="1">
      <c r="B139" s="12"/>
      <c r="C139" s="90" t="str">
        <f>'Indicatoren adaptief vermogen'!K61</f>
        <v>D12</v>
      </c>
      <c r="D139" s="90" t="str">
        <f t="shared" si="20"/>
        <v xml:space="preserve">Multifunctioneel gebruik gebouw of woning/unit in de tijd
</v>
      </c>
      <c r="E139" s="90"/>
      <c r="F139" s="90"/>
      <c r="G139" s="691">
        <f t="shared" si="21"/>
        <v>0</v>
      </c>
      <c r="H139" s="691"/>
      <c r="I139" s="197"/>
      <c r="J139" s="197"/>
      <c r="K139" s="197">
        <f>IF($R$50=1,1/(6*1+1*0.25),1/(6*1+0*0.25))</f>
        <v>0.16666666666666666</v>
      </c>
      <c r="L139" s="197"/>
      <c r="M139" s="391">
        <f t="shared" si="22"/>
        <v>0</v>
      </c>
      <c r="N139" s="12"/>
      <c r="P139" s="12"/>
      <c r="R139" s="12"/>
      <c r="S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row>
    <row r="140" spans="2:49" s="19" customFormat="1">
      <c r="B140" s="12"/>
      <c r="C140" s="90" t="str">
        <f>'Indicatoren adaptief vermogen'!K64</f>
        <v>A01</v>
      </c>
      <c r="D140" s="90" t="str">
        <f>VLOOKUP(C140,$C$42:$D$49,2,FALSE)</f>
        <v xml:space="preserve">Utilitaire functie: afstootbaar deel van gebouw, horizontaal of verticaal, of afstootbare gebruikersunit
</v>
      </c>
      <c r="E140" s="90"/>
      <c r="F140" s="90"/>
      <c r="G140" s="691">
        <f>VLOOKUP(C140,$C$42:$M$49,COLUMNS($C$25:$M$25))</f>
        <v>0</v>
      </c>
      <c r="H140" s="691"/>
      <c r="I140" s="197"/>
      <c r="J140" s="197"/>
      <c r="K140" s="197">
        <f>IF($R$50=1,0.25/(6*1+1*0.25),0)</f>
        <v>0</v>
      </c>
      <c r="L140" s="197"/>
      <c r="M140" s="391">
        <f t="shared" si="22"/>
        <v>0</v>
      </c>
      <c r="N140" s="12"/>
      <c r="P140" s="38">
        <f>SUM(K142:K145)</f>
        <v>1</v>
      </c>
      <c r="R140" s="12"/>
      <c r="S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row>
    <row r="141" spans="2:49" s="19" customFormat="1">
      <c r="B141" s="12"/>
      <c r="C141" s="233" t="s">
        <v>600</v>
      </c>
      <c r="D141" s="233"/>
      <c r="E141" s="233"/>
      <c r="F141" s="233"/>
      <c r="G141" s="690"/>
      <c r="H141" s="690"/>
      <c r="I141" s="199"/>
      <c r="J141" s="199">
        <f>AW216</f>
        <v>0.19999999999999996</v>
      </c>
      <c r="K141" s="199"/>
      <c r="L141" s="199"/>
      <c r="M141" s="58">
        <f>SUM(M142:M145)</f>
        <v>0</v>
      </c>
      <c r="N141" s="12"/>
      <c r="P141" s="12"/>
      <c r="R141" s="12"/>
      <c r="S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row>
    <row r="142" spans="2:49" s="19" customFormat="1">
      <c r="B142" s="12"/>
      <c r="C142" s="90" t="str">
        <f>'Indicatoren adaptief vermogen'!K49</f>
        <v>D01b</v>
      </c>
      <c r="D142" s="90" t="str">
        <f>VLOOKUP(C142,$C$25:$D$40,2,FALSE)</f>
        <v>Onderscheid draagconstructie en installaties (herbestemmingsdynamiek)</v>
      </c>
      <c r="E142" s="90"/>
      <c r="F142" s="90"/>
      <c r="G142" s="691">
        <f>VLOOKUP(C142,$C$25:$M$40,COLUMNS($C$25:$M$25))</f>
        <v>0</v>
      </c>
      <c r="H142" s="691"/>
      <c r="I142" s="197"/>
      <c r="J142" s="197"/>
      <c r="K142" s="197">
        <f>IF($R$50=1,1/(4*1+0*0.25),1/(4*1+0*0.25))</f>
        <v>0.25</v>
      </c>
      <c r="L142" s="197"/>
      <c r="M142" s="391">
        <f>G142*$I$123*$J$141*K142</f>
        <v>0</v>
      </c>
      <c r="N142" s="12"/>
      <c r="P142" s="12"/>
      <c r="R142" s="12"/>
      <c r="S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row>
    <row r="143" spans="2:49" s="19" customFormat="1">
      <c r="B143" s="12"/>
      <c r="C143" s="90" t="str">
        <f>'Indicatoren adaptief vermogen'!K56</f>
        <v>D07</v>
      </c>
      <c r="D143" s="90" t="str">
        <f>VLOOKUP(C143,$C$25:$D$40,2,FALSE)</f>
        <v xml:space="preserve">Verplaatsbare binnenwanden
</v>
      </c>
      <c r="E143" s="90"/>
      <c r="F143" s="90"/>
      <c r="G143" s="691">
        <f>VLOOKUP(C143,$C$25:$M$40,COLUMNS($C$25:$M$25))</f>
        <v>0</v>
      </c>
      <c r="H143" s="691"/>
      <c r="I143" s="197"/>
      <c r="J143" s="197"/>
      <c r="K143" s="197">
        <f>IF($R$50=1,1/(4*1+0*0.25),1/(4*1+0*0.25))</f>
        <v>0.25</v>
      </c>
      <c r="L143" s="197"/>
      <c r="M143" s="391">
        <f>G143*$I$123*$J$141*K143</f>
        <v>0</v>
      </c>
      <c r="N143" s="12"/>
      <c r="P143" s="12"/>
      <c r="R143" s="12"/>
      <c r="S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row>
    <row r="144" spans="2:49" s="19" customFormat="1">
      <c r="B144" s="12"/>
      <c r="C144" s="90" t="str">
        <f>'Indicatoren adaptief vermogen'!K57</f>
        <v>D08</v>
      </c>
      <c r="D144" s="90" t="str">
        <f>VLOOKUP(C144,$C$25:$D$40,2,FALSE)</f>
        <v xml:space="preserve">Ontkoppelbaarheid en bereikbaarheid installatiecomponenten
</v>
      </c>
      <c r="E144" s="90"/>
      <c r="F144" s="90"/>
      <c r="G144" s="691">
        <f>VLOOKUP(C144,$C$25:$M$40,COLUMNS($C$25:$M$25))</f>
        <v>0</v>
      </c>
      <c r="H144" s="691"/>
      <c r="I144" s="197"/>
      <c r="J144" s="197"/>
      <c r="K144" s="197">
        <f>IF($R$50=1,1/(4*1+0*0.25),1/(4*1+0*0.25))</f>
        <v>0.25</v>
      </c>
      <c r="L144" s="197"/>
      <c r="M144" s="391">
        <f>G144*$I$123*$J$141*K144</f>
        <v>0</v>
      </c>
      <c r="N144" s="12"/>
      <c r="P144" s="12"/>
      <c r="R144" s="12"/>
      <c r="S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row>
    <row r="145" spans="2:49" s="19" customFormat="1">
      <c r="B145" s="12"/>
      <c r="C145" s="90" t="str">
        <f>'Indicatoren adaptief vermogen'!K63</f>
        <v>D14</v>
      </c>
      <c r="D145" s="90" t="str">
        <f>VLOOKUP(C145,$C$25:$D$40,2,FALSE)</f>
        <v>Mogelijkheid tot indeling middels een vrij indeelbare plattegrond.</v>
      </c>
      <c r="E145" s="90"/>
      <c r="F145" s="90"/>
      <c r="G145" s="691">
        <f>VLOOKUP(C145,$C$25:$M$40,COLUMNS($C$25:$M$25))</f>
        <v>0</v>
      </c>
      <c r="H145" s="691"/>
      <c r="I145" s="197"/>
      <c r="J145" s="197"/>
      <c r="K145" s="197">
        <f>IF($R$50=1,1/(4*1+0*0.25),1/(4*1+0*0.25))</f>
        <v>0.25</v>
      </c>
      <c r="L145" s="197"/>
      <c r="M145" s="391">
        <f>G145*$I$123*$J$141*K145</f>
        <v>0</v>
      </c>
      <c r="N145" s="12"/>
      <c r="P145" s="12"/>
      <c r="R145" s="12"/>
      <c r="S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row>
    <row r="146" spans="2:49" s="19" customFormat="1">
      <c r="B146" s="12"/>
      <c r="C146" s="742" t="s">
        <v>601</v>
      </c>
      <c r="D146" s="742"/>
      <c r="E146" s="742"/>
      <c r="F146" s="742"/>
      <c r="G146" s="743"/>
      <c r="H146" s="743"/>
      <c r="I146" s="744">
        <f>AW217</f>
        <v>0.5</v>
      </c>
      <c r="J146" s="744"/>
      <c r="K146" s="744"/>
      <c r="L146" s="744"/>
      <c r="M146" s="745">
        <f>M147+M162</f>
        <v>0</v>
      </c>
      <c r="N146" s="12"/>
      <c r="P146" s="38">
        <f>SUM(K148:K161)</f>
        <v>0.99999999999999989</v>
      </c>
      <c r="R146" s="12"/>
      <c r="S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row>
    <row r="147" spans="2:49" s="19" customFormat="1">
      <c r="B147" s="12"/>
      <c r="C147" s="233" t="s">
        <v>602</v>
      </c>
      <c r="D147" s="233"/>
      <c r="E147" s="233"/>
      <c r="F147" s="233"/>
      <c r="G147" s="690"/>
      <c r="H147" s="690"/>
      <c r="I147" s="199"/>
      <c r="J147" s="199">
        <f>AW218</f>
        <v>0.6</v>
      </c>
      <c r="K147" s="199"/>
      <c r="L147" s="199"/>
      <c r="M147" s="58">
        <f>IF(M$36=0,0,SUM(M148:M161))</f>
        <v>0</v>
      </c>
      <c r="N147" s="12"/>
      <c r="P147" s="12"/>
      <c r="R147" s="12"/>
      <c r="S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row>
    <row r="148" spans="2:49" s="19" customFormat="1">
      <c r="B148" s="12"/>
      <c r="C148" s="90" t="str">
        <f>'Indicatoren adaptief vermogen'!K49</f>
        <v>D01b</v>
      </c>
      <c r="D148" s="90" t="str">
        <f t="shared" ref="D148:D158" si="23">VLOOKUP(C148,$C$25:$D$40,2,FALSE)</f>
        <v>Onderscheid draagconstructie en installaties (herbestemmingsdynamiek)</v>
      </c>
      <c r="E148" s="90"/>
      <c r="F148" s="90"/>
      <c r="G148" s="691">
        <f t="shared" ref="G148:G158" si="24">VLOOKUP(C148,$C$25:$M$40,COLUMNS($C$25:$M$25))</f>
        <v>0</v>
      </c>
      <c r="H148" s="691"/>
      <c r="I148" s="197"/>
      <c r="J148" s="197"/>
      <c r="K148" s="197">
        <f>IF($R$50=1,1/(10*1+3*0.25),1/(10*1+0*0.25))</f>
        <v>0.1</v>
      </c>
      <c r="L148" s="197"/>
      <c r="M148" s="391">
        <f t="shared" ref="M148:M161" si="25">G148*$I$146*$J$147*K148</f>
        <v>0</v>
      </c>
      <c r="N148" s="12"/>
      <c r="P148" s="12"/>
      <c r="R148" s="12"/>
      <c r="S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row>
    <row r="149" spans="2:49" s="19" customFormat="1">
      <c r="B149" s="12"/>
      <c r="C149" s="90" t="str">
        <f>'Indicatoren adaptief vermogen'!K50</f>
        <v>D02a</v>
      </c>
      <c r="D149" s="90" t="str">
        <f t="shared" si="23"/>
        <v>Overmaat gebouwoppervlak</v>
      </c>
      <c r="E149" s="90"/>
      <c r="F149" s="90"/>
      <c r="G149" s="691">
        <f t="shared" si="24"/>
        <v>0</v>
      </c>
      <c r="H149" s="691"/>
      <c r="I149" s="197"/>
      <c r="J149" s="197"/>
      <c r="K149" s="197">
        <f>IF($R$50=1,1/2/(10*1+3*0.25),1/2/(10*1+0*0.25))</f>
        <v>0.05</v>
      </c>
      <c r="L149" s="197"/>
      <c r="M149" s="391">
        <f t="shared" si="25"/>
        <v>0</v>
      </c>
      <c r="N149" s="12"/>
      <c r="P149" s="12"/>
      <c r="R149" s="12"/>
      <c r="S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row>
    <row r="150" spans="2:49" s="19" customFormat="1">
      <c r="B150" s="12"/>
      <c r="C150" s="90" t="str">
        <f>'Indicatoren adaptief vermogen'!K51</f>
        <v>D02b</v>
      </c>
      <c r="D150" s="90" t="str">
        <f t="shared" si="23"/>
        <v>Overmaat woning</v>
      </c>
      <c r="E150" s="90"/>
      <c r="F150" s="90"/>
      <c r="G150" s="691">
        <f t="shared" si="24"/>
        <v>0</v>
      </c>
      <c r="H150" s="691"/>
      <c r="I150" s="197"/>
      <c r="J150" s="197"/>
      <c r="K150" s="197">
        <f>IF($R$50=1,1/2/(10*1+3*0.25),1/2/(10*1+0*0.25))</f>
        <v>0.05</v>
      </c>
      <c r="L150" s="197"/>
      <c r="M150" s="391">
        <f t="shared" si="25"/>
        <v>0</v>
      </c>
      <c r="N150" s="12"/>
      <c r="P150" s="12"/>
      <c r="R150" s="12"/>
      <c r="S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row>
    <row r="151" spans="2:49" s="19" customFormat="1">
      <c r="B151" s="12"/>
      <c r="C151" s="90" t="str">
        <f>'Indicatoren adaptief vermogen'!K52</f>
        <v>D03</v>
      </c>
      <c r="D151" s="90" t="str">
        <f t="shared" si="23"/>
        <v>Vrije verdiepingshoogte</v>
      </c>
      <c r="E151" s="90"/>
      <c r="F151" s="90"/>
      <c r="G151" s="691">
        <f t="shared" si="24"/>
        <v>0</v>
      </c>
      <c r="H151" s="691"/>
      <c r="I151" s="197"/>
      <c r="J151" s="197"/>
      <c r="K151" s="197">
        <f t="shared" ref="K151:K158" si="26">IF($R$50=1,1/(10*1+3*0.25),1/(10*1+0*0.25))</f>
        <v>0.1</v>
      </c>
      <c r="L151" s="197"/>
      <c r="M151" s="391">
        <f t="shared" si="25"/>
        <v>0</v>
      </c>
      <c r="N151" s="12"/>
      <c r="P151" s="12"/>
      <c r="R151" s="12"/>
      <c r="S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row>
    <row r="152" spans="2:49" s="19" customFormat="1">
      <c r="B152" s="12"/>
      <c r="C152" s="90" t="str">
        <f>'Indicatoren adaptief vermogen'!K55</f>
        <v>D06</v>
      </c>
      <c r="D152" s="90" t="str">
        <f t="shared" si="23"/>
        <v xml:space="preserve">Instelbaarheid van installaties
</v>
      </c>
      <c r="E152" s="90"/>
      <c r="F152" s="90"/>
      <c r="G152" s="691">
        <f t="shared" si="24"/>
        <v>0</v>
      </c>
      <c r="H152" s="691"/>
      <c r="I152" s="197"/>
      <c r="J152" s="197"/>
      <c r="K152" s="197">
        <f t="shared" si="26"/>
        <v>0.1</v>
      </c>
      <c r="L152" s="197"/>
      <c r="M152" s="391">
        <f t="shared" si="25"/>
        <v>0</v>
      </c>
      <c r="N152" s="12"/>
      <c r="P152" s="12"/>
      <c r="R152" s="12"/>
      <c r="S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row>
    <row r="153" spans="2:49" s="19" customFormat="1">
      <c r="B153" s="12"/>
      <c r="C153" s="90" t="str">
        <f>'Indicatoren adaptief vermogen'!K56</f>
        <v>D07</v>
      </c>
      <c r="D153" s="90" t="str">
        <f t="shared" si="23"/>
        <v xml:space="preserve">Verplaatsbare binnenwanden
</v>
      </c>
      <c r="E153" s="90"/>
      <c r="F153" s="90"/>
      <c r="G153" s="691">
        <f t="shared" si="24"/>
        <v>0</v>
      </c>
      <c r="H153" s="691"/>
      <c r="I153" s="197"/>
      <c r="J153" s="197"/>
      <c r="K153" s="197">
        <f t="shared" si="26"/>
        <v>0.1</v>
      </c>
      <c r="L153" s="197"/>
      <c r="M153" s="391">
        <f t="shared" si="25"/>
        <v>0</v>
      </c>
      <c r="N153" s="12"/>
      <c r="P153" s="12"/>
      <c r="R153" s="12"/>
      <c r="S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row>
    <row r="154" spans="2:49" s="19" customFormat="1">
      <c r="B154" s="12"/>
      <c r="C154" s="90" t="str">
        <f>'Indicatoren adaptief vermogen'!K57</f>
        <v>D08</v>
      </c>
      <c r="D154" s="90" t="str">
        <f t="shared" si="23"/>
        <v xml:space="preserve">Ontkoppelbaarheid en bereikbaarheid installatiecomponenten
</v>
      </c>
      <c r="E154" s="90"/>
      <c r="F154" s="90"/>
      <c r="G154" s="691">
        <f t="shared" si="24"/>
        <v>0</v>
      </c>
      <c r="H154" s="691"/>
      <c r="I154" s="197"/>
      <c r="J154" s="197"/>
      <c r="K154" s="197">
        <f t="shared" si="26"/>
        <v>0.1</v>
      </c>
      <c r="L154" s="197"/>
      <c r="M154" s="391">
        <f t="shared" si="25"/>
        <v>0</v>
      </c>
      <c r="N154" s="12"/>
      <c r="P154" s="12"/>
      <c r="R154" s="12"/>
      <c r="S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row>
    <row r="155" spans="2:49" s="19" customFormat="1">
      <c r="B155" s="12"/>
      <c r="C155" s="90" t="str">
        <f>'Indicatoren adaptief vermogen'!K58</f>
        <v>D09</v>
      </c>
      <c r="D155" s="90" t="str">
        <f t="shared" si="23"/>
        <v>Positionering obstakels draagstructuur</v>
      </c>
      <c r="E155" s="90"/>
      <c r="F155" s="90"/>
      <c r="G155" s="691">
        <f t="shared" si="24"/>
        <v>0</v>
      </c>
      <c r="H155" s="691"/>
      <c r="I155" s="197"/>
      <c r="J155" s="197"/>
      <c r="K155" s="197">
        <f t="shared" si="26"/>
        <v>0.1</v>
      </c>
      <c r="L155" s="197"/>
      <c r="M155" s="391">
        <f t="shared" si="25"/>
        <v>0</v>
      </c>
      <c r="N155" s="12"/>
      <c r="P155" s="12"/>
      <c r="R155" s="12"/>
      <c r="S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row>
    <row r="156" spans="2:49" s="19" customFormat="1">
      <c r="B156" s="12"/>
      <c r="C156" s="90" t="str">
        <f>'Indicatoren adaptief vermogen'!K59</f>
        <v>D10</v>
      </c>
      <c r="D156" s="90" t="str">
        <f t="shared" si="23"/>
        <v xml:space="preserve">Daglichttoetreding
</v>
      </c>
      <c r="E156" s="90"/>
      <c r="F156" s="90"/>
      <c r="G156" s="691">
        <f t="shared" si="24"/>
        <v>0</v>
      </c>
      <c r="H156" s="691"/>
      <c r="I156" s="197"/>
      <c r="J156" s="197"/>
      <c r="K156" s="197">
        <f t="shared" si="26"/>
        <v>0.1</v>
      </c>
      <c r="L156" s="197"/>
      <c r="M156" s="391">
        <f t="shared" si="25"/>
        <v>0</v>
      </c>
      <c r="N156" s="12"/>
      <c r="P156" s="12"/>
      <c r="R156" s="12"/>
      <c r="S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row>
    <row r="157" spans="2:49" s="19" customFormat="1">
      <c r="B157" s="12"/>
      <c r="C157" s="90" t="str">
        <f>'Indicatoren adaptief vermogen'!K61</f>
        <v>D12</v>
      </c>
      <c r="D157" s="90" t="str">
        <f t="shared" si="23"/>
        <v xml:space="preserve">Multifunctioneel gebruik gebouw of woning/unit in de tijd
</v>
      </c>
      <c r="E157" s="90"/>
      <c r="F157" s="90"/>
      <c r="G157" s="691">
        <f t="shared" si="24"/>
        <v>0</v>
      </c>
      <c r="H157" s="691"/>
      <c r="I157" s="197"/>
      <c r="J157" s="197"/>
      <c r="K157" s="197">
        <f t="shared" si="26"/>
        <v>0.1</v>
      </c>
      <c r="L157" s="197"/>
      <c r="M157" s="391">
        <f t="shared" si="25"/>
        <v>0</v>
      </c>
      <c r="N157" s="12"/>
      <c r="P157" s="12"/>
      <c r="R157" s="12"/>
      <c r="S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row>
    <row r="158" spans="2:49" s="19" customFormat="1">
      <c r="B158" s="12"/>
      <c r="C158" s="90" t="str">
        <f>'Indicatoren adaptief vermogen'!K62</f>
        <v>D13</v>
      </c>
      <c r="D158" s="90" t="str">
        <f t="shared" si="23"/>
        <v>Dragende vloeren</v>
      </c>
      <c r="E158" s="90"/>
      <c r="F158" s="90"/>
      <c r="G158" s="691">
        <f t="shared" si="24"/>
        <v>0</v>
      </c>
      <c r="H158" s="691"/>
      <c r="I158" s="197"/>
      <c r="J158" s="197"/>
      <c r="K158" s="197">
        <f t="shared" si="26"/>
        <v>0.1</v>
      </c>
      <c r="L158" s="197"/>
      <c r="M158" s="391">
        <f t="shared" si="25"/>
        <v>0</v>
      </c>
      <c r="N158" s="12"/>
      <c r="P158" s="12"/>
      <c r="R158" s="12"/>
      <c r="S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row>
    <row r="159" spans="2:49" s="19" customFormat="1">
      <c r="B159" s="12"/>
      <c r="C159" s="90" t="str">
        <f>'Indicatoren adaptief vermogen'!K65</f>
        <v>A02</v>
      </c>
      <c r="D159" s="90" t="str">
        <f>VLOOKUP(C159,$C$42:$D$49,2,FALSE)</f>
        <v>Utilitaire functie: mogelijkheid tot verdeling van de oppervlakte in units van de genoemde grootte.</v>
      </c>
      <c r="E159" s="90"/>
      <c r="F159" s="90"/>
      <c r="G159" s="691">
        <f>VLOOKUP(C159,$C$42:$M$49,COLUMNS($C$25:$M$25))</f>
        <v>0</v>
      </c>
      <c r="H159" s="691"/>
      <c r="I159" s="197"/>
      <c r="J159" s="197"/>
      <c r="K159" s="197">
        <f>IF($R$50=1,0.25/(10*1+3*0.25),0)</f>
        <v>0</v>
      </c>
      <c r="L159" s="197"/>
      <c r="M159" s="391">
        <f t="shared" si="25"/>
        <v>0</v>
      </c>
      <c r="N159" s="12"/>
      <c r="P159" s="12"/>
      <c r="R159" s="12"/>
      <c r="S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row>
    <row r="160" spans="2:49" s="19" customFormat="1">
      <c r="B160" s="12"/>
      <c r="C160" s="90" t="str">
        <f>'Indicatoren adaptief vermogen'!K68</f>
        <v>A05</v>
      </c>
      <c r="D160" s="90" t="str">
        <f>VLOOKUP(C160,$C$42:$D$49,2,FALSE)</f>
        <v>Demontabele gevel</v>
      </c>
      <c r="E160" s="90"/>
      <c r="F160" s="90"/>
      <c r="G160" s="691" t="b">
        <f>VLOOKUP(C160,$C$42:$M$49,COLUMNS($C$25:$M$25))</f>
        <v>0</v>
      </c>
      <c r="H160" s="691"/>
      <c r="I160" s="197"/>
      <c r="J160" s="197"/>
      <c r="K160" s="197">
        <f>IF($R$50=1,0.25/(10*1+3*0.25),0)</f>
        <v>0</v>
      </c>
      <c r="L160" s="197"/>
      <c r="M160" s="391">
        <f t="shared" si="25"/>
        <v>0</v>
      </c>
      <c r="N160" s="12"/>
      <c r="P160" s="12"/>
      <c r="R160" s="12"/>
      <c r="S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row>
    <row r="161" spans="2:49" s="19" customFormat="1">
      <c r="B161" s="12"/>
      <c r="C161" s="90" t="str">
        <f>'Indicatoren adaptief vermogen'!K70</f>
        <v>A07</v>
      </c>
      <c r="D161" s="90" t="str">
        <f>VLOOKUP(C161,$C$42:$D$49,2,FALSE)</f>
        <v>Mogelijkheid balkons aan gevel</v>
      </c>
      <c r="E161" s="90"/>
      <c r="F161" s="90"/>
      <c r="G161" s="691" t="b">
        <f>VLOOKUP(C161,$C$42:$M$49,COLUMNS($C$25:$M$25))</f>
        <v>0</v>
      </c>
      <c r="H161" s="691"/>
      <c r="I161" s="197"/>
      <c r="J161" s="197"/>
      <c r="K161" s="197">
        <f>IF($R$50=1,0.25/(10*1+3*0.25),0)</f>
        <v>0</v>
      </c>
      <c r="L161" s="197"/>
      <c r="M161" s="391">
        <f t="shared" si="25"/>
        <v>0</v>
      </c>
      <c r="N161" s="12"/>
      <c r="P161" s="38">
        <f>SUM(K163:K170)</f>
        <v>0.99999999999999989</v>
      </c>
      <c r="R161" s="12"/>
      <c r="S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row>
    <row r="162" spans="2:49" s="19" customFormat="1">
      <c r="B162" s="12"/>
      <c r="C162" s="233" t="s">
        <v>603</v>
      </c>
      <c r="D162" s="233"/>
      <c r="E162" s="233"/>
      <c r="F162" s="233"/>
      <c r="G162" s="690"/>
      <c r="H162" s="690"/>
      <c r="I162" s="199"/>
      <c r="J162" s="199">
        <f>AW219</f>
        <v>0.4</v>
      </c>
      <c r="K162" s="199"/>
      <c r="L162" s="199"/>
      <c r="M162" s="58">
        <f>IF(M$36=0,0,SUM(M163:M170))</f>
        <v>0</v>
      </c>
      <c r="N162" s="12"/>
      <c r="P162" s="12"/>
      <c r="R162" s="12"/>
      <c r="S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row>
    <row r="163" spans="2:49" s="19" customFormat="1">
      <c r="B163" s="12"/>
      <c r="C163" s="90" t="str">
        <f>'Indicatoren adaptief vermogen'!K49</f>
        <v>D01b</v>
      </c>
      <c r="D163" s="90" t="str">
        <f t="shared" ref="D163:D169" si="27">VLOOKUP(C163,$C$25:$D$40,2,FALSE)</f>
        <v>Onderscheid draagconstructie en installaties (herbestemmingsdynamiek)</v>
      </c>
      <c r="E163" s="90"/>
      <c r="F163" s="90"/>
      <c r="G163" s="691">
        <f t="shared" ref="G163:G169" si="28">VLOOKUP(C163,$C$25:$M$40,COLUMNS($C$25:$M$25))</f>
        <v>0</v>
      </c>
      <c r="H163" s="691"/>
      <c r="I163" s="197"/>
      <c r="J163" s="197"/>
      <c r="K163" s="197">
        <f>IF($R$50=1,1/(6*1+1*0.25),1/(6*1+0*0.25))</f>
        <v>0.16666666666666666</v>
      </c>
      <c r="L163" s="197"/>
      <c r="M163" s="391">
        <f t="shared" ref="M163:M170" si="29">G163*$I$146*$J$162*K163</f>
        <v>0</v>
      </c>
      <c r="N163" s="12"/>
      <c r="P163" s="12"/>
      <c r="R163" s="12"/>
      <c r="S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row>
    <row r="164" spans="2:49" s="19" customFormat="1">
      <c r="B164" s="12"/>
      <c r="C164" s="90" t="str">
        <f>'Indicatoren adaptief vermogen'!K50</f>
        <v>D02a</v>
      </c>
      <c r="D164" s="90" t="str">
        <f t="shared" si="27"/>
        <v>Overmaat gebouwoppervlak</v>
      </c>
      <c r="E164" s="90"/>
      <c r="F164" s="90"/>
      <c r="G164" s="691">
        <f t="shared" si="28"/>
        <v>0</v>
      </c>
      <c r="H164" s="691"/>
      <c r="I164" s="197"/>
      <c r="J164" s="197"/>
      <c r="K164" s="197">
        <f>IF($R$50=1,1/2/(6*1+1*0.25),1/2/(6*1+0*0.25))</f>
        <v>8.3333333333333329E-2</v>
      </c>
      <c r="L164" s="197"/>
      <c r="M164" s="391">
        <f t="shared" si="29"/>
        <v>0</v>
      </c>
      <c r="N164" s="12"/>
      <c r="P164" s="12"/>
      <c r="R164" s="12"/>
      <c r="S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row>
    <row r="165" spans="2:49" s="19" customFormat="1">
      <c r="B165" s="12"/>
      <c r="C165" s="90" t="str">
        <f>'Indicatoren adaptief vermogen'!K51</f>
        <v>D02b</v>
      </c>
      <c r="D165" s="90" t="str">
        <f t="shared" si="27"/>
        <v>Overmaat woning</v>
      </c>
      <c r="E165" s="90"/>
      <c r="F165" s="90"/>
      <c r="G165" s="691">
        <f t="shared" si="28"/>
        <v>0</v>
      </c>
      <c r="H165" s="691"/>
      <c r="I165" s="197"/>
      <c r="J165" s="197"/>
      <c r="K165" s="197">
        <f>IF($R$50=1,1/2/(6*1+1*0.25),1/2/(6*1+0*0.25))</f>
        <v>8.3333333333333329E-2</v>
      </c>
      <c r="L165" s="197"/>
      <c r="M165" s="391">
        <f t="shared" si="29"/>
        <v>0</v>
      </c>
      <c r="N165" s="12"/>
      <c r="P165" s="12"/>
      <c r="R165" s="12"/>
      <c r="S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row>
    <row r="166" spans="2:49" s="19" customFormat="1">
      <c r="B166" s="12"/>
      <c r="C166" s="90" t="str">
        <f>'Indicatoren adaptief vermogen'!K52</f>
        <v>D03</v>
      </c>
      <c r="D166" s="90" t="str">
        <f t="shared" si="27"/>
        <v>Vrije verdiepingshoogte</v>
      </c>
      <c r="E166" s="90"/>
      <c r="F166" s="90"/>
      <c r="G166" s="691">
        <f t="shared" si="28"/>
        <v>0</v>
      </c>
      <c r="H166" s="691"/>
      <c r="I166" s="197"/>
      <c r="J166" s="197"/>
      <c r="K166" s="197">
        <f>IF($R$50=1,1/(6*1+1*0.25),1/(6*1+0*0.25))</f>
        <v>0.16666666666666666</v>
      </c>
      <c r="L166" s="197"/>
      <c r="M166" s="391">
        <f t="shared" si="29"/>
        <v>0</v>
      </c>
      <c r="N166" s="12"/>
      <c r="P166" s="12"/>
      <c r="R166" s="12"/>
      <c r="S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row>
    <row r="167" spans="2:49" s="19" customFormat="1">
      <c r="B167" s="12"/>
      <c r="C167" s="90" t="str">
        <f>'Indicatoren adaptief vermogen'!K55</f>
        <v>D06</v>
      </c>
      <c r="D167" s="90" t="str">
        <f t="shared" si="27"/>
        <v xml:space="preserve">Instelbaarheid van installaties
</v>
      </c>
      <c r="E167" s="90"/>
      <c r="F167" s="90"/>
      <c r="G167" s="691">
        <f t="shared" si="28"/>
        <v>0</v>
      </c>
      <c r="H167" s="691"/>
      <c r="I167" s="197"/>
      <c r="J167" s="197"/>
      <c r="K167" s="197">
        <f>IF($R$50=1,1/(6*1+1*0.25),1/(6*1+0*0.25))</f>
        <v>0.16666666666666666</v>
      </c>
      <c r="L167" s="197"/>
      <c r="M167" s="391">
        <f t="shared" si="29"/>
        <v>0</v>
      </c>
      <c r="N167" s="12"/>
      <c r="P167" s="12"/>
      <c r="R167" s="12"/>
      <c r="S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row>
    <row r="168" spans="2:49" s="19" customFormat="1">
      <c r="B168" s="12"/>
      <c r="C168" s="90" t="str">
        <f>'Indicatoren adaptief vermogen'!K56</f>
        <v>D07</v>
      </c>
      <c r="D168" s="90" t="str">
        <f t="shared" si="27"/>
        <v xml:space="preserve">Verplaatsbare binnenwanden
</v>
      </c>
      <c r="E168" s="90"/>
      <c r="F168" s="90"/>
      <c r="G168" s="691">
        <f t="shared" si="28"/>
        <v>0</v>
      </c>
      <c r="H168" s="691"/>
      <c r="I168" s="197"/>
      <c r="J168" s="197"/>
      <c r="K168" s="197">
        <f>IF($R$50=1,1/(6*1+1*0.25),1/(6*1+0*0.25))</f>
        <v>0.16666666666666666</v>
      </c>
      <c r="L168" s="197"/>
      <c r="M168" s="391">
        <f t="shared" si="29"/>
        <v>0</v>
      </c>
      <c r="N168" s="12"/>
      <c r="P168" s="12"/>
      <c r="R168" s="12"/>
      <c r="S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row>
    <row r="169" spans="2:49" s="19" customFormat="1">
      <c r="B169" s="12"/>
      <c r="C169" s="90" t="str">
        <f>'Indicatoren adaptief vermogen'!K57</f>
        <v>D08</v>
      </c>
      <c r="D169" s="90" t="str">
        <f t="shared" si="27"/>
        <v xml:space="preserve">Ontkoppelbaarheid en bereikbaarheid installatiecomponenten
</v>
      </c>
      <c r="E169" s="90"/>
      <c r="F169" s="90"/>
      <c r="G169" s="691">
        <f t="shared" si="28"/>
        <v>0</v>
      </c>
      <c r="H169" s="691"/>
      <c r="I169" s="197"/>
      <c r="J169" s="197"/>
      <c r="K169" s="197">
        <f>IF($R$50=1,1/(6*1+1*0.25),1/(6*1+0*0.25))</f>
        <v>0.16666666666666666</v>
      </c>
      <c r="L169" s="197"/>
      <c r="M169" s="391">
        <f t="shared" si="29"/>
        <v>0</v>
      </c>
      <c r="N169" s="12"/>
      <c r="P169" s="12"/>
      <c r="R169" s="12"/>
      <c r="S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row>
    <row r="170" spans="2:49" s="19" customFormat="1">
      <c r="B170" s="12"/>
      <c r="C170" s="90" t="str">
        <f>'Indicatoren adaptief vermogen'!K65</f>
        <v>A02</v>
      </c>
      <c r="D170" s="90" t="str">
        <f>VLOOKUP(C170,$C$42:$D$49,2,FALSE)</f>
        <v>Utilitaire functie: mogelijkheid tot verdeling van de oppervlakte in units van de genoemde grootte.</v>
      </c>
      <c r="E170" s="90"/>
      <c r="F170" s="90"/>
      <c r="G170" s="691">
        <f>VLOOKUP(C170,$C$42:$M$49,COLUMNS($C$25:$M$25))</f>
        <v>0</v>
      </c>
      <c r="H170" s="691"/>
      <c r="I170" s="197"/>
      <c r="J170" s="197"/>
      <c r="K170" s="197">
        <f>IF($R$50=1,0.25/(6*1+1*0.25),0)</f>
        <v>0</v>
      </c>
      <c r="L170" s="197"/>
      <c r="M170" s="391">
        <f t="shared" si="29"/>
        <v>0</v>
      </c>
      <c r="N170" s="12"/>
      <c r="P170" s="12"/>
      <c r="R170" s="12"/>
      <c r="S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row>
    <row r="171" spans="2:49" s="19" customFormat="1">
      <c r="B171" s="12"/>
      <c r="C171" s="742" t="s">
        <v>590</v>
      </c>
      <c r="D171" s="89"/>
      <c r="E171" s="89"/>
      <c r="F171" s="89"/>
      <c r="G171" s="689"/>
      <c r="H171" s="689"/>
      <c r="I171" s="744">
        <f>AW220</f>
        <v>0.19999999999999996</v>
      </c>
      <c r="J171" s="744"/>
      <c r="K171" s="744"/>
      <c r="L171" s="744"/>
      <c r="M171" s="745">
        <f>M183+M172</f>
        <v>0</v>
      </c>
      <c r="N171" s="12"/>
      <c r="P171" s="38">
        <f>SUM(K173:K182)</f>
        <v>0.99999999999999978</v>
      </c>
      <c r="R171" s="12"/>
      <c r="S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row>
    <row r="172" spans="2:49" s="19" customFormat="1">
      <c r="B172" s="12"/>
      <c r="C172" s="233" t="s">
        <v>606</v>
      </c>
      <c r="D172" s="233"/>
      <c r="E172" s="233"/>
      <c r="F172" s="233"/>
      <c r="G172" s="690"/>
      <c r="H172" s="690"/>
      <c r="I172" s="199"/>
      <c r="J172" s="199">
        <f>AW221</f>
        <v>0.3</v>
      </c>
      <c r="K172" s="199"/>
      <c r="L172" s="199"/>
      <c r="M172" s="58">
        <f>SUM(M173:M182)</f>
        <v>0</v>
      </c>
      <c r="N172" s="12"/>
      <c r="P172" s="12"/>
      <c r="R172" s="12"/>
      <c r="S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row>
    <row r="173" spans="2:49" s="19" customFormat="1">
      <c r="B173" s="12"/>
      <c r="C173" s="90" t="str">
        <f>'Indicatoren adaptief vermogen'!K49</f>
        <v>D01b</v>
      </c>
      <c r="D173" s="90" t="str">
        <f t="shared" ref="D173:D180" si="30">VLOOKUP(C173,$C$25:$D$40,2,FALSE)</f>
        <v>Onderscheid draagconstructie en installaties (herbestemmingsdynamiek)</v>
      </c>
      <c r="E173" s="90"/>
      <c r="F173" s="90"/>
      <c r="G173" s="691">
        <f t="shared" ref="G173:G180" si="31">VLOOKUP(C173,$C$25:$M$40,COLUMNS($C$25:$M$25))</f>
        <v>0</v>
      </c>
      <c r="H173" s="691"/>
      <c r="I173" s="197"/>
      <c r="J173" s="197"/>
      <c r="K173" s="197">
        <f>IF($R$50=1,1/(7*1+2*0.25),1/(7*1+0*0.25))</f>
        <v>0.14285714285714285</v>
      </c>
      <c r="L173" s="197"/>
      <c r="M173" s="391">
        <f t="shared" ref="M173:M182" si="32">G173*$I$171*$J$172*K173</f>
        <v>0</v>
      </c>
      <c r="N173" s="12"/>
      <c r="P173" s="12"/>
      <c r="R173" s="12"/>
      <c r="S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row>
    <row r="174" spans="2:49" s="19" customFormat="1">
      <c r="B174" s="12"/>
      <c r="C174" s="90" t="str">
        <f>'Indicatoren adaptief vermogen'!K50</f>
        <v>D02a</v>
      </c>
      <c r="D174" s="90" t="str">
        <f t="shared" si="30"/>
        <v>Overmaat gebouwoppervlak</v>
      </c>
      <c r="E174" s="90"/>
      <c r="F174" s="90"/>
      <c r="G174" s="691">
        <f t="shared" si="31"/>
        <v>0</v>
      </c>
      <c r="H174" s="691"/>
      <c r="I174" s="197"/>
      <c r="J174" s="197"/>
      <c r="K174" s="197">
        <f>IF($R$50=1,1/2/(7*1+2*0.25),1/2/(7*1+0*0.25))</f>
        <v>7.1428571428571425E-2</v>
      </c>
      <c r="L174" s="197"/>
      <c r="M174" s="391">
        <f t="shared" si="32"/>
        <v>0</v>
      </c>
      <c r="N174" s="12"/>
      <c r="P174" s="12"/>
      <c r="R174" s="12"/>
      <c r="S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row>
    <row r="175" spans="2:49" s="19" customFormat="1">
      <c r="B175" s="12"/>
      <c r="C175" s="90" t="str">
        <f>'Indicatoren adaptief vermogen'!K51</f>
        <v>D02b</v>
      </c>
      <c r="D175" s="90" t="str">
        <f t="shared" si="30"/>
        <v>Overmaat woning</v>
      </c>
      <c r="E175" s="90"/>
      <c r="F175" s="90"/>
      <c r="G175" s="691">
        <f t="shared" si="31"/>
        <v>0</v>
      </c>
      <c r="H175" s="691"/>
      <c r="I175" s="197"/>
      <c r="J175" s="197"/>
      <c r="K175" s="197">
        <f>IF($R$50=1,1/2/(7*1+2*0.25),1/2/(7*1+0*0.25))</f>
        <v>7.1428571428571425E-2</v>
      </c>
      <c r="L175" s="197"/>
      <c r="M175" s="391">
        <f t="shared" si="32"/>
        <v>0</v>
      </c>
      <c r="N175" s="12"/>
      <c r="P175" s="12"/>
      <c r="R175" s="12"/>
      <c r="S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row>
    <row r="176" spans="2:49" s="19" customFormat="1">
      <c r="B176" s="12"/>
      <c r="C176" s="90" t="str">
        <f>'Indicatoren adaptief vermogen'!K52</f>
        <v>D03</v>
      </c>
      <c r="D176" s="90" t="str">
        <f t="shared" si="30"/>
        <v>Vrije verdiepingshoogte</v>
      </c>
      <c r="E176" s="90"/>
      <c r="F176" s="90"/>
      <c r="G176" s="691">
        <f t="shared" si="31"/>
        <v>0</v>
      </c>
      <c r="H176" s="691"/>
      <c r="I176" s="197"/>
      <c r="J176" s="197"/>
      <c r="K176" s="197">
        <f>IF($R$50=1,1/(7*1+2*0.25),1/(7*1+0*0.25))</f>
        <v>0.14285714285714285</v>
      </c>
      <c r="L176" s="197"/>
      <c r="M176" s="391">
        <f t="shared" si="32"/>
        <v>0</v>
      </c>
      <c r="N176" s="12"/>
      <c r="P176" s="12"/>
      <c r="R176" s="12"/>
      <c r="S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row>
    <row r="177" spans="2:49" s="19" customFormat="1">
      <c r="B177" s="12"/>
      <c r="C177" s="90" t="str">
        <f>'Indicatoren adaptief vermogen'!K55</f>
        <v>D06</v>
      </c>
      <c r="D177" s="90" t="str">
        <f t="shared" si="30"/>
        <v xml:space="preserve">Instelbaarheid van installaties
</v>
      </c>
      <c r="E177" s="90"/>
      <c r="F177" s="90"/>
      <c r="G177" s="691">
        <f t="shared" si="31"/>
        <v>0</v>
      </c>
      <c r="H177" s="691"/>
      <c r="I177" s="197"/>
      <c r="J177" s="197"/>
      <c r="K177" s="197">
        <f>IF($R$50=1,1/(7*1+2*0.25),1/(7*1+0*0.25))</f>
        <v>0.14285714285714285</v>
      </c>
      <c r="L177" s="197"/>
      <c r="M177" s="391">
        <f t="shared" si="32"/>
        <v>0</v>
      </c>
      <c r="N177" s="12"/>
      <c r="P177" s="12"/>
      <c r="R177" s="12"/>
      <c r="S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row>
    <row r="178" spans="2:49" s="19" customFormat="1">
      <c r="B178" s="12"/>
      <c r="C178" s="90" t="str">
        <f>'Indicatoren adaptief vermogen'!K57</f>
        <v>D08</v>
      </c>
      <c r="D178" s="90" t="str">
        <f t="shared" si="30"/>
        <v xml:space="preserve">Ontkoppelbaarheid en bereikbaarheid installatiecomponenten
</v>
      </c>
      <c r="E178" s="90"/>
      <c r="F178" s="90"/>
      <c r="G178" s="691">
        <f t="shared" si="31"/>
        <v>0</v>
      </c>
      <c r="H178" s="691"/>
      <c r="I178" s="197"/>
      <c r="J178" s="197"/>
      <c r="K178" s="197">
        <f>IF($R$50=1,1/(7*1+2*0.25),1/(7*1+0*0.25))</f>
        <v>0.14285714285714285</v>
      </c>
      <c r="L178" s="197"/>
      <c r="M178" s="391">
        <f t="shared" si="32"/>
        <v>0</v>
      </c>
      <c r="N178" s="12"/>
      <c r="P178" s="12"/>
      <c r="R178" s="12"/>
      <c r="S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row>
    <row r="179" spans="2:49" s="19" customFormat="1">
      <c r="B179" s="12"/>
      <c r="C179" s="90" t="str">
        <f>'Indicatoren adaptief vermogen'!K61</f>
        <v>D12</v>
      </c>
      <c r="D179" s="90" t="str">
        <f t="shared" si="30"/>
        <v xml:space="preserve">Multifunctioneel gebruik gebouw of woning/unit in de tijd
</v>
      </c>
      <c r="E179" s="90"/>
      <c r="F179" s="90"/>
      <c r="G179" s="691">
        <f t="shared" si="31"/>
        <v>0</v>
      </c>
      <c r="H179" s="691"/>
      <c r="I179" s="197"/>
      <c r="J179" s="197"/>
      <c r="K179" s="197">
        <f>IF($R$50=1,1/(7*1+2*0.25),1/(7*1+0*0.25))</f>
        <v>0.14285714285714285</v>
      </c>
      <c r="L179" s="197"/>
      <c r="M179" s="391">
        <f t="shared" si="32"/>
        <v>0</v>
      </c>
      <c r="N179" s="12"/>
      <c r="P179" s="12"/>
      <c r="R179" s="12"/>
      <c r="S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row>
    <row r="180" spans="2:49" s="19" customFormat="1">
      <c r="B180" s="12"/>
      <c r="C180" s="90" t="str">
        <f>'Indicatoren adaptief vermogen'!K62</f>
        <v>D13</v>
      </c>
      <c r="D180" s="90" t="str">
        <f t="shared" si="30"/>
        <v>Dragende vloeren</v>
      </c>
      <c r="E180" s="90"/>
      <c r="F180" s="90"/>
      <c r="G180" s="691">
        <f t="shared" si="31"/>
        <v>0</v>
      </c>
      <c r="H180" s="691"/>
      <c r="I180" s="197"/>
      <c r="J180" s="197"/>
      <c r="K180" s="197">
        <f>IF($R$50=1,1/(7*1+2*0.25),1/(7*1+0*0.25))</f>
        <v>0.14285714285714285</v>
      </c>
      <c r="L180" s="197"/>
      <c r="M180" s="391">
        <f t="shared" si="32"/>
        <v>0</v>
      </c>
      <c r="N180" s="12"/>
      <c r="P180" s="12"/>
      <c r="R180" s="12"/>
      <c r="S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row>
    <row r="181" spans="2:49" s="19" customFormat="1">
      <c r="B181" s="12"/>
      <c r="C181" s="90" t="str">
        <f>'Indicatoren adaptief vermogen'!K68</f>
        <v>A05</v>
      </c>
      <c r="D181" s="90" t="str">
        <f>VLOOKUP(C181,$C$42:$D$49,2,FALSE)</f>
        <v>Demontabele gevel</v>
      </c>
      <c r="E181" s="90"/>
      <c r="F181" s="90"/>
      <c r="G181" s="691" t="b">
        <f>VLOOKUP(C181,$C$42:$M$49,COLUMNS($C$25:$M$25))</f>
        <v>0</v>
      </c>
      <c r="H181" s="691"/>
      <c r="I181" s="197"/>
      <c r="J181" s="197"/>
      <c r="K181" s="197">
        <f>IF($R$50=1,0.25/(7*1+2*0.25),0)</f>
        <v>0</v>
      </c>
      <c r="L181" s="197"/>
      <c r="M181" s="391">
        <f t="shared" si="32"/>
        <v>0</v>
      </c>
      <c r="N181" s="12"/>
      <c r="P181" s="12"/>
      <c r="R181" s="12"/>
      <c r="S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row>
    <row r="182" spans="2:49" s="19" customFormat="1">
      <c r="B182" s="12"/>
      <c r="C182" s="90" t="str">
        <f>'Indicatoren adaptief vermogen'!K70</f>
        <v>A07</v>
      </c>
      <c r="D182" s="90" t="str">
        <f>VLOOKUP(C182,$C$42:$D$49,2,FALSE)</f>
        <v>Mogelijkheid balkons aan gevel</v>
      </c>
      <c r="E182" s="90"/>
      <c r="F182" s="90"/>
      <c r="G182" s="691" t="b">
        <f>VLOOKUP(C182,$C$42:$M$49,COLUMNS($C$25:$M$25))</f>
        <v>0</v>
      </c>
      <c r="H182" s="691"/>
      <c r="I182" s="197"/>
      <c r="J182" s="197"/>
      <c r="K182" s="197">
        <f>IF($R$50=1,0.25/(7*1+2*0.25),0)</f>
        <v>0</v>
      </c>
      <c r="L182" s="197"/>
      <c r="M182" s="391">
        <f t="shared" si="32"/>
        <v>0</v>
      </c>
      <c r="N182" s="12"/>
      <c r="P182" s="38">
        <f>SUM(K184:K196)</f>
        <v>0.99999999999999989</v>
      </c>
      <c r="R182" s="12"/>
      <c r="S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row>
    <row r="183" spans="2:49" s="19" customFormat="1">
      <c r="B183" s="12"/>
      <c r="C183" s="233" t="s">
        <v>605</v>
      </c>
      <c r="D183" s="233"/>
      <c r="E183" s="233"/>
      <c r="F183" s="233"/>
      <c r="G183" s="690"/>
      <c r="H183" s="690"/>
      <c r="I183" s="199"/>
      <c r="J183" s="199">
        <f>AW222</f>
        <v>0.7</v>
      </c>
      <c r="K183" s="199"/>
      <c r="L183" s="199"/>
      <c r="M183" s="58">
        <f>SUM(M184:M196)</f>
        <v>0</v>
      </c>
      <c r="N183" s="12"/>
      <c r="P183" s="12"/>
      <c r="R183" s="12"/>
      <c r="S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row>
    <row r="184" spans="2:49" s="19" customFormat="1">
      <c r="B184" s="12"/>
      <c r="C184" s="90" t="str">
        <f>'Indicatoren adaptief vermogen'!K49</f>
        <v>D01b</v>
      </c>
      <c r="D184" s="90" t="str">
        <f t="shared" ref="D184:D190" si="33">VLOOKUP(C184,$C$25:$D$40,2,FALSE)</f>
        <v>Onderscheid draagconstructie en installaties (herbestemmingsdynamiek)</v>
      </c>
      <c r="E184" s="90"/>
      <c r="F184" s="90"/>
      <c r="G184" s="691">
        <f t="shared" ref="G184:G190" si="34">VLOOKUP(C184,$C$25:$M$40,COLUMNS($C$25:$M$25))</f>
        <v>0</v>
      </c>
      <c r="H184" s="691"/>
      <c r="I184" s="197"/>
      <c r="J184" s="197"/>
      <c r="K184" s="197">
        <f>IF($R$50=1,1/(6*1+6*0.25),1/(6*1+0*0.25))</f>
        <v>0.16666666666666666</v>
      </c>
      <c r="L184" s="197"/>
      <c r="M184" s="391">
        <f t="shared" ref="M184:M196" si="35">G184*$I$171*$J$183*K184</f>
        <v>0</v>
      </c>
      <c r="N184" s="12"/>
      <c r="P184" s="12"/>
      <c r="R184" s="12"/>
      <c r="S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row>
    <row r="185" spans="2:49" s="19" customFormat="1">
      <c r="B185" s="12"/>
      <c r="C185" s="90" t="str">
        <f>'Indicatoren adaptief vermogen'!K50</f>
        <v>D02a</v>
      </c>
      <c r="D185" s="90" t="str">
        <f t="shared" si="33"/>
        <v>Overmaat gebouwoppervlak</v>
      </c>
      <c r="E185" s="90"/>
      <c r="F185" s="90"/>
      <c r="G185" s="691">
        <f t="shared" si="34"/>
        <v>0</v>
      </c>
      <c r="H185" s="691"/>
      <c r="I185" s="197"/>
      <c r="J185" s="197"/>
      <c r="K185" s="197">
        <f>IF($R$50=1,1/2/(6*1+6*0.25),1/2/(6*1+0*0.25))</f>
        <v>8.3333333333333329E-2</v>
      </c>
      <c r="L185" s="197"/>
      <c r="M185" s="391">
        <f t="shared" si="35"/>
        <v>0</v>
      </c>
      <c r="N185" s="12"/>
      <c r="P185" s="12"/>
      <c r="R185" s="12"/>
      <c r="S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row>
    <row r="186" spans="2:49" s="19" customFormat="1">
      <c r="B186" s="12"/>
      <c r="C186" s="90" t="str">
        <f>'Indicatoren adaptief vermogen'!K51</f>
        <v>D02b</v>
      </c>
      <c r="D186" s="90" t="str">
        <f t="shared" si="33"/>
        <v>Overmaat woning</v>
      </c>
      <c r="E186" s="90"/>
      <c r="F186" s="90"/>
      <c r="G186" s="691">
        <f t="shared" si="34"/>
        <v>0</v>
      </c>
      <c r="H186" s="691"/>
      <c r="I186" s="197"/>
      <c r="J186" s="197"/>
      <c r="K186" s="197">
        <f>IF($R$50=1,1/2/(6*1+6*0.25),1/2/(6*1+0*0.25))</f>
        <v>8.3333333333333329E-2</v>
      </c>
      <c r="L186" s="197"/>
      <c r="M186" s="391">
        <f t="shared" si="35"/>
        <v>0</v>
      </c>
      <c r="N186" s="12"/>
      <c r="P186" s="12"/>
      <c r="R186" s="12"/>
      <c r="S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row>
    <row r="187" spans="2:49" s="19" customFormat="1">
      <c r="B187" s="12"/>
      <c r="C187" s="90" t="str">
        <f>'Indicatoren adaptief vermogen'!K52</f>
        <v>D03</v>
      </c>
      <c r="D187" s="90" t="str">
        <f t="shared" si="33"/>
        <v>Vrije verdiepingshoogte</v>
      </c>
      <c r="E187" s="90"/>
      <c r="F187" s="90"/>
      <c r="G187" s="691">
        <f t="shared" si="34"/>
        <v>0</v>
      </c>
      <c r="H187" s="691"/>
      <c r="I187" s="197"/>
      <c r="J187" s="197"/>
      <c r="K187" s="197">
        <f>IF($R$50=1,1/(6*1+6*0.25),1/(6*1+0*0.25))</f>
        <v>0.16666666666666666</v>
      </c>
      <c r="L187" s="197"/>
      <c r="M187" s="391">
        <f t="shared" si="35"/>
        <v>0</v>
      </c>
      <c r="N187" s="12"/>
      <c r="P187" s="12"/>
      <c r="R187" s="12"/>
      <c r="S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row>
    <row r="188" spans="2:49" s="19" customFormat="1">
      <c r="B188" s="12"/>
      <c r="C188" s="90" t="str">
        <f>'Indicatoren adaptief vermogen'!K56</f>
        <v>D07</v>
      </c>
      <c r="D188" s="90" t="str">
        <f t="shared" si="33"/>
        <v xml:space="preserve">Verplaatsbare binnenwanden
</v>
      </c>
      <c r="E188" s="90"/>
      <c r="F188" s="90"/>
      <c r="G188" s="691">
        <f t="shared" si="34"/>
        <v>0</v>
      </c>
      <c r="H188" s="691"/>
      <c r="I188" s="197"/>
      <c r="J188" s="197"/>
      <c r="K188" s="197">
        <f>IF($R$50=1,1/(6*1+6*0.25),1/(6*1+0*0.25))</f>
        <v>0.16666666666666666</v>
      </c>
      <c r="L188" s="197"/>
      <c r="M188" s="391">
        <f t="shared" si="35"/>
        <v>0</v>
      </c>
      <c r="N188" s="12"/>
      <c r="P188" s="12"/>
      <c r="R188" s="12"/>
      <c r="S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row>
    <row r="189" spans="2:49" s="19" customFormat="1">
      <c r="B189" s="12"/>
      <c r="C189" s="90" t="str">
        <f>'Indicatoren adaptief vermogen'!K59</f>
        <v>D10</v>
      </c>
      <c r="D189" s="90" t="str">
        <f t="shared" si="33"/>
        <v xml:space="preserve">Daglichttoetreding
</v>
      </c>
      <c r="E189" s="90"/>
      <c r="F189" s="90"/>
      <c r="G189" s="691">
        <f t="shared" si="34"/>
        <v>0</v>
      </c>
      <c r="H189" s="691"/>
      <c r="I189" s="197"/>
      <c r="J189" s="197"/>
      <c r="K189" s="197">
        <f>IF($R$50=1,1/(6*1+6*0.25),1/(6*1+0*0.25))</f>
        <v>0.16666666666666666</v>
      </c>
      <c r="L189" s="197"/>
      <c r="M189" s="391">
        <f t="shared" si="35"/>
        <v>0</v>
      </c>
      <c r="N189" s="12"/>
      <c r="P189" s="12"/>
      <c r="R189" s="12"/>
      <c r="S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row>
    <row r="190" spans="2:49" s="19" customFormat="1">
      <c r="B190" s="12"/>
      <c r="C190" s="90" t="str">
        <f>'Indicatoren adaptief vermogen'!K62</f>
        <v>D13</v>
      </c>
      <c r="D190" s="90" t="str">
        <f t="shared" si="33"/>
        <v>Dragende vloeren</v>
      </c>
      <c r="E190" s="90"/>
      <c r="F190" s="90"/>
      <c r="G190" s="691">
        <f t="shared" si="34"/>
        <v>0</v>
      </c>
      <c r="H190" s="691"/>
      <c r="I190" s="197"/>
      <c r="J190" s="197"/>
      <c r="K190" s="197">
        <f>IF($R$50=1,1/(6*1+6*0.25),1/(6*1+0*0.25))</f>
        <v>0.16666666666666666</v>
      </c>
      <c r="L190" s="197"/>
      <c r="M190" s="391">
        <f t="shared" si="35"/>
        <v>0</v>
      </c>
      <c r="N190" s="12"/>
      <c r="P190" s="12"/>
      <c r="R190" s="12"/>
      <c r="S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row>
    <row r="191" spans="2:49" s="19" customFormat="1">
      <c r="B191" s="12"/>
      <c r="C191" s="90" t="str">
        <f>'Indicatoren adaptief vermogen'!K65</f>
        <v>A02</v>
      </c>
      <c r="D191" s="90" t="str">
        <f t="shared" ref="D191:D196" si="36">VLOOKUP(C191,$C$42:$D$49,2,FALSE)</f>
        <v>Utilitaire functie: mogelijkheid tot verdeling van de oppervlakte in units van de genoemde grootte.</v>
      </c>
      <c r="E191" s="90"/>
      <c r="F191" s="90"/>
      <c r="G191" s="691">
        <f t="shared" ref="G191:G196" si="37">VLOOKUP(C191,$C$42:$M$49,COLUMNS($C$25:$M$25))</f>
        <v>0</v>
      </c>
      <c r="H191" s="691"/>
      <c r="I191" s="197"/>
      <c r="J191" s="197"/>
      <c r="K191" s="197">
        <f t="shared" ref="K191:K196" si="38">IF($R$50=1,0.25/(6*1+6*0.25),0)</f>
        <v>0</v>
      </c>
      <c r="L191" s="197"/>
      <c r="M191" s="391">
        <f t="shared" si="35"/>
        <v>0</v>
      </c>
      <c r="N191" s="12"/>
      <c r="P191" s="12"/>
      <c r="R191" s="12"/>
      <c r="S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row>
    <row r="192" spans="2:49" s="19" customFormat="1">
      <c r="B192" s="12"/>
      <c r="C192" s="90" t="str">
        <f>'Indicatoren adaptief vermogen'!K67</f>
        <v>A04</v>
      </c>
      <c r="D192" s="90" t="str">
        <f t="shared" si="36"/>
        <v>Utilitaire functie: te openen ramen.</v>
      </c>
      <c r="E192" s="90"/>
      <c r="F192" s="90"/>
      <c r="G192" s="691">
        <f t="shared" si="37"/>
        <v>0</v>
      </c>
      <c r="H192" s="691"/>
      <c r="I192" s="197"/>
      <c r="J192" s="197"/>
      <c r="K192" s="197">
        <f t="shared" si="38"/>
        <v>0</v>
      </c>
      <c r="L192" s="197"/>
      <c r="M192" s="391">
        <f t="shared" si="35"/>
        <v>0</v>
      </c>
      <c r="N192" s="12"/>
      <c r="P192" s="12"/>
      <c r="R192" s="12"/>
      <c r="S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row>
    <row r="193" spans="2:49" s="19" customFormat="1">
      <c r="B193" s="12"/>
      <c r="C193" s="90" t="str">
        <f>'Indicatoren adaptief vermogen'!K68</f>
        <v>A05</v>
      </c>
      <c r="D193" s="90" t="str">
        <f t="shared" si="36"/>
        <v>Demontabele gevel</v>
      </c>
      <c r="E193" s="90"/>
      <c r="F193" s="90"/>
      <c r="G193" s="691" t="b">
        <f t="shared" si="37"/>
        <v>0</v>
      </c>
      <c r="H193" s="691"/>
      <c r="I193" s="197"/>
      <c r="J193" s="197"/>
      <c r="K193" s="197">
        <f t="shared" si="38"/>
        <v>0</v>
      </c>
      <c r="L193" s="197"/>
      <c r="M193" s="391">
        <f t="shared" si="35"/>
        <v>0</v>
      </c>
      <c r="N193" s="12"/>
      <c r="P193" s="12"/>
      <c r="R193" s="12"/>
      <c r="S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row>
    <row r="194" spans="2:49" s="19" customFormat="1">
      <c r="B194" s="12"/>
      <c r="C194" s="90" t="str">
        <f>'Indicatoren adaptief vermogen'!K69</f>
        <v>A06</v>
      </c>
      <c r="D194" s="90" t="str">
        <f t="shared" si="36"/>
        <v xml:space="preserve">Aanpasbaarheid gevel (-componenten)
</v>
      </c>
      <c r="E194" s="90"/>
      <c r="F194" s="90"/>
      <c r="G194" s="691" t="b">
        <f t="shared" si="37"/>
        <v>0</v>
      </c>
      <c r="H194" s="691"/>
      <c r="I194" s="197"/>
      <c r="J194" s="197"/>
      <c r="K194" s="197">
        <f t="shared" si="38"/>
        <v>0</v>
      </c>
      <c r="L194" s="197"/>
      <c r="M194" s="391">
        <f t="shared" si="35"/>
        <v>0</v>
      </c>
      <c r="N194" s="12"/>
      <c r="P194" s="12"/>
      <c r="R194" s="12"/>
      <c r="S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row>
    <row r="195" spans="2:49" s="19" customFormat="1">
      <c r="B195" s="12"/>
      <c r="C195" s="90" t="str">
        <f>'Indicatoren adaptief vermogen'!K70</f>
        <v>A07</v>
      </c>
      <c r="D195" s="90" t="str">
        <f t="shared" si="36"/>
        <v>Mogelijkheid balkons aan gevel</v>
      </c>
      <c r="E195" s="90"/>
      <c r="F195" s="90"/>
      <c r="G195" s="691" t="b">
        <f t="shared" si="37"/>
        <v>0</v>
      </c>
      <c r="H195" s="691"/>
      <c r="I195" s="197"/>
      <c r="J195" s="197"/>
      <c r="K195" s="197">
        <f t="shared" si="38"/>
        <v>0</v>
      </c>
      <c r="L195" s="197"/>
      <c r="M195" s="391">
        <f t="shared" si="35"/>
        <v>0</v>
      </c>
      <c r="N195" s="12"/>
      <c r="P195" s="12"/>
      <c r="R195" s="12"/>
      <c r="S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row>
    <row r="196" spans="2:49" s="19" customFormat="1">
      <c r="B196" s="12"/>
      <c r="C196" s="90" t="str">
        <f>'Indicatoren adaptief vermogen'!K71</f>
        <v>A08</v>
      </c>
      <c r="D196" s="90" t="str">
        <f t="shared" si="36"/>
        <v>Verticale uitbreiding: ontsluiting</v>
      </c>
      <c r="E196" s="90"/>
      <c r="F196" s="90"/>
      <c r="G196" s="691" t="b">
        <f t="shared" si="37"/>
        <v>0</v>
      </c>
      <c r="H196" s="691"/>
      <c r="I196" s="197"/>
      <c r="J196" s="197"/>
      <c r="K196" s="197">
        <f t="shared" si="38"/>
        <v>0</v>
      </c>
      <c r="L196" s="197"/>
      <c r="M196" s="391">
        <f t="shared" si="35"/>
        <v>0</v>
      </c>
      <c r="N196" s="12"/>
      <c r="P196" s="12"/>
      <c r="R196" s="12"/>
      <c r="S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row>
    <row r="197" spans="2:49" s="19" customFormat="1">
      <c r="B197" s="12"/>
      <c r="C197" s="12"/>
      <c r="D197" s="12"/>
      <c r="E197" s="12"/>
      <c r="F197" s="12"/>
      <c r="G197" s="14"/>
      <c r="H197" s="14"/>
      <c r="I197" s="14"/>
      <c r="J197" s="14"/>
      <c r="K197" s="14"/>
      <c r="L197" s="14"/>
      <c r="M197" s="14"/>
      <c r="N197" s="12"/>
      <c r="P197" s="12"/>
      <c r="R197" s="12"/>
      <c r="S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row>
    <row r="198" spans="2:49" s="19" customFormat="1" ht="18" thickBot="1">
      <c r="B198" s="141" t="str">
        <f>"© W/E adviseurs, Utrecht/Eindhoven, versie rekenhulpmiddelen "&amp;TEXT(Wijzigingsblad!$B$3,"d mmmm jjjj")</f>
        <v>© W/E adviseurs, Utrecht/Eindhoven, versie rekenhulpmiddelen 17 april 2024</v>
      </c>
      <c r="G198" s="37"/>
      <c r="H198" s="37"/>
      <c r="I198" s="37"/>
      <c r="J198" s="37"/>
      <c r="K198" s="37"/>
      <c r="L198" s="37"/>
      <c r="M198" s="37"/>
      <c r="R198" s="12"/>
      <c r="S198" s="12"/>
    </row>
    <row r="199" spans="2:49">
      <c r="R199" s="19"/>
      <c r="S199" s="19"/>
      <c r="U199" s="549" t="s">
        <v>960</v>
      </c>
      <c r="V199" s="1741" t="s">
        <v>961</v>
      </c>
      <c r="W199" s="1741"/>
      <c r="X199" s="1741"/>
      <c r="Y199" s="1741"/>
      <c r="Z199" s="1741"/>
      <c r="AA199" s="1741"/>
      <c r="AB199" s="1741"/>
      <c r="AC199" s="1741"/>
      <c r="AD199" s="550"/>
      <c r="AE199" s="1741" t="s">
        <v>962</v>
      </c>
      <c r="AF199" s="1741"/>
      <c r="AG199" s="1741"/>
      <c r="AH199" s="1741"/>
      <c r="AI199" s="1741"/>
      <c r="AJ199" s="1741"/>
      <c r="AK199" s="1741"/>
      <c r="AL199" s="1741"/>
      <c r="AM199" s="550"/>
      <c r="AN199" s="1741" t="s">
        <v>963</v>
      </c>
      <c r="AO199" s="1741"/>
      <c r="AP199" s="1741"/>
      <c r="AQ199" s="1741"/>
      <c r="AR199" s="1741"/>
      <c r="AS199" s="1741"/>
      <c r="AT199" s="1741"/>
      <c r="AU199" s="1741"/>
      <c r="AV199" s="551"/>
      <c r="AW199" s="552" t="s">
        <v>964</v>
      </c>
    </row>
    <row r="200" spans="2:49">
      <c r="U200" s="553" t="s">
        <v>965</v>
      </c>
      <c r="V200" s="554" t="s">
        <v>945</v>
      </c>
      <c r="W200" s="554" t="s">
        <v>947</v>
      </c>
      <c r="X200" s="554" t="s">
        <v>948</v>
      </c>
      <c r="Y200" s="554" t="s">
        <v>949</v>
      </c>
      <c r="Z200" s="554" t="s">
        <v>950</v>
      </c>
      <c r="AA200" s="554" t="s">
        <v>951</v>
      </c>
      <c r="AB200" s="554" t="s">
        <v>952</v>
      </c>
      <c r="AC200" s="554" t="s">
        <v>953</v>
      </c>
      <c r="AD200" s="554"/>
      <c r="AE200" s="554" t="s">
        <v>945</v>
      </c>
      <c r="AF200" s="554" t="s">
        <v>947</v>
      </c>
      <c r="AG200" s="554" t="s">
        <v>948</v>
      </c>
      <c r="AH200" s="554" t="s">
        <v>949</v>
      </c>
      <c r="AI200" s="554" t="s">
        <v>950</v>
      </c>
      <c r="AJ200" s="554" t="s">
        <v>951</v>
      </c>
      <c r="AK200" s="554" t="s">
        <v>952</v>
      </c>
      <c r="AL200" s="554" t="s">
        <v>953</v>
      </c>
      <c r="AM200" s="554"/>
      <c r="AN200" s="554" t="s">
        <v>945</v>
      </c>
      <c r="AO200" s="554" t="s">
        <v>947</v>
      </c>
      <c r="AP200" s="554" t="s">
        <v>948</v>
      </c>
      <c r="AQ200" s="554" t="s">
        <v>949</v>
      </c>
      <c r="AR200" s="554" t="s">
        <v>950</v>
      </c>
      <c r="AS200" s="554" t="s">
        <v>951</v>
      </c>
      <c r="AT200" s="554" t="s">
        <v>952</v>
      </c>
      <c r="AU200" s="554" t="s">
        <v>953</v>
      </c>
      <c r="AV200" s="551"/>
      <c r="AW200" s="555" t="str">
        <f>$D$15</f>
        <v>1.WO-BI</v>
      </c>
    </row>
    <row r="201" spans="2:49">
      <c r="U201" s="556" t="s">
        <v>966</v>
      </c>
      <c r="V201" s="557">
        <v>0.7</v>
      </c>
      <c r="W201" s="558">
        <v>0.7</v>
      </c>
      <c r="X201" s="558">
        <v>0.5</v>
      </c>
      <c r="Y201" s="558">
        <v>0.4</v>
      </c>
      <c r="Z201" s="558">
        <v>0.8</v>
      </c>
      <c r="AA201" s="558">
        <v>0.7</v>
      </c>
      <c r="AB201" s="558">
        <v>0.6</v>
      </c>
      <c r="AC201" s="559">
        <v>0.5</v>
      </c>
      <c r="AD201" s="560"/>
      <c r="AE201" s="561"/>
      <c r="AF201" s="561"/>
      <c r="AG201" s="561"/>
      <c r="AH201" s="561"/>
      <c r="AI201" s="561"/>
      <c r="AJ201" s="561"/>
      <c r="AK201" s="561"/>
      <c r="AL201" s="561"/>
      <c r="AM201" s="561"/>
      <c r="AN201" s="561"/>
      <c r="AO201" s="561"/>
      <c r="AP201" s="561"/>
      <c r="AQ201" s="561"/>
      <c r="AR201" s="561"/>
      <c r="AS201" s="561"/>
      <c r="AT201" s="561"/>
      <c r="AU201" s="561"/>
      <c r="AV201" s="562"/>
      <c r="AW201" s="563">
        <f>HLOOKUP($AW$200,$V$200:$AC$222,2)</f>
        <v>0.7</v>
      </c>
    </row>
    <row r="202" spans="2:49">
      <c r="U202" s="564" t="s">
        <v>597</v>
      </c>
      <c r="V202" s="565"/>
      <c r="W202" s="565"/>
      <c r="X202" s="565"/>
      <c r="Y202" s="565"/>
      <c r="Z202" s="565"/>
      <c r="AA202" s="565"/>
      <c r="AB202" s="565"/>
      <c r="AC202" s="565"/>
      <c r="AD202" s="566"/>
      <c r="AE202" s="557">
        <v>0.3</v>
      </c>
      <c r="AF202" s="558">
        <v>0.3</v>
      </c>
      <c r="AG202" s="558">
        <v>0.3</v>
      </c>
      <c r="AH202" s="558">
        <v>0.3</v>
      </c>
      <c r="AI202" s="558">
        <v>0.3</v>
      </c>
      <c r="AJ202" s="558">
        <v>0.3</v>
      </c>
      <c r="AK202" s="558">
        <v>0.3</v>
      </c>
      <c r="AL202" s="559">
        <v>0.3</v>
      </c>
      <c r="AM202" s="567"/>
      <c r="AN202" s="565"/>
      <c r="AO202" s="565"/>
      <c r="AP202" s="565"/>
      <c r="AQ202" s="565"/>
      <c r="AR202" s="565"/>
      <c r="AS202" s="565"/>
      <c r="AT202" s="565"/>
      <c r="AU202" s="565"/>
      <c r="AV202" s="568"/>
      <c r="AW202" s="569">
        <f>HLOOKUP($AW$200,$AE$200:$AL$222,3)</f>
        <v>0.3</v>
      </c>
    </row>
    <row r="203" spans="2:49">
      <c r="U203" s="570" t="s">
        <v>598</v>
      </c>
      <c r="V203" s="571"/>
      <c r="W203" s="571"/>
      <c r="X203" s="571"/>
      <c r="Y203" s="571"/>
      <c r="Z203" s="571"/>
      <c r="AA203" s="571"/>
      <c r="AB203" s="571"/>
      <c r="AC203" s="571"/>
      <c r="AD203" s="571"/>
      <c r="AE203" s="571"/>
      <c r="AF203" s="571"/>
      <c r="AG203" s="571"/>
      <c r="AH203" s="571"/>
      <c r="AI203" s="571"/>
      <c r="AJ203" s="571"/>
      <c r="AK203" s="571"/>
      <c r="AL203" s="571"/>
      <c r="AM203" s="572"/>
      <c r="AN203" s="557">
        <v>0.5</v>
      </c>
      <c r="AO203" s="558">
        <v>0.5</v>
      </c>
      <c r="AP203" s="558">
        <v>0.5</v>
      </c>
      <c r="AQ203" s="558">
        <v>0.5</v>
      </c>
      <c r="AR203" s="558">
        <v>0.5</v>
      </c>
      <c r="AS203" s="558">
        <v>0.5</v>
      </c>
      <c r="AT203" s="558">
        <v>0.5</v>
      </c>
      <c r="AU203" s="559">
        <v>0.5</v>
      </c>
      <c r="AV203" s="573"/>
      <c r="AW203" s="574">
        <f>HLOOKUP($AW$200,$AN$200:$AU$222,4)</f>
        <v>0.5</v>
      </c>
    </row>
    <row r="204" spans="2:49">
      <c r="U204" s="570" t="s">
        <v>599</v>
      </c>
      <c r="V204" s="571"/>
      <c r="W204" s="571"/>
      <c r="X204" s="571"/>
      <c r="Y204" s="571"/>
      <c r="Z204" s="571"/>
      <c r="AA204" s="571"/>
      <c r="AB204" s="571"/>
      <c r="AC204" s="571"/>
      <c r="AD204" s="571"/>
      <c r="AE204" s="571"/>
      <c r="AF204" s="571"/>
      <c r="AG204" s="571"/>
      <c r="AH204" s="571"/>
      <c r="AI204" s="571"/>
      <c r="AJ204" s="571"/>
      <c r="AK204" s="571"/>
      <c r="AL204" s="571"/>
      <c r="AM204" s="572"/>
      <c r="AN204" s="557">
        <v>0.5</v>
      </c>
      <c r="AO204" s="558">
        <v>0.5</v>
      </c>
      <c r="AP204" s="558">
        <v>0.5</v>
      </c>
      <c r="AQ204" s="558">
        <v>0.5</v>
      </c>
      <c r="AR204" s="558">
        <v>0.5</v>
      </c>
      <c r="AS204" s="558">
        <v>0.5</v>
      </c>
      <c r="AT204" s="558">
        <v>0.5</v>
      </c>
      <c r="AU204" s="559">
        <v>0.5</v>
      </c>
      <c r="AV204" s="573"/>
      <c r="AW204" s="574">
        <f>HLOOKUP($AW$200,$AN$200:$AU$222,5)</f>
        <v>0.5</v>
      </c>
    </row>
    <row r="205" spans="2:49">
      <c r="U205" s="570" t="s">
        <v>600</v>
      </c>
      <c r="V205" s="571"/>
      <c r="W205" s="571"/>
      <c r="X205" s="571"/>
      <c r="Y205" s="571"/>
      <c r="Z205" s="571"/>
      <c r="AA205" s="571"/>
      <c r="AB205" s="571"/>
      <c r="AC205" s="571"/>
      <c r="AD205" s="571"/>
      <c r="AE205" s="571"/>
      <c r="AF205" s="571"/>
      <c r="AG205" s="571"/>
      <c r="AH205" s="571"/>
      <c r="AI205" s="571"/>
      <c r="AJ205" s="571"/>
      <c r="AK205" s="571"/>
      <c r="AL205" s="571"/>
      <c r="AM205" s="572"/>
      <c r="AN205" s="575">
        <f t="shared" ref="AN205:AU205" si="39">1-(AN203+AN204)</f>
        <v>0</v>
      </c>
      <c r="AO205" s="576">
        <f t="shared" si="39"/>
        <v>0</v>
      </c>
      <c r="AP205" s="576">
        <f t="shared" si="39"/>
        <v>0</v>
      </c>
      <c r="AQ205" s="576">
        <f t="shared" si="39"/>
        <v>0</v>
      </c>
      <c r="AR205" s="576">
        <f t="shared" si="39"/>
        <v>0</v>
      </c>
      <c r="AS205" s="576">
        <f t="shared" si="39"/>
        <v>0</v>
      </c>
      <c r="AT205" s="576">
        <f t="shared" si="39"/>
        <v>0</v>
      </c>
      <c r="AU205" s="577">
        <f t="shared" si="39"/>
        <v>0</v>
      </c>
      <c r="AV205" s="573"/>
      <c r="AW205" s="574">
        <f>HLOOKUP($AW$200,$AN$200:$AU$222,6)</f>
        <v>0</v>
      </c>
    </row>
    <row r="206" spans="2:49">
      <c r="U206" s="564" t="s">
        <v>601</v>
      </c>
      <c r="V206" s="565"/>
      <c r="W206" s="565"/>
      <c r="X206" s="565"/>
      <c r="Y206" s="565"/>
      <c r="Z206" s="565"/>
      <c r="AA206" s="565"/>
      <c r="AB206" s="565"/>
      <c r="AC206" s="565"/>
      <c r="AD206" s="566"/>
      <c r="AE206" s="557">
        <v>0.3</v>
      </c>
      <c r="AF206" s="558">
        <v>0.3</v>
      </c>
      <c r="AG206" s="558">
        <v>0.3</v>
      </c>
      <c r="AH206" s="558">
        <v>0.3</v>
      </c>
      <c r="AI206" s="558">
        <v>0.3</v>
      </c>
      <c r="AJ206" s="558">
        <v>0.3</v>
      </c>
      <c r="AK206" s="558">
        <v>0.3</v>
      </c>
      <c r="AL206" s="559">
        <v>0.3</v>
      </c>
      <c r="AM206" s="567"/>
      <c r="AN206" s="565"/>
      <c r="AO206" s="565"/>
      <c r="AP206" s="565"/>
      <c r="AQ206" s="565"/>
      <c r="AR206" s="565"/>
      <c r="AS206" s="565"/>
      <c r="AT206" s="565"/>
      <c r="AU206" s="565"/>
      <c r="AV206" s="568"/>
      <c r="AW206" s="569">
        <f>HLOOKUP($AW$200,$AE$200:$AL$222,7)</f>
        <v>0.3</v>
      </c>
    </row>
    <row r="207" spans="2:49">
      <c r="U207" s="570" t="s">
        <v>602</v>
      </c>
      <c r="V207" s="571"/>
      <c r="W207" s="571"/>
      <c r="X207" s="571"/>
      <c r="Y207" s="571"/>
      <c r="Z207" s="571"/>
      <c r="AA207" s="571"/>
      <c r="AB207" s="571"/>
      <c r="AC207" s="571"/>
      <c r="AD207" s="571"/>
      <c r="AE207" s="571"/>
      <c r="AF207" s="571"/>
      <c r="AG207" s="571"/>
      <c r="AH207" s="571"/>
      <c r="AI207" s="571"/>
      <c r="AJ207" s="571"/>
      <c r="AK207" s="571"/>
      <c r="AL207" s="571"/>
      <c r="AM207" s="572"/>
      <c r="AN207" s="557">
        <v>0.3</v>
      </c>
      <c r="AO207" s="558">
        <v>0.3</v>
      </c>
      <c r="AP207" s="558">
        <v>0.3</v>
      </c>
      <c r="AQ207" s="558">
        <v>0.3</v>
      </c>
      <c r="AR207" s="558">
        <v>0.3</v>
      </c>
      <c r="AS207" s="558">
        <v>0.3</v>
      </c>
      <c r="AT207" s="558">
        <v>0.3</v>
      </c>
      <c r="AU207" s="559">
        <v>0.3</v>
      </c>
      <c r="AV207" s="573"/>
      <c r="AW207" s="574">
        <f>HLOOKUP($AW$200,$AN$200:$AU$222,8)</f>
        <v>0.3</v>
      </c>
    </row>
    <row r="208" spans="2:49">
      <c r="U208" s="570" t="s">
        <v>603</v>
      </c>
      <c r="V208" s="571"/>
      <c r="W208" s="571"/>
      <c r="X208" s="571"/>
      <c r="Y208" s="571"/>
      <c r="Z208" s="571"/>
      <c r="AA208" s="571"/>
      <c r="AB208" s="571"/>
      <c r="AC208" s="571"/>
      <c r="AD208" s="571"/>
      <c r="AE208" s="571"/>
      <c r="AF208" s="571"/>
      <c r="AG208" s="571"/>
      <c r="AH208" s="571"/>
      <c r="AI208" s="571"/>
      <c r="AJ208" s="571"/>
      <c r="AK208" s="571"/>
      <c r="AL208" s="571"/>
      <c r="AM208" s="572"/>
      <c r="AN208" s="575">
        <f t="shared" ref="AN208:AU208" si="40">1-AN207</f>
        <v>0.7</v>
      </c>
      <c r="AO208" s="576">
        <f t="shared" si="40"/>
        <v>0.7</v>
      </c>
      <c r="AP208" s="576">
        <f t="shared" si="40"/>
        <v>0.7</v>
      </c>
      <c r="AQ208" s="576">
        <f t="shared" si="40"/>
        <v>0.7</v>
      </c>
      <c r="AR208" s="576">
        <f t="shared" si="40"/>
        <v>0.7</v>
      </c>
      <c r="AS208" s="576">
        <f t="shared" si="40"/>
        <v>0.7</v>
      </c>
      <c r="AT208" s="576">
        <f t="shared" si="40"/>
        <v>0.7</v>
      </c>
      <c r="AU208" s="577">
        <f t="shared" si="40"/>
        <v>0.7</v>
      </c>
      <c r="AV208" s="573"/>
      <c r="AW208" s="574">
        <f>HLOOKUP($AW$200,$AN$200:$AU$222,9)</f>
        <v>0.7</v>
      </c>
    </row>
    <row r="209" spans="21:49">
      <c r="U209" s="564" t="s">
        <v>590</v>
      </c>
      <c r="V209" s="565"/>
      <c r="W209" s="565"/>
      <c r="X209" s="565"/>
      <c r="Y209" s="565"/>
      <c r="Z209" s="565"/>
      <c r="AA209" s="565"/>
      <c r="AB209" s="565"/>
      <c r="AC209" s="565"/>
      <c r="AD209" s="566"/>
      <c r="AE209" s="578">
        <f t="shared" ref="AE209:AL209" si="41">1-(AE202+AE206)</f>
        <v>0.4</v>
      </c>
      <c r="AF209" s="579">
        <f t="shared" si="41"/>
        <v>0.4</v>
      </c>
      <c r="AG209" s="579">
        <f t="shared" si="41"/>
        <v>0.4</v>
      </c>
      <c r="AH209" s="579">
        <f t="shared" si="41"/>
        <v>0.4</v>
      </c>
      <c r="AI209" s="579">
        <f t="shared" si="41"/>
        <v>0.4</v>
      </c>
      <c r="AJ209" s="579">
        <f t="shared" si="41"/>
        <v>0.4</v>
      </c>
      <c r="AK209" s="579">
        <f t="shared" si="41"/>
        <v>0.4</v>
      </c>
      <c r="AL209" s="580">
        <f t="shared" si="41"/>
        <v>0.4</v>
      </c>
      <c r="AM209" s="567"/>
      <c r="AN209" s="565"/>
      <c r="AO209" s="565"/>
      <c r="AP209" s="565"/>
      <c r="AQ209" s="565"/>
      <c r="AR209" s="565"/>
      <c r="AS209" s="565"/>
      <c r="AT209" s="565"/>
      <c r="AU209" s="565"/>
      <c r="AV209" s="568"/>
      <c r="AW209" s="569">
        <f>HLOOKUP($AW$200,$AE$200:$AL$222,10)</f>
        <v>0.4</v>
      </c>
    </row>
    <row r="210" spans="21:49">
      <c r="U210" s="570" t="s">
        <v>606</v>
      </c>
      <c r="V210" s="571"/>
      <c r="W210" s="571"/>
      <c r="X210" s="571"/>
      <c r="Y210" s="571"/>
      <c r="Z210" s="571"/>
      <c r="AA210" s="571"/>
      <c r="AB210" s="571"/>
      <c r="AC210" s="571"/>
      <c r="AD210" s="571"/>
      <c r="AE210" s="571"/>
      <c r="AF210" s="571"/>
      <c r="AG210" s="571"/>
      <c r="AH210" s="571"/>
      <c r="AI210" s="571"/>
      <c r="AJ210" s="571"/>
      <c r="AK210" s="571"/>
      <c r="AL210" s="571"/>
      <c r="AM210" s="572"/>
      <c r="AN210" s="557">
        <v>0.5</v>
      </c>
      <c r="AO210" s="558">
        <v>0.5</v>
      </c>
      <c r="AP210" s="558">
        <v>0.5</v>
      </c>
      <c r="AQ210" s="558">
        <v>0.5</v>
      </c>
      <c r="AR210" s="558">
        <v>0.5</v>
      </c>
      <c r="AS210" s="558">
        <v>0.5</v>
      </c>
      <c r="AT210" s="558">
        <v>0.5</v>
      </c>
      <c r="AU210" s="559">
        <v>0.5</v>
      </c>
      <c r="AV210" s="573"/>
      <c r="AW210" s="574">
        <f>HLOOKUP($AW$200,$AN$200:$AU$222,11)</f>
        <v>0.5</v>
      </c>
    </row>
    <row r="211" spans="21:49">
      <c r="U211" s="570" t="s">
        <v>605</v>
      </c>
      <c r="V211" s="571"/>
      <c r="W211" s="571"/>
      <c r="X211" s="571"/>
      <c r="Y211" s="571"/>
      <c r="Z211" s="571"/>
      <c r="AA211" s="571"/>
      <c r="AB211" s="571"/>
      <c r="AC211" s="571"/>
      <c r="AD211" s="571"/>
      <c r="AE211" s="571"/>
      <c r="AF211" s="571"/>
      <c r="AG211" s="571"/>
      <c r="AH211" s="571"/>
      <c r="AI211" s="571"/>
      <c r="AJ211" s="571"/>
      <c r="AK211" s="571"/>
      <c r="AL211" s="571"/>
      <c r="AM211" s="572"/>
      <c r="AN211" s="575">
        <f t="shared" ref="AN211:AU211" si="42">1-AN210</f>
        <v>0.5</v>
      </c>
      <c r="AO211" s="576">
        <f t="shared" si="42"/>
        <v>0.5</v>
      </c>
      <c r="AP211" s="576">
        <f t="shared" si="42"/>
        <v>0.5</v>
      </c>
      <c r="AQ211" s="576">
        <f t="shared" si="42"/>
        <v>0.5</v>
      </c>
      <c r="AR211" s="576">
        <f t="shared" si="42"/>
        <v>0.5</v>
      </c>
      <c r="AS211" s="576">
        <f t="shared" si="42"/>
        <v>0.5</v>
      </c>
      <c r="AT211" s="576">
        <f t="shared" si="42"/>
        <v>0.5</v>
      </c>
      <c r="AU211" s="577">
        <f t="shared" si="42"/>
        <v>0.5</v>
      </c>
      <c r="AV211" s="573"/>
      <c r="AW211" s="574">
        <f>HLOOKUP($AW$200,$AN$200:$AU$222,12)</f>
        <v>0.5</v>
      </c>
    </row>
    <row r="212" spans="21:49">
      <c r="U212" s="581" t="s">
        <v>967</v>
      </c>
      <c r="V212" s="582">
        <f t="shared" ref="V212:AC212" si="43">1-V201</f>
        <v>0.30000000000000004</v>
      </c>
      <c r="W212" s="583">
        <f t="shared" si="43"/>
        <v>0.30000000000000004</v>
      </c>
      <c r="X212" s="583">
        <f t="shared" si="43"/>
        <v>0.5</v>
      </c>
      <c r="Y212" s="583">
        <f t="shared" si="43"/>
        <v>0.6</v>
      </c>
      <c r="Z212" s="583">
        <f t="shared" si="43"/>
        <v>0.19999999999999996</v>
      </c>
      <c r="AA212" s="583">
        <f t="shared" si="43"/>
        <v>0.30000000000000004</v>
      </c>
      <c r="AB212" s="583">
        <f t="shared" si="43"/>
        <v>0.4</v>
      </c>
      <c r="AC212" s="584">
        <f t="shared" si="43"/>
        <v>0.5</v>
      </c>
      <c r="AD212" s="585"/>
      <c r="AE212" s="586"/>
      <c r="AF212" s="586"/>
      <c r="AG212" s="586"/>
      <c r="AH212" s="586"/>
      <c r="AI212" s="586"/>
      <c r="AJ212" s="586"/>
      <c r="AK212" s="586"/>
      <c r="AL212" s="586"/>
      <c r="AM212" s="586"/>
      <c r="AN212" s="586"/>
      <c r="AO212" s="586"/>
      <c r="AP212" s="586"/>
      <c r="AQ212" s="586"/>
      <c r="AR212" s="586"/>
      <c r="AS212" s="586"/>
      <c r="AT212" s="586"/>
      <c r="AU212" s="586"/>
      <c r="AV212" s="587"/>
      <c r="AW212" s="588">
        <f>HLOOKUP($AW$200,$V$200:$AC$222,13)</f>
        <v>0.30000000000000004</v>
      </c>
    </row>
    <row r="213" spans="21:49">
      <c r="U213" s="564" t="s">
        <v>597</v>
      </c>
      <c r="V213" s="565"/>
      <c r="W213" s="565"/>
      <c r="X213" s="565"/>
      <c r="Y213" s="565"/>
      <c r="Z213" s="565"/>
      <c r="AA213" s="565"/>
      <c r="AB213" s="565"/>
      <c r="AC213" s="565"/>
      <c r="AD213" s="566"/>
      <c r="AE213" s="557">
        <v>0.3</v>
      </c>
      <c r="AF213" s="558">
        <v>0.3</v>
      </c>
      <c r="AG213" s="558">
        <v>0.3</v>
      </c>
      <c r="AH213" s="558">
        <v>0.3</v>
      </c>
      <c r="AI213" s="558">
        <v>0.3</v>
      </c>
      <c r="AJ213" s="558">
        <v>0.3</v>
      </c>
      <c r="AK213" s="558">
        <v>0.3</v>
      </c>
      <c r="AL213" s="559">
        <v>0.3</v>
      </c>
      <c r="AM213" s="567"/>
      <c r="AN213" s="565"/>
      <c r="AO213" s="565"/>
      <c r="AP213" s="565"/>
      <c r="AQ213" s="565"/>
      <c r="AR213" s="565"/>
      <c r="AS213" s="565"/>
      <c r="AT213" s="565"/>
      <c r="AU213" s="565"/>
      <c r="AV213" s="568"/>
      <c r="AW213" s="569">
        <f>HLOOKUP($AW$200,$AE$200:$AL$222,14)</f>
        <v>0.3</v>
      </c>
    </row>
    <row r="214" spans="21:49">
      <c r="U214" s="570" t="s">
        <v>598</v>
      </c>
      <c r="V214" s="571"/>
      <c r="W214" s="571"/>
      <c r="X214" s="571"/>
      <c r="Y214" s="571"/>
      <c r="Z214" s="571"/>
      <c r="AA214" s="571"/>
      <c r="AB214" s="571"/>
      <c r="AC214" s="571"/>
      <c r="AD214" s="571"/>
      <c r="AE214" s="571"/>
      <c r="AF214" s="571"/>
      <c r="AG214" s="571"/>
      <c r="AH214" s="571"/>
      <c r="AI214" s="571"/>
      <c r="AJ214" s="571"/>
      <c r="AK214" s="571"/>
      <c r="AL214" s="571"/>
      <c r="AM214" s="572"/>
      <c r="AN214" s="557">
        <v>0.4</v>
      </c>
      <c r="AO214" s="558">
        <v>0.4</v>
      </c>
      <c r="AP214" s="558">
        <v>0.4</v>
      </c>
      <c r="AQ214" s="558">
        <v>0.4</v>
      </c>
      <c r="AR214" s="558">
        <v>0.4</v>
      </c>
      <c r="AS214" s="558">
        <v>0.4</v>
      </c>
      <c r="AT214" s="558">
        <v>0.4</v>
      </c>
      <c r="AU214" s="559">
        <v>0.4</v>
      </c>
      <c r="AV214" s="573"/>
      <c r="AW214" s="574">
        <f>HLOOKUP($AW$200,$AN$200:$AU$222,15)</f>
        <v>0.4</v>
      </c>
    </row>
    <row r="215" spans="21:49">
      <c r="U215" s="570" t="s">
        <v>599</v>
      </c>
      <c r="V215" s="571"/>
      <c r="W215" s="571"/>
      <c r="X215" s="571"/>
      <c r="Y215" s="571"/>
      <c r="Z215" s="571"/>
      <c r="AA215" s="571"/>
      <c r="AB215" s="571"/>
      <c r="AC215" s="571"/>
      <c r="AD215" s="571"/>
      <c r="AE215" s="571"/>
      <c r="AF215" s="571"/>
      <c r="AG215" s="571"/>
      <c r="AH215" s="571"/>
      <c r="AI215" s="571"/>
      <c r="AJ215" s="571"/>
      <c r="AK215" s="571"/>
      <c r="AL215" s="571"/>
      <c r="AM215" s="572"/>
      <c r="AN215" s="557">
        <v>0.4</v>
      </c>
      <c r="AO215" s="558">
        <v>0.4</v>
      </c>
      <c r="AP215" s="558">
        <v>0.4</v>
      </c>
      <c r="AQ215" s="558">
        <v>0.4</v>
      </c>
      <c r="AR215" s="558">
        <v>0.4</v>
      </c>
      <c r="AS215" s="558">
        <v>0.4</v>
      </c>
      <c r="AT215" s="558">
        <v>0.4</v>
      </c>
      <c r="AU215" s="559">
        <v>0.4</v>
      </c>
      <c r="AV215" s="573"/>
      <c r="AW215" s="574">
        <f>HLOOKUP($AW$200,$AN$200:$AU$222,16)</f>
        <v>0.4</v>
      </c>
    </row>
    <row r="216" spans="21:49">
      <c r="U216" s="570" t="s">
        <v>600</v>
      </c>
      <c r="V216" s="571"/>
      <c r="W216" s="571"/>
      <c r="X216" s="571"/>
      <c r="Y216" s="571"/>
      <c r="Z216" s="571"/>
      <c r="AA216" s="571"/>
      <c r="AB216" s="571"/>
      <c r="AC216" s="571"/>
      <c r="AD216" s="571"/>
      <c r="AE216" s="571"/>
      <c r="AF216" s="571"/>
      <c r="AG216" s="571"/>
      <c r="AH216" s="571"/>
      <c r="AI216" s="571"/>
      <c r="AJ216" s="571"/>
      <c r="AK216" s="571"/>
      <c r="AL216" s="571"/>
      <c r="AM216" s="572"/>
      <c r="AN216" s="575">
        <f t="shared" ref="AN216:AU216" si="44">1-(AN214+AN215)</f>
        <v>0.19999999999999996</v>
      </c>
      <c r="AO216" s="576">
        <f t="shared" si="44"/>
        <v>0.19999999999999996</v>
      </c>
      <c r="AP216" s="576">
        <f t="shared" si="44"/>
        <v>0.19999999999999996</v>
      </c>
      <c r="AQ216" s="576">
        <f t="shared" si="44"/>
        <v>0.19999999999999996</v>
      </c>
      <c r="AR216" s="576">
        <f t="shared" si="44"/>
        <v>0.19999999999999996</v>
      </c>
      <c r="AS216" s="576">
        <f t="shared" si="44"/>
        <v>0.19999999999999996</v>
      </c>
      <c r="AT216" s="576">
        <f t="shared" si="44"/>
        <v>0.19999999999999996</v>
      </c>
      <c r="AU216" s="577">
        <f t="shared" si="44"/>
        <v>0.19999999999999996</v>
      </c>
      <c r="AV216" s="573"/>
      <c r="AW216" s="574">
        <f>HLOOKUP($AW$200,$AN$200:$AU$222,17)</f>
        <v>0.19999999999999996</v>
      </c>
    </row>
    <row r="217" spans="21:49">
      <c r="U217" s="564" t="s">
        <v>601</v>
      </c>
      <c r="V217" s="565"/>
      <c r="W217" s="565"/>
      <c r="X217" s="565"/>
      <c r="Y217" s="565"/>
      <c r="Z217" s="565"/>
      <c r="AA217" s="565"/>
      <c r="AB217" s="565"/>
      <c r="AC217" s="565"/>
      <c r="AD217" s="566"/>
      <c r="AE217" s="557">
        <v>0.5</v>
      </c>
      <c r="AF217" s="558">
        <v>0.5</v>
      </c>
      <c r="AG217" s="558">
        <v>0.5</v>
      </c>
      <c r="AH217" s="558">
        <v>0.5</v>
      </c>
      <c r="AI217" s="558">
        <v>0.5</v>
      </c>
      <c r="AJ217" s="558">
        <v>0.5</v>
      </c>
      <c r="AK217" s="558">
        <v>0.5</v>
      </c>
      <c r="AL217" s="559">
        <v>0.5</v>
      </c>
      <c r="AM217" s="567"/>
      <c r="AN217" s="565"/>
      <c r="AO217" s="565"/>
      <c r="AP217" s="565"/>
      <c r="AQ217" s="565"/>
      <c r="AR217" s="565"/>
      <c r="AS217" s="565"/>
      <c r="AT217" s="565"/>
      <c r="AU217" s="565"/>
      <c r="AV217" s="568"/>
      <c r="AW217" s="569">
        <f>HLOOKUP($AW$200,$AE$200:$AL$222,18)</f>
        <v>0.5</v>
      </c>
    </row>
    <row r="218" spans="21:49">
      <c r="U218" s="570" t="s">
        <v>602</v>
      </c>
      <c r="V218" s="571"/>
      <c r="W218" s="571"/>
      <c r="X218" s="571"/>
      <c r="Y218" s="571"/>
      <c r="Z218" s="571"/>
      <c r="AA218" s="571"/>
      <c r="AB218" s="571"/>
      <c r="AC218" s="571"/>
      <c r="AD218" s="571"/>
      <c r="AE218" s="571"/>
      <c r="AF218" s="571"/>
      <c r="AG218" s="571"/>
      <c r="AH218" s="571"/>
      <c r="AI218" s="571"/>
      <c r="AJ218" s="571"/>
      <c r="AK218" s="571"/>
      <c r="AL218" s="571"/>
      <c r="AM218" s="572"/>
      <c r="AN218" s="557">
        <v>0.6</v>
      </c>
      <c r="AO218" s="558">
        <v>0.6</v>
      </c>
      <c r="AP218" s="558">
        <v>0.6</v>
      </c>
      <c r="AQ218" s="558">
        <v>0.6</v>
      </c>
      <c r="AR218" s="558">
        <v>0.6</v>
      </c>
      <c r="AS218" s="558">
        <v>0.6</v>
      </c>
      <c r="AT218" s="558">
        <v>0.6</v>
      </c>
      <c r="AU218" s="559">
        <v>0.6</v>
      </c>
      <c r="AV218" s="573"/>
      <c r="AW218" s="574">
        <f>HLOOKUP($AW$200,$AN$200:$AU$222,19)</f>
        <v>0.6</v>
      </c>
    </row>
    <row r="219" spans="21:49">
      <c r="U219" s="570" t="s">
        <v>603</v>
      </c>
      <c r="V219" s="571"/>
      <c r="W219" s="571"/>
      <c r="X219" s="571"/>
      <c r="Y219" s="571"/>
      <c r="Z219" s="571"/>
      <c r="AA219" s="571"/>
      <c r="AB219" s="571"/>
      <c r="AC219" s="571"/>
      <c r="AD219" s="571"/>
      <c r="AE219" s="571"/>
      <c r="AF219" s="571"/>
      <c r="AG219" s="571"/>
      <c r="AH219" s="571"/>
      <c r="AI219" s="571"/>
      <c r="AJ219" s="571"/>
      <c r="AK219" s="571"/>
      <c r="AL219" s="571"/>
      <c r="AM219" s="572"/>
      <c r="AN219" s="575">
        <f t="shared" ref="AN219:AU219" si="45">1-AN218</f>
        <v>0.4</v>
      </c>
      <c r="AO219" s="576">
        <f t="shared" si="45"/>
        <v>0.4</v>
      </c>
      <c r="AP219" s="576">
        <f t="shared" si="45"/>
        <v>0.4</v>
      </c>
      <c r="AQ219" s="576">
        <f t="shared" si="45"/>
        <v>0.4</v>
      </c>
      <c r="AR219" s="576">
        <f t="shared" si="45"/>
        <v>0.4</v>
      </c>
      <c r="AS219" s="576">
        <f t="shared" si="45"/>
        <v>0.4</v>
      </c>
      <c r="AT219" s="576">
        <f t="shared" si="45"/>
        <v>0.4</v>
      </c>
      <c r="AU219" s="577">
        <f t="shared" si="45"/>
        <v>0.4</v>
      </c>
      <c r="AV219" s="573"/>
      <c r="AW219" s="574">
        <f>HLOOKUP($AW$200,$AN$200:$AU$222,20)</f>
        <v>0.4</v>
      </c>
    </row>
    <row r="220" spans="21:49">
      <c r="U220" s="564" t="s">
        <v>590</v>
      </c>
      <c r="V220" s="565"/>
      <c r="W220" s="565"/>
      <c r="X220" s="565"/>
      <c r="Y220" s="565"/>
      <c r="Z220" s="565"/>
      <c r="AA220" s="565"/>
      <c r="AB220" s="565"/>
      <c r="AC220" s="565"/>
      <c r="AD220" s="566"/>
      <c r="AE220" s="578">
        <f t="shared" ref="AE220:AL220" si="46">1-(AE213+AE217)</f>
        <v>0.19999999999999996</v>
      </c>
      <c r="AF220" s="579">
        <f t="shared" si="46"/>
        <v>0.19999999999999996</v>
      </c>
      <c r="AG220" s="579">
        <f t="shared" si="46"/>
        <v>0.19999999999999996</v>
      </c>
      <c r="AH220" s="579">
        <f t="shared" si="46"/>
        <v>0.19999999999999996</v>
      </c>
      <c r="AI220" s="579">
        <f t="shared" si="46"/>
        <v>0.19999999999999996</v>
      </c>
      <c r="AJ220" s="579">
        <f t="shared" si="46"/>
        <v>0.19999999999999996</v>
      </c>
      <c r="AK220" s="579">
        <f t="shared" si="46"/>
        <v>0.19999999999999996</v>
      </c>
      <c r="AL220" s="580">
        <f t="shared" si="46"/>
        <v>0.19999999999999996</v>
      </c>
      <c r="AM220" s="567"/>
      <c r="AN220" s="565"/>
      <c r="AO220" s="565"/>
      <c r="AP220" s="565"/>
      <c r="AQ220" s="565"/>
      <c r="AR220" s="565"/>
      <c r="AS220" s="565"/>
      <c r="AT220" s="565"/>
      <c r="AU220" s="565"/>
      <c r="AV220" s="568"/>
      <c r="AW220" s="569">
        <f>HLOOKUP($AW$200,$AE$200:$AL$222,21)</f>
        <v>0.19999999999999996</v>
      </c>
    </row>
    <row r="221" spans="21:49">
      <c r="U221" s="570" t="s">
        <v>606</v>
      </c>
      <c r="V221" s="571"/>
      <c r="W221" s="571"/>
      <c r="X221" s="571"/>
      <c r="Y221" s="571"/>
      <c r="Z221" s="571"/>
      <c r="AA221" s="571"/>
      <c r="AB221" s="571"/>
      <c r="AC221" s="571"/>
      <c r="AD221" s="571"/>
      <c r="AE221" s="571"/>
      <c r="AF221" s="571"/>
      <c r="AG221" s="571"/>
      <c r="AH221" s="571"/>
      <c r="AI221" s="571"/>
      <c r="AJ221" s="571"/>
      <c r="AK221" s="571"/>
      <c r="AL221" s="571"/>
      <c r="AM221" s="572"/>
      <c r="AN221" s="557">
        <v>0.3</v>
      </c>
      <c r="AO221" s="558">
        <v>0.3</v>
      </c>
      <c r="AP221" s="558">
        <v>0.3</v>
      </c>
      <c r="AQ221" s="558">
        <v>0.3</v>
      </c>
      <c r="AR221" s="558">
        <v>0.3</v>
      </c>
      <c r="AS221" s="558">
        <v>0.3</v>
      </c>
      <c r="AT221" s="558">
        <v>0.3</v>
      </c>
      <c r="AU221" s="559">
        <v>0.3</v>
      </c>
      <c r="AV221" s="573"/>
      <c r="AW221" s="574">
        <f>HLOOKUP($AW$200,$AN$200:$AU$222,22)</f>
        <v>0.3</v>
      </c>
    </row>
    <row r="222" spans="21:49" ht="18" thickBot="1">
      <c r="U222" s="570" t="s">
        <v>605</v>
      </c>
      <c r="V222" s="571"/>
      <c r="W222" s="571"/>
      <c r="X222" s="571"/>
      <c r="Y222" s="571"/>
      <c r="Z222" s="571"/>
      <c r="AA222" s="571"/>
      <c r="AB222" s="571"/>
      <c r="AC222" s="571"/>
      <c r="AD222" s="571"/>
      <c r="AE222" s="571"/>
      <c r="AF222" s="571"/>
      <c r="AG222" s="571"/>
      <c r="AH222" s="571"/>
      <c r="AI222" s="571"/>
      <c r="AJ222" s="571"/>
      <c r="AK222" s="571"/>
      <c r="AL222" s="571"/>
      <c r="AM222" s="572"/>
      <c r="AN222" s="575">
        <f t="shared" ref="AN222:AU222" si="47">1-AN221</f>
        <v>0.7</v>
      </c>
      <c r="AO222" s="576">
        <f t="shared" si="47"/>
        <v>0.7</v>
      </c>
      <c r="AP222" s="576">
        <f t="shared" si="47"/>
        <v>0.7</v>
      </c>
      <c r="AQ222" s="576">
        <f t="shared" si="47"/>
        <v>0.7</v>
      </c>
      <c r="AR222" s="576">
        <f t="shared" si="47"/>
        <v>0.7</v>
      </c>
      <c r="AS222" s="576">
        <f t="shared" si="47"/>
        <v>0.7</v>
      </c>
      <c r="AT222" s="576">
        <f t="shared" si="47"/>
        <v>0.7</v>
      </c>
      <c r="AU222" s="577">
        <f t="shared" si="47"/>
        <v>0.7</v>
      </c>
      <c r="AV222" s="573"/>
      <c r="AW222" s="589">
        <f>HLOOKUP($AW$200,$AN$200:$AU$222,23)</f>
        <v>0.7</v>
      </c>
    </row>
    <row r="223" spans="21:49">
      <c r="U223" s="590"/>
      <c r="V223" s="591"/>
      <c r="W223" s="591"/>
      <c r="X223" s="591"/>
      <c r="Y223" s="591"/>
      <c r="Z223" s="591"/>
      <c r="AA223" s="591"/>
      <c r="AB223" s="591"/>
      <c r="AC223" s="591"/>
      <c r="AD223" s="591"/>
      <c r="AE223" s="591"/>
      <c r="AF223" s="591"/>
      <c r="AG223" s="591"/>
      <c r="AH223" s="591"/>
      <c r="AI223" s="591"/>
      <c r="AJ223" s="591"/>
      <c r="AK223" s="591"/>
      <c r="AL223" s="591"/>
      <c r="AM223" s="591"/>
      <c r="AN223" s="591"/>
      <c r="AO223" s="591"/>
      <c r="AP223" s="591"/>
      <c r="AQ223" s="591"/>
      <c r="AR223" s="591"/>
      <c r="AS223" s="591"/>
      <c r="AT223" s="591"/>
      <c r="AU223" s="591"/>
      <c r="AV223" s="591"/>
      <c r="AW223" s="592" t="s">
        <v>968</v>
      </c>
    </row>
  </sheetData>
  <sheetProtection sheet="1" objects="1" scenarios="1"/>
  <mergeCells count="7">
    <mergeCell ref="B3:D3"/>
    <mergeCell ref="V199:AC199"/>
    <mergeCell ref="AE199:AL199"/>
    <mergeCell ref="AN199:AU199"/>
    <mergeCell ref="I120:K120"/>
    <mergeCell ref="I51:K51"/>
    <mergeCell ref="F13:H13"/>
  </mergeCells>
  <conditionalFormatting sqref="C42:F45">
    <cfRule type="expression" dxfId="42" priority="4">
      <formula>$R$50=0</formula>
    </cfRule>
  </conditionalFormatting>
  <conditionalFormatting sqref="D29">
    <cfRule type="expression" dxfId="41" priority="2">
      <formula>AND($G$29&lt;&gt;"",$M29=0)</formula>
    </cfRule>
  </conditionalFormatting>
  <conditionalFormatting sqref="D36">
    <cfRule type="expression" dxfId="40" priority="1">
      <formula>AND($G$36&lt;&gt;"",$M36=0)</formula>
    </cfRule>
  </conditionalFormatting>
  <conditionalFormatting sqref="G42:G45 M42:M45">
    <cfRule type="expression" dxfId="39" priority="5">
      <formula>$R$50=0</formula>
    </cfRule>
  </conditionalFormatting>
  <conditionalFormatting sqref="G42:G49">
    <cfRule type="expression" dxfId="38" priority="3">
      <formula>$R$31=1</formula>
    </cfRule>
  </conditionalFormatting>
  <dataValidations count="4">
    <dataValidation type="list" allowBlank="1" showInputMessage="1" showErrorMessage="1" sqref="D13" xr:uid="{C7415F32-0F4E-4AFD-823D-F8796DB2141B}">
      <formula1>$R$19:$R$22</formula1>
    </dataValidation>
    <dataValidation type="list" allowBlank="1" showInputMessage="1" showErrorMessage="1" sqref="D14" xr:uid="{B89E58C6-D525-4D40-8D47-0AA79CEB7527}">
      <formula1>$R$25:$R$26</formula1>
    </dataValidation>
    <dataValidation type="list" allowBlank="1" showInputMessage="1" showErrorMessage="1" sqref="D23" xr:uid="{83919C30-A366-41F0-8546-DE6F56B79AE2}">
      <formula1>$R$29:$R$30</formula1>
    </dataValidation>
    <dataValidation type="list" allowBlank="1" showInputMessage="1" showErrorMessage="1" sqref="G25:G49" xr:uid="{94C57081-D0BC-4A9F-9E18-4E38990272EF}">
      <formula1>$R$34:$R$37</formula1>
    </dataValidation>
  </dataValidations>
  <hyperlinks>
    <hyperlink ref="A1" location="'Overzicht GPR Hulpmiddelen'!A1" tooltip="naar startscherm" display="&lt;" xr:uid="{45629DF4-6FD3-4B6A-B23B-D93B59399747}"/>
    <hyperlink ref="F13:H13" location="'Indicatoren adaptief vermogen'!F8" display="Klik hier voor een toelichting op de indicatoren" xr:uid="{7048B3B7-3B1E-4DA8-AB6A-FBDCD35388D2}"/>
  </hyperlinks>
  <pageMargins left="0.7" right="0.7" top="0.75" bottom="0.75" header="0.3" footer="0.3"/>
  <pageSetup paperSize="9" orientation="portrait" horizontalDpi="0"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FB361-2EC8-445A-B368-D32E0A44A752}">
  <sheetPr codeName="Blad21">
    <tabColor rgb="FFFFFF00"/>
  </sheetPr>
  <dimension ref="A1:AK71"/>
  <sheetViews>
    <sheetView showGridLines="0" showRowColHeaders="0" zoomScaleNormal="100" workbookViewId="0">
      <pane xSplit="1" ySplit="3" topLeftCell="B4" activePane="bottomRight" state="frozen"/>
      <selection pane="topRight" activeCell="B1" sqref="B1"/>
      <selection pane="bottomLeft" activeCell="A4" sqref="A4"/>
      <selection pane="bottomRight" activeCell="F8" sqref="F8"/>
    </sheetView>
  </sheetViews>
  <sheetFormatPr defaultColWidth="9.1796875" defaultRowHeight="16"/>
  <cols>
    <col min="1" max="1" width="9.26953125" style="542" customWidth="1"/>
    <col min="2" max="2" width="2.7265625" style="542" customWidth="1"/>
    <col min="3" max="5" width="15.1796875" style="542" customWidth="1"/>
    <col min="6" max="6" width="72.7265625" style="542" customWidth="1"/>
    <col min="7" max="7" width="2.7265625" style="542" customWidth="1"/>
    <col min="8" max="8" width="9.1796875" style="542" hidden="1" customWidth="1"/>
    <col min="9" max="10" width="3.1796875" style="542" hidden="1" customWidth="1"/>
    <col min="11" max="11" width="4.54296875" style="542" hidden="1" customWidth="1"/>
    <col min="12" max="12" width="23.453125" style="542" hidden="1" customWidth="1"/>
    <col min="13" max="13" width="8.7265625" style="542" hidden="1" customWidth="1"/>
    <col min="14" max="14" width="9.26953125" style="542" hidden="1" customWidth="1"/>
    <col min="15" max="15" width="23.453125" style="542" hidden="1" customWidth="1"/>
    <col min="16" max="16" width="30.81640625" style="542" hidden="1" customWidth="1"/>
    <col min="17" max="23" width="3" style="542" hidden="1" customWidth="1"/>
    <col min="24" max="24" width="3.1796875" style="542" hidden="1" customWidth="1"/>
    <col min="25" max="28" width="20.7265625" style="542" hidden="1" customWidth="1"/>
    <col min="29" max="29" width="83.81640625" style="542" hidden="1" customWidth="1"/>
    <col min="30" max="30" width="57.1796875" style="542" hidden="1" customWidth="1"/>
    <col min="31" max="31" width="3.1796875" style="542" hidden="1" customWidth="1"/>
    <col min="32" max="32" width="5.81640625" style="542" hidden="1" customWidth="1"/>
    <col min="33" max="33" width="9" style="542" hidden="1" customWidth="1"/>
    <col min="34" max="34" width="44.1796875" style="542" hidden="1" customWidth="1"/>
    <col min="35" max="35" width="5.7265625" style="542" hidden="1" customWidth="1"/>
    <col min="36" max="36" width="3.1796875" style="542" hidden="1" customWidth="1"/>
    <col min="37" max="37" width="9.1796875" style="542" hidden="1" customWidth="1"/>
    <col min="38" max="16384" width="9.1796875" style="542"/>
  </cols>
  <sheetData>
    <row r="1" spans="1:36" s="18" customFormat="1" ht="32.5">
      <c r="A1" s="176" t="s">
        <v>12</v>
      </c>
      <c r="C1" s="174"/>
      <c r="D1" s="175"/>
      <c r="E1" s="31"/>
      <c r="F1" s="31"/>
      <c r="G1" s="31"/>
      <c r="H1" s="21"/>
      <c r="K1" s="21"/>
      <c r="L1" s="21"/>
    </row>
    <row r="2" spans="1:36" s="18" customFormat="1" ht="21">
      <c r="A2" s="33" t="s">
        <v>877</v>
      </c>
      <c r="B2" s="28" t="s">
        <v>969</v>
      </c>
      <c r="C2" s="28"/>
      <c r="D2" s="28"/>
      <c r="E2" s="28"/>
      <c r="F2" s="28"/>
      <c r="G2" s="28"/>
      <c r="H2" s="21"/>
      <c r="I2" s="463" t="s">
        <v>970</v>
      </c>
      <c r="J2" s="463"/>
      <c r="K2" s="463"/>
      <c r="L2" s="463"/>
      <c r="M2" s="463"/>
      <c r="N2" s="463"/>
      <c r="O2" s="463"/>
      <c r="P2" s="463"/>
      <c r="Q2" s="463"/>
      <c r="R2" s="463"/>
      <c r="S2" s="463"/>
      <c r="T2" s="463"/>
      <c r="U2" s="463"/>
      <c r="V2" s="463"/>
      <c r="W2" s="463"/>
      <c r="X2" s="463"/>
      <c r="Y2" s="463"/>
      <c r="Z2" s="463"/>
      <c r="AA2" s="463"/>
      <c r="AB2" s="463"/>
      <c r="AC2" s="463"/>
      <c r="AD2" s="463"/>
      <c r="AE2" s="463"/>
      <c r="AF2" s="463"/>
      <c r="AG2" s="463"/>
      <c r="AH2" s="463"/>
      <c r="AI2" s="463"/>
      <c r="AJ2" s="463"/>
    </row>
    <row r="3" spans="1:36" s="18" customFormat="1" ht="17.5">
      <c r="A3" s="29"/>
      <c r="B3" s="1687">
        <v>44698</v>
      </c>
      <c r="C3" s="1688"/>
      <c r="D3" s="1713"/>
      <c r="E3" s="29"/>
      <c r="F3" s="29"/>
      <c r="G3" s="29"/>
      <c r="H3" s="29"/>
      <c r="I3" s="18" t="str">
        <f>"vanaf rij "&amp;ROW(I45)</f>
        <v>vanaf rij 45</v>
      </c>
      <c r="J3" s="29"/>
      <c r="K3" s="29"/>
      <c r="L3" s="29"/>
      <c r="N3" s="29"/>
      <c r="O3" s="29"/>
      <c r="P3" s="29"/>
      <c r="Y3" s="29"/>
    </row>
    <row r="4" spans="1:36">
      <c r="B4" s="35"/>
      <c r="C4" s="398"/>
      <c r="D4" s="398"/>
      <c r="E4" s="398"/>
      <c r="F4" s="35"/>
      <c r="G4" s="35"/>
    </row>
    <row r="5" spans="1:36">
      <c r="B5" s="35"/>
      <c r="C5" s="1744" t="s">
        <v>971</v>
      </c>
      <c r="D5" s="1772"/>
      <c r="E5" s="1772"/>
      <c r="F5" s="35"/>
      <c r="G5" s="35"/>
    </row>
    <row r="6" spans="1:36">
      <c r="B6" s="35"/>
      <c r="C6" s="398"/>
      <c r="D6" s="398"/>
      <c r="E6" s="398"/>
      <c r="F6" s="35"/>
      <c r="G6" s="35"/>
    </row>
    <row r="7" spans="1:36">
      <c r="B7" s="35"/>
      <c r="C7" s="398" t="s">
        <v>972</v>
      </c>
      <c r="D7" s="398"/>
      <c r="E7" s="398"/>
      <c r="F7" s="35"/>
      <c r="G7" s="35"/>
    </row>
    <row r="8" spans="1:36" s="654" customFormat="1" ht="17.5">
      <c r="A8" s="662"/>
      <c r="B8" s="398"/>
      <c r="C8" s="656" t="s">
        <v>973</v>
      </c>
      <c r="D8" s="656"/>
      <c r="E8" s="656"/>
      <c r="F8" s="659"/>
      <c r="G8" s="398"/>
    </row>
    <row r="9" spans="1:36">
      <c r="B9" s="35"/>
      <c r="C9" s="656" t="s">
        <v>617</v>
      </c>
      <c r="D9" s="104"/>
      <c r="E9" s="656"/>
      <c r="F9" s="657" t="e">
        <f>INDEX($K$48:$K$71,MATCH(F8,$L$48:$L$71,0))</f>
        <v>#N/A</v>
      </c>
      <c r="G9" s="35"/>
      <c r="H9" s="654"/>
    </row>
    <row r="10" spans="1:36">
      <c r="B10" s="35"/>
      <c r="C10" s="656" t="s">
        <v>974</v>
      </c>
      <c r="D10" s="104"/>
      <c r="E10" s="656"/>
      <c r="F10" s="455" t="e">
        <f>VLOOKUP(F$8,$L$47:$AJ$71,MATCH($C10,$L$47:$AI$47,0),FALSE)</f>
        <v>#N/A</v>
      </c>
      <c r="G10" s="35"/>
      <c r="H10" s="654"/>
    </row>
    <row r="11" spans="1:36">
      <c r="B11" s="35"/>
      <c r="C11" s="656" t="s">
        <v>975</v>
      </c>
      <c r="D11" s="104"/>
      <c r="E11" s="656"/>
      <c r="F11" s="455" t="e">
        <f>VLOOKUP(F$8,$L$47:$AJ$71,MATCH($C11,$L$47:$AI$47,0),FALSE)</f>
        <v>#N/A</v>
      </c>
      <c r="G11" s="35"/>
    </row>
    <row r="12" spans="1:36">
      <c r="B12" s="35"/>
      <c r="C12" s="656" t="s">
        <v>16</v>
      </c>
      <c r="D12" s="104"/>
      <c r="E12" s="656"/>
      <c r="F12" s="455" t="e">
        <f>VLOOKUP(F$8,$L$47:$AJ$71,MATCH($C12,$L$47:$AI$47,0),FALSE)</f>
        <v>#N/A</v>
      </c>
      <c r="G12" s="35"/>
    </row>
    <row r="13" spans="1:36">
      <c r="B13" s="35"/>
      <c r="C13" s="656" t="s">
        <v>976</v>
      </c>
      <c r="D13" s="104"/>
      <c r="E13" s="656"/>
      <c r="F13" s="455" t="e">
        <f>VLOOKUP(F$8,$L$47:$AJ$71,MATCH($C13,$L$47:$AI$47,0),FALSE)</f>
        <v>#N/A</v>
      </c>
      <c r="G13" s="35"/>
    </row>
    <row r="14" spans="1:36">
      <c r="B14" s="35"/>
      <c r="C14" s="398"/>
      <c r="D14" s="35"/>
      <c r="E14" s="398"/>
      <c r="F14" s="658"/>
      <c r="G14" s="35"/>
    </row>
    <row r="15" spans="1:36">
      <c r="B15" s="35"/>
      <c r="C15" s="398" t="s">
        <v>977</v>
      </c>
      <c r="D15" s="35"/>
      <c r="E15" s="398"/>
      <c r="F15" s="658"/>
      <c r="G15" s="35"/>
    </row>
    <row r="16" spans="1:36">
      <c r="B16" s="35"/>
      <c r="C16" s="656" t="s">
        <v>978</v>
      </c>
      <c r="D16" s="104"/>
      <c r="E16" s="656"/>
      <c r="F16" s="455" t="e">
        <f t="shared" ref="F16:F18" si="0">VLOOKUP(F$8,$L$47:$AJ$71,MATCH($C16,$L$47:$AI$47,0),FALSE)</f>
        <v>#N/A</v>
      </c>
      <c r="G16" s="35"/>
    </row>
    <row r="17" spans="2:7">
      <c r="B17" s="35"/>
      <c r="C17" s="656" t="s">
        <v>979</v>
      </c>
      <c r="D17" s="104"/>
      <c r="E17" s="656"/>
      <c r="F17" s="455" t="e">
        <f t="shared" si="0"/>
        <v>#N/A</v>
      </c>
      <c r="G17" s="35"/>
    </row>
    <row r="18" spans="2:7">
      <c r="B18" s="35"/>
      <c r="C18" s="656" t="s">
        <v>980</v>
      </c>
      <c r="D18" s="104"/>
      <c r="E18" s="656"/>
      <c r="F18" s="455" t="e">
        <f t="shared" si="0"/>
        <v>#N/A</v>
      </c>
      <c r="G18" s="35"/>
    </row>
    <row r="19" spans="2:7">
      <c r="B19" s="35"/>
      <c r="C19" s="398"/>
      <c r="D19" s="35"/>
      <c r="E19" s="398"/>
      <c r="F19" s="658"/>
      <c r="G19" s="35"/>
    </row>
    <row r="20" spans="2:7">
      <c r="B20" s="35"/>
      <c r="C20" s="398" t="s">
        <v>981</v>
      </c>
      <c r="D20" s="35"/>
      <c r="E20" s="398"/>
      <c r="F20" s="658"/>
      <c r="G20" s="35"/>
    </row>
    <row r="21" spans="2:7">
      <c r="B21" s="35"/>
      <c r="C21" s="656" t="s">
        <v>982</v>
      </c>
      <c r="D21" s="104"/>
      <c r="E21" s="656"/>
      <c r="F21" s="455" t="e">
        <f t="shared" ref="F21:F22" si="1">VLOOKUP(F$8,$L$47:$AJ$71,MATCH($C21,$L$47:$AI$47,0),FALSE)</f>
        <v>#N/A</v>
      </c>
      <c r="G21" s="35"/>
    </row>
    <row r="22" spans="2:7">
      <c r="B22" s="35"/>
      <c r="C22" s="656" t="s">
        <v>983</v>
      </c>
      <c r="D22" s="104"/>
      <c r="E22" s="656"/>
      <c r="F22" s="455" t="e">
        <f t="shared" si="1"/>
        <v>#N/A</v>
      </c>
      <c r="G22" s="35"/>
    </row>
    <row r="23" spans="2:7">
      <c r="B23" s="35"/>
      <c r="C23" s="398"/>
      <c r="D23" s="35"/>
      <c r="E23" s="398"/>
      <c r="F23" s="658"/>
      <c r="G23" s="35"/>
    </row>
    <row r="24" spans="2:7">
      <c r="B24" s="35"/>
      <c r="C24" s="660" t="s">
        <v>984</v>
      </c>
      <c r="D24" s="547"/>
      <c r="E24" s="660"/>
      <c r="F24" s="661"/>
      <c r="G24" s="35"/>
    </row>
    <row r="25" spans="2:7">
      <c r="B25" s="35"/>
      <c r="C25" s="656" t="s">
        <v>985</v>
      </c>
      <c r="D25" s="104"/>
      <c r="E25" s="656"/>
      <c r="F25" s="455" t="e">
        <f t="shared" ref="F25:F26" si="2">VLOOKUP(F$8,$L$47:$AJ$71,MATCH($C25,$L$47:$AI$47,0),FALSE)</f>
        <v>#N/A</v>
      </c>
      <c r="G25" s="35"/>
    </row>
    <row r="26" spans="2:7">
      <c r="B26" s="35"/>
      <c r="C26" s="656" t="s">
        <v>986</v>
      </c>
      <c r="D26" s="104"/>
      <c r="E26" s="656"/>
      <c r="F26" s="455" t="e">
        <f t="shared" si="2"/>
        <v>#N/A</v>
      </c>
      <c r="G26" s="35"/>
    </row>
    <row r="27" spans="2:7">
      <c r="B27" s="35"/>
      <c r="C27" s="398"/>
      <c r="D27" s="35"/>
      <c r="E27" s="398"/>
      <c r="F27" s="658"/>
      <c r="G27" s="35"/>
    </row>
    <row r="28" spans="2:7">
      <c r="B28" s="35"/>
      <c r="C28" s="398" t="s">
        <v>987</v>
      </c>
      <c r="D28" s="35"/>
      <c r="E28" s="398"/>
      <c r="F28" s="658"/>
      <c r="G28" s="35"/>
    </row>
    <row r="29" spans="2:7">
      <c r="B29" s="35"/>
      <c r="C29" s="656" t="s">
        <v>988</v>
      </c>
      <c r="D29" s="104"/>
      <c r="E29" s="656"/>
      <c r="F29" s="455" t="e">
        <f t="shared" ref="F29:F32" si="3">VLOOKUP(F$8,$L$47:$AJ$71,MATCH($C29,$L$47:$AI$47,0),FALSE)</f>
        <v>#N/A</v>
      </c>
      <c r="G29" s="35"/>
    </row>
    <row r="30" spans="2:7">
      <c r="B30" s="35"/>
      <c r="C30" s="656" t="s">
        <v>989</v>
      </c>
      <c r="D30" s="104"/>
      <c r="E30" s="656"/>
      <c r="F30" s="455" t="e">
        <f t="shared" si="3"/>
        <v>#N/A</v>
      </c>
      <c r="G30" s="35"/>
    </row>
    <row r="31" spans="2:7">
      <c r="B31" s="35"/>
      <c r="C31" s="656" t="s">
        <v>990</v>
      </c>
      <c r="D31" s="104"/>
      <c r="E31" s="656"/>
      <c r="F31" s="455" t="e">
        <f t="shared" si="3"/>
        <v>#N/A</v>
      </c>
      <c r="G31" s="35"/>
    </row>
    <row r="32" spans="2:7">
      <c r="B32" s="35"/>
      <c r="C32" s="656" t="s">
        <v>991</v>
      </c>
      <c r="D32" s="104"/>
      <c r="E32" s="656"/>
      <c r="F32" s="455" t="e">
        <f t="shared" si="3"/>
        <v>#N/A</v>
      </c>
      <c r="G32" s="35"/>
    </row>
    <row r="33" spans="2:36">
      <c r="B33" s="35"/>
      <c r="C33" s="398"/>
      <c r="D33" s="35"/>
      <c r="E33" s="398"/>
      <c r="F33" s="658"/>
      <c r="G33" s="35"/>
    </row>
    <row r="34" spans="2:36">
      <c r="B34" s="35"/>
      <c r="C34" s="398" t="s">
        <v>992</v>
      </c>
      <c r="D34" s="35"/>
      <c r="E34" s="398"/>
      <c r="F34" s="658"/>
      <c r="G34" s="35"/>
    </row>
    <row r="35" spans="2:36">
      <c r="B35" s="35"/>
      <c r="C35" s="656" t="s">
        <v>992</v>
      </c>
      <c r="D35" s="104"/>
      <c r="E35" s="656"/>
      <c r="F35" s="455" t="e">
        <f t="shared" ref="F35:F36" si="4">VLOOKUP(F$8,$L$47:$AJ$71,MATCH($C35,$L$47:$AI$47,0),FALSE)</f>
        <v>#N/A</v>
      </c>
      <c r="G35" s="35"/>
    </row>
    <row r="36" spans="2:36">
      <c r="B36" s="35"/>
      <c r="C36" s="656" t="s">
        <v>993</v>
      </c>
      <c r="D36" s="104"/>
      <c r="E36" s="656"/>
      <c r="F36" s="455" t="e">
        <f t="shared" si="4"/>
        <v>#N/A</v>
      </c>
      <c r="G36" s="35"/>
    </row>
    <row r="37" spans="2:36">
      <c r="B37" s="35"/>
      <c r="C37" s="398"/>
      <c r="D37" s="35"/>
      <c r="E37" s="398"/>
      <c r="F37" s="658"/>
      <c r="G37" s="35"/>
    </row>
    <row r="38" spans="2:36">
      <c r="B38" s="35"/>
      <c r="C38" s="398" t="s">
        <v>994</v>
      </c>
      <c r="D38" s="35"/>
      <c r="E38" s="398"/>
      <c r="F38" s="658"/>
      <c r="G38" s="35"/>
    </row>
    <row r="39" spans="2:36">
      <c r="B39" s="35"/>
      <c r="C39" s="656" t="s">
        <v>995</v>
      </c>
      <c r="D39" s="104"/>
      <c r="E39" s="656"/>
      <c r="F39" s="455" t="e">
        <f t="shared" ref="F39:F42" si="5">VLOOKUP(F$8,$L$47:$AJ$71,MATCH($C39,$L$47:$AI$47,0),FALSE)</f>
        <v>#N/A</v>
      </c>
      <c r="G39" s="35"/>
    </row>
    <row r="40" spans="2:36">
      <c r="B40" s="35"/>
      <c r="C40" s="656" t="s">
        <v>996</v>
      </c>
      <c r="D40" s="104"/>
      <c r="E40" s="656"/>
      <c r="F40" s="455" t="e">
        <f t="shared" si="5"/>
        <v>#N/A</v>
      </c>
      <c r="G40" s="35"/>
    </row>
    <row r="41" spans="2:36">
      <c r="B41" s="35"/>
      <c r="C41" s="656" t="s">
        <v>997</v>
      </c>
      <c r="D41" s="104"/>
      <c r="E41" s="656"/>
      <c r="F41" s="455" t="e">
        <f t="shared" si="5"/>
        <v>#N/A</v>
      </c>
      <c r="G41" s="35"/>
    </row>
    <row r="42" spans="2:36">
      <c r="B42" s="35"/>
      <c r="C42" s="656" t="s">
        <v>976</v>
      </c>
      <c r="D42" s="104"/>
      <c r="E42" s="656"/>
      <c r="F42" s="455" t="e">
        <f t="shared" si="5"/>
        <v>#N/A</v>
      </c>
      <c r="G42" s="35"/>
    </row>
    <row r="43" spans="2:36">
      <c r="B43" s="35"/>
      <c r="C43" s="35"/>
      <c r="D43" s="35"/>
      <c r="E43" s="35"/>
      <c r="F43" s="35"/>
      <c r="G43" s="35"/>
    </row>
    <row r="44" spans="2:36">
      <c r="B44" s="141" t="str">
        <f>"© W/E adviseurs, Utrecht/Eindhoven, versie rekenhulpmiddelen "&amp;TEXT(Wijzigingsblad!$B$3,"d mmmm jjjj")</f>
        <v>© W/E adviseurs, Utrecht/Eindhoven, versie rekenhulpmiddelen 17 april 2024</v>
      </c>
      <c r="C44" s="655"/>
    </row>
    <row r="45" spans="2:36" ht="14.25" hidden="1" customHeight="1">
      <c r="I45" s="1746"/>
      <c r="J45" s="1759" t="s">
        <v>998</v>
      </c>
      <c r="K45" s="1760"/>
      <c r="L45" s="1760"/>
      <c r="M45" s="1760"/>
      <c r="N45" s="1760"/>
      <c r="O45" s="593"/>
      <c r="P45" s="594"/>
      <c r="Q45" s="1763" t="s">
        <v>977</v>
      </c>
      <c r="R45" s="1764"/>
      <c r="S45" s="1765"/>
      <c r="T45" s="1763" t="s">
        <v>981</v>
      </c>
      <c r="U45" s="1765"/>
      <c r="V45" s="1763" t="s">
        <v>984</v>
      </c>
      <c r="W45" s="1765"/>
      <c r="X45" s="1746"/>
      <c r="Y45" s="1753" t="s">
        <v>987</v>
      </c>
      <c r="Z45" s="1754"/>
      <c r="AA45" s="1754"/>
      <c r="AB45" s="1755"/>
      <c r="AC45" s="1748" t="s">
        <v>992</v>
      </c>
      <c r="AD45" s="1749"/>
      <c r="AE45" s="1752"/>
      <c r="AF45" s="1753" t="s">
        <v>994</v>
      </c>
      <c r="AG45" s="1754"/>
      <c r="AH45" s="1754"/>
      <c r="AI45" s="1755"/>
      <c r="AJ45" s="595"/>
    </row>
    <row r="46" spans="2:36" ht="15" hidden="1" customHeight="1" thickBot="1">
      <c r="I46" s="1746"/>
      <c r="J46" s="1761"/>
      <c r="K46" s="1762"/>
      <c r="L46" s="1762"/>
      <c r="M46" s="1762"/>
      <c r="N46" s="1762"/>
      <c r="O46" s="596"/>
      <c r="P46" s="597" t="s">
        <v>999</v>
      </c>
      <c r="Q46" s="1766"/>
      <c r="R46" s="1767"/>
      <c r="S46" s="1768"/>
      <c r="T46" s="1766"/>
      <c r="U46" s="1768"/>
      <c r="V46" s="1766"/>
      <c r="W46" s="1768"/>
      <c r="X46" s="1746"/>
      <c r="Y46" s="1769"/>
      <c r="Z46" s="1770"/>
      <c r="AA46" s="1770"/>
      <c r="AB46" s="1771"/>
      <c r="AC46" s="1750"/>
      <c r="AD46" s="1751"/>
      <c r="AE46" s="1752"/>
      <c r="AF46" s="1756"/>
      <c r="AG46" s="1757"/>
      <c r="AH46" s="1757"/>
      <c r="AI46" s="1758"/>
      <c r="AJ46" s="598"/>
    </row>
    <row r="47" spans="2:36" s="654" customFormat="1" ht="166.5" hidden="1">
      <c r="I47" s="1747"/>
      <c r="J47" s="663"/>
      <c r="K47" s="664" t="s">
        <v>617</v>
      </c>
      <c r="L47" s="665" t="s">
        <v>973</v>
      </c>
      <c r="M47" s="666" t="s">
        <v>974</v>
      </c>
      <c r="N47" s="667" t="s">
        <v>975</v>
      </c>
      <c r="O47" s="666" t="s">
        <v>16</v>
      </c>
      <c r="P47" s="667" t="s">
        <v>976</v>
      </c>
      <c r="Q47" s="668" t="s">
        <v>978</v>
      </c>
      <c r="R47" s="669" t="s">
        <v>979</v>
      </c>
      <c r="S47" s="670" t="s">
        <v>980</v>
      </c>
      <c r="T47" s="668" t="s">
        <v>982</v>
      </c>
      <c r="U47" s="670" t="s">
        <v>983</v>
      </c>
      <c r="V47" s="668" t="s">
        <v>985</v>
      </c>
      <c r="W47" s="670" t="s">
        <v>986</v>
      </c>
      <c r="X47" s="1747"/>
      <c r="Y47" s="671" t="s">
        <v>988</v>
      </c>
      <c r="Z47" s="672" t="s">
        <v>989</v>
      </c>
      <c r="AA47" s="672" t="s">
        <v>990</v>
      </c>
      <c r="AB47" s="673" t="s">
        <v>991</v>
      </c>
      <c r="AC47" s="674" t="s">
        <v>992</v>
      </c>
      <c r="AD47" s="675" t="s">
        <v>1000</v>
      </c>
      <c r="AE47" s="1752"/>
      <c r="AF47" s="676" t="s">
        <v>995</v>
      </c>
      <c r="AG47" s="677" t="s">
        <v>996</v>
      </c>
      <c r="AH47" s="678" t="s">
        <v>997</v>
      </c>
      <c r="AI47" s="679" t="s">
        <v>976</v>
      </c>
      <c r="AJ47" s="680"/>
    </row>
    <row r="48" spans="2:36" ht="60" hidden="1">
      <c r="I48" s="605"/>
      <c r="J48" s="599" t="s">
        <v>164</v>
      </c>
      <c r="K48" s="652" t="s">
        <v>1001</v>
      </c>
      <c r="L48" s="600" t="s">
        <v>1002</v>
      </c>
      <c r="M48" s="601" t="s">
        <v>1003</v>
      </c>
      <c r="N48" s="601" t="s">
        <v>1004</v>
      </c>
      <c r="O48" s="601" t="s">
        <v>1005</v>
      </c>
      <c r="P48" s="601" t="s">
        <v>1006</v>
      </c>
      <c r="Q48" s="602"/>
      <c r="R48" s="603">
        <v>1</v>
      </c>
      <c r="S48" s="604">
        <v>1</v>
      </c>
      <c r="T48" s="602">
        <v>1</v>
      </c>
      <c r="U48" s="604">
        <v>1</v>
      </c>
      <c r="V48" s="602">
        <v>1</v>
      </c>
      <c r="W48" s="604">
        <v>1</v>
      </c>
      <c r="X48" s="605"/>
      <c r="Y48" s="606" t="s">
        <v>1007</v>
      </c>
      <c r="Z48" s="607" t="s">
        <v>1008</v>
      </c>
      <c r="AA48" s="607" t="s">
        <v>1009</v>
      </c>
      <c r="AB48" s="608" t="s">
        <v>1010</v>
      </c>
      <c r="AC48" s="609" t="s">
        <v>1011</v>
      </c>
      <c r="AD48" s="610" t="s">
        <v>1012</v>
      </c>
      <c r="AE48" s="605"/>
      <c r="AF48" s="606" t="s">
        <v>1013</v>
      </c>
      <c r="AG48" s="607" t="s">
        <v>1014</v>
      </c>
      <c r="AH48" s="611"/>
      <c r="AI48" s="608">
        <v>3</v>
      </c>
      <c r="AJ48" s="605"/>
    </row>
    <row r="49" spans="9:36" ht="60" hidden="1">
      <c r="I49" s="605"/>
      <c r="J49" s="612" t="s">
        <v>1015</v>
      </c>
      <c r="K49" s="653" t="s">
        <v>1016</v>
      </c>
      <c r="L49" s="613" t="s">
        <v>1017</v>
      </c>
      <c r="M49" s="614" t="s">
        <v>1003</v>
      </c>
      <c r="N49" s="614" t="s">
        <v>1018</v>
      </c>
      <c r="O49" s="614" t="s">
        <v>1019</v>
      </c>
      <c r="P49" s="614" t="s">
        <v>1020</v>
      </c>
      <c r="Q49" s="615"/>
      <c r="R49" s="616">
        <v>1</v>
      </c>
      <c r="S49" s="617">
        <v>1</v>
      </c>
      <c r="T49" s="615">
        <v>1</v>
      </c>
      <c r="U49" s="617">
        <v>1</v>
      </c>
      <c r="V49" s="615">
        <v>1</v>
      </c>
      <c r="W49" s="617">
        <v>1</v>
      </c>
      <c r="X49" s="605"/>
      <c r="Y49" s="618" t="s">
        <v>1021</v>
      </c>
      <c r="Z49" s="619" t="s">
        <v>1022</v>
      </c>
      <c r="AA49" s="619" t="s">
        <v>1023</v>
      </c>
      <c r="AB49" s="620" t="s">
        <v>1024</v>
      </c>
      <c r="AC49" s="621" t="s">
        <v>1025</v>
      </c>
      <c r="AD49" s="622" t="s">
        <v>1026</v>
      </c>
      <c r="AE49" s="605"/>
      <c r="AF49" s="618" t="s">
        <v>1013</v>
      </c>
      <c r="AG49" s="619"/>
      <c r="AH49" s="623"/>
      <c r="AI49" s="620">
        <v>3</v>
      </c>
      <c r="AJ49" s="605"/>
    </row>
    <row r="50" spans="9:36" ht="70" hidden="1">
      <c r="I50" s="605"/>
      <c r="J50" s="612">
        <v>2</v>
      </c>
      <c r="K50" s="653" t="s">
        <v>1027</v>
      </c>
      <c r="L50" s="613" t="s">
        <v>1028</v>
      </c>
      <c r="M50" s="614" t="s">
        <v>1003</v>
      </c>
      <c r="N50" s="614" t="s">
        <v>1029</v>
      </c>
      <c r="O50" s="614" t="s">
        <v>1030</v>
      </c>
      <c r="P50" s="614" t="s">
        <v>1031</v>
      </c>
      <c r="Q50" s="615"/>
      <c r="R50" s="616">
        <v>1</v>
      </c>
      <c r="S50" s="617"/>
      <c r="T50" s="615">
        <v>1</v>
      </c>
      <c r="U50" s="617">
        <v>1</v>
      </c>
      <c r="V50" s="615">
        <v>1</v>
      </c>
      <c r="W50" s="617">
        <v>1</v>
      </c>
      <c r="X50" s="605"/>
      <c r="Y50" s="624" t="s">
        <v>1032</v>
      </c>
      <c r="Z50" s="625" t="s">
        <v>1033</v>
      </c>
      <c r="AA50" s="625" t="s">
        <v>1034</v>
      </c>
      <c r="AB50" s="626" t="s">
        <v>1035</v>
      </c>
      <c r="AC50" s="609" t="s">
        <v>1036</v>
      </c>
      <c r="AD50" s="610"/>
      <c r="AE50" s="605"/>
      <c r="AF50" s="624" t="s">
        <v>1037</v>
      </c>
      <c r="AG50" s="625"/>
      <c r="AH50" s="627"/>
      <c r="AI50" s="626">
        <v>3</v>
      </c>
      <c r="AJ50" s="605"/>
    </row>
    <row r="51" spans="9:36" ht="70" hidden="1">
      <c r="I51" s="605"/>
      <c r="J51" s="612">
        <v>2</v>
      </c>
      <c r="K51" s="653" t="s">
        <v>1038</v>
      </c>
      <c r="L51" s="613" t="s">
        <v>1039</v>
      </c>
      <c r="M51" s="614" t="s">
        <v>1003</v>
      </c>
      <c r="N51" s="614" t="s">
        <v>1029</v>
      </c>
      <c r="O51" s="614" t="s">
        <v>1040</v>
      </c>
      <c r="P51" s="614" t="s">
        <v>1041</v>
      </c>
      <c r="Q51" s="615"/>
      <c r="R51" s="616">
        <v>1</v>
      </c>
      <c r="S51" s="617"/>
      <c r="T51" s="615">
        <v>1</v>
      </c>
      <c r="U51" s="617">
        <v>1</v>
      </c>
      <c r="V51" s="615">
        <v>1</v>
      </c>
      <c r="W51" s="617">
        <v>1</v>
      </c>
      <c r="X51" s="605"/>
      <c r="Y51" s="624" t="s">
        <v>1032</v>
      </c>
      <c r="Z51" s="625" t="s">
        <v>1042</v>
      </c>
      <c r="AA51" s="625" t="s">
        <v>1043</v>
      </c>
      <c r="AB51" s="626" t="s">
        <v>1044</v>
      </c>
      <c r="AC51" s="609" t="s">
        <v>1045</v>
      </c>
      <c r="AD51" s="610"/>
      <c r="AE51" s="605"/>
      <c r="AF51" s="624" t="s">
        <v>1037</v>
      </c>
      <c r="AG51" s="625"/>
      <c r="AH51" s="627"/>
      <c r="AI51" s="626">
        <v>3</v>
      </c>
      <c r="AJ51" s="605"/>
    </row>
    <row r="52" spans="9:36" ht="70" hidden="1">
      <c r="I52" s="605"/>
      <c r="J52" s="612">
        <v>3</v>
      </c>
      <c r="K52" s="653" t="s">
        <v>1046</v>
      </c>
      <c r="L52" s="613" t="s">
        <v>1047</v>
      </c>
      <c r="M52" s="614" t="s">
        <v>1003</v>
      </c>
      <c r="N52" s="614" t="s">
        <v>1029</v>
      </c>
      <c r="O52" s="614" t="s">
        <v>1048</v>
      </c>
      <c r="P52" s="614" t="s">
        <v>1049</v>
      </c>
      <c r="Q52" s="615"/>
      <c r="R52" s="616"/>
      <c r="S52" s="617"/>
      <c r="T52" s="615">
        <v>1</v>
      </c>
      <c r="U52" s="617">
        <v>1</v>
      </c>
      <c r="V52" s="615">
        <v>1</v>
      </c>
      <c r="W52" s="617">
        <v>1</v>
      </c>
      <c r="X52" s="605"/>
      <c r="Y52" s="628" t="s">
        <v>1050</v>
      </c>
      <c r="Z52" s="629" t="s">
        <v>1051</v>
      </c>
      <c r="AA52" s="629" t="s">
        <v>1052</v>
      </c>
      <c r="AB52" s="630" t="s">
        <v>1053</v>
      </c>
      <c r="AC52" s="631" t="s">
        <v>1054</v>
      </c>
      <c r="AD52" s="632"/>
      <c r="AE52" s="605"/>
      <c r="AF52" s="628" t="s">
        <v>1055</v>
      </c>
      <c r="AG52" s="629"/>
      <c r="AH52" s="633" t="s">
        <v>1056</v>
      </c>
      <c r="AI52" s="630">
        <v>0</v>
      </c>
      <c r="AJ52" s="605"/>
    </row>
    <row r="53" spans="9:36" ht="50" hidden="1">
      <c r="I53" s="605"/>
      <c r="J53" s="612">
        <v>4</v>
      </c>
      <c r="K53" s="653" t="s">
        <v>1057</v>
      </c>
      <c r="L53" s="613" t="s">
        <v>1058</v>
      </c>
      <c r="M53" s="614" t="s">
        <v>1003</v>
      </c>
      <c r="N53" s="614" t="s">
        <v>1029</v>
      </c>
      <c r="O53" s="614" t="s">
        <v>1059</v>
      </c>
      <c r="P53" s="614" t="s">
        <v>1060</v>
      </c>
      <c r="Q53" s="615">
        <v>1</v>
      </c>
      <c r="R53" s="616"/>
      <c r="S53" s="617"/>
      <c r="T53" s="615"/>
      <c r="U53" s="617"/>
      <c r="V53" s="615"/>
      <c r="W53" s="617"/>
      <c r="X53" s="605"/>
      <c r="Y53" s="624" t="s">
        <v>1061</v>
      </c>
      <c r="Z53" s="634" t="s">
        <v>1062</v>
      </c>
      <c r="AA53" s="634" t="s">
        <v>1063</v>
      </c>
      <c r="AB53" s="635" t="s">
        <v>1064</v>
      </c>
      <c r="AC53" s="636" t="s">
        <v>1065</v>
      </c>
      <c r="AD53" s="637" t="s">
        <v>1066</v>
      </c>
      <c r="AE53" s="605"/>
      <c r="AF53" s="624" t="s">
        <v>1067</v>
      </c>
      <c r="AG53" s="634"/>
      <c r="AH53" s="638"/>
      <c r="AI53" s="635">
        <v>2</v>
      </c>
      <c r="AJ53" s="605"/>
    </row>
    <row r="54" spans="9:36" ht="50" hidden="1">
      <c r="I54" s="605"/>
      <c r="J54" s="612" t="s">
        <v>1068</v>
      </c>
      <c r="K54" s="653" t="s">
        <v>1069</v>
      </c>
      <c r="L54" s="613" t="s">
        <v>1070</v>
      </c>
      <c r="M54" s="614" t="s">
        <v>1003</v>
      </c>
      <c r="N54" s="614" t="s">
        <v>1029</v>
      </c>
      <c r="O54" s="614" t="s">
        <v>1071</v>
      </c>
      <c r="P54" s="614" t="s">
        <v>1072</v>
      </c>
      <c r="Q54" s="615">
        <v>1</v>
      </c>
      <c r="R54" s="616"/>
      <c r="S54" s="617"/>
      <c r="T54" s="615"/>
      <c r="U54" s="617"/>
      <c r="V54" s="615"/>
      <c r="W54" s="617"/>
      <c r="X54" s="605"/>
      <c r="Y54" s="628" t="s">
        <v>1073</v>
      </c>
      <c r="Z54" s="634" t="s">
        <v>1074</v>
      </c>
      <c r="AA54" s="634" t="s">
        <v>1075</v>
      </c>
      <c r="AB54" s="635" t="s">
        <v>1076</v>
      </c>
      <c r="AC54" s="636" t="s">
        <v>1077</v>
      </c>
      <c r="AD54" s="637" t="s">
        <v>1078</v>
      </c>
      <c r="AE54" s="605"/>
      <c r="AF54" s="628" t="s">
        <v>1079</v>
      </c>
      <c r="AG54" s="634" t="s">
        <v>1080</v>
      </c>
      <c r="AH54" s="638"/>
      <c r="AI54" s="635">
        <v>1</v>
      </c>
      <c r="AJ54" s="605"/>
    </row>
    <row r="55" spans="9:36" ht="40" hidden="1">
      <c r="I55" s="605"/>
      <c r="J55" s="612">
        <v>6</v>
      </c>
      <c r="K55" s="653" t="s">
        <v>1081</v>
      </c>
      <c r="L55" s="613" t="s">
        <v>1082</v>
      </c>
      <c r="M55" s="614" t="s">
        <v>1003</v>
      </c>
      <c r="N55" s="614" t="s">
        <v>1029</v>
      </c>
      <c r="O55" s="614" t="s">
        <v>1083</v>
      </c>
      <c r="P55" s="614" t="s">
        <v>1084</v>
      </c>
      <c r="Q55" s="615">
        <v>1</v>
      </c>
      <c r="R55" s="616">
        <v>1</v>
      </c>
      <c r="S55" s="617"/>
      <c r="T55" s="615">
        <v>1</v>
      </c>
      <c r="U55" s="617">
        <v>1</v>
      </c>
      <c r="V55" s="615">
        <v>1</v>
      </c>
      <c r="W55" s="617"/>
      <c r="X55" s="605"/>
      <c r="Y55" s="624" t="s">
        <v>1085</v>
      </c>
      <c r="Z55" s="625" t="s">
        <v>1086</v>
      </c>
      <c r="AA55" s="625" t="s">
        <v>1087</v>
      </c>
      <c r="AB55" s="626" t="s">
        <v>1088</v>
      </c>
      <c r="AC55" s="609" t="s">
        <v>1089</v>
      </c>
      <c r="AD55" s="610" t="s">
        <v>1090</v>
      </c>
      <c r="AE55" s="605"/>
      <c r="AF55" s="624" t="s">
        <v>1067</v>
      </c>
      <c r="AG55" s="625"/>
      <c r="AH55" s="627" t="s">
        <v>1091</v>
      </c>
      <c r="AI55" s="626">
        <v>3</v>
      </c>
      <c r="AJ55" s="605"/>
    </row>
    <row r="56" spans="9:36" ht="60" hidden="1">
      <c r="I56" s="605"/>
      <c r="J56" s="612">
        <v>7</v>
      </c>
      <c r="K56" s="653" t="s">
        <v>1092</v>
      </c>
      <c r="L56" s="613" t="s">
        <v>1093</v>
      </c>
      <c r="M56" s="614" t="s">
        <v>1003</v>
      </c>
      <c r="N56" s="614" t="s">
        <v>1029</v>
      </c>
      <c r="O56" s="614" t="s">
        <v>1094</v>
      </c>
      <c r="P56" s="614" t="s">
        <v>1095</v>
      </c>
      <c r="Q56" s="615"/>
      <c r="R56" s="616"/>
      <c r="S56" s="617">
        <v>1</v>
      </c>
      <c r="T56" s="615">
        <v>1</v>
      </c>
      <c r="U56" s="617">
        <v>1</v>
      </c>
      <c r="V56" s="615"/>
      <c r="W56" s="617">
        <v>1</v>
      </c>
      <c r="X56" s="605"/>
      <c r="Y56" s="624" t="s">
        <v>1096</v>
      </c>
      <c r="Z56" s="625" t="s">
        <v>1097</v>
      </c>
      <c r="AA56" s="625" t="s">
        <v>1098</v>
      </c>
      <c r="AB56" s="626" t="s">
        <v>1099</v>
      </c>
      <c r="AC56" s="609" t="s">
        <v>1100</v>
      </c>
      <c r="AD56" s="610"/>
      <c r="AE56" s="605"/>
      <c r="AF56" s="624" t="s">
        <v>1037</v>
      </c>
      <c r="AG56" s="625"/>
      <c r="AH56" s="627" t="s">
        <v>1101</v>
      </c>
      <c r="AI56" s="626">
        <v>3</v>
      </c>
      <c r="AJ56" s="605"/>
    </row>
    <row r="57" spans="9:36" ht="60" hidden="1">
      <c r="I57" s="605"/>
      <c r="J57" s="612">
        <v>9</v>
      </c>
      <c r="K57" s="653" t="s">
        <v>1102</v>
      </c>
      <c r="L57" s="613" t="s">
        <v>1103</v>
      </c>
      <c r="M57" s="614" t="s">
        <v>1003</v>
      </c>
      <c r="N57" s="614" t="s">
        <v>1029</v>
      </c>
      <c r="O57" s="614" t="s">
        <v>1104</v>
      </c>
      <c r="P57" s="614" t="s">
        <v>1105</v>
      </c>
      <c r="Q57" s="615"/>
      <c r="R57" s="616">
        <v>1</v>
      </c>
      <c r="S57" s="617">
        <v>1</v>
      </c>
      <c r="T57" s="615">
        <v>1</v>
      </c>
      <c r="U57" s="617">
        <v>1</v>
      </c>
      <c r="V57" s="615">
        <v>1</v>
      </c>
      <c r="W57" s="617"/>
      <c r="X57" s="605"/>
      <c r="Y57" s="618" t="s">
        <v>1106</v>
      </c>
      <c r="Z57" s="619" t="s">
        <v>1107</v>
      </c>
      <c r="AA57" s="619" t="s">
        <v>1108</v>
      </c>
      <c r="AB57" s="620" t="s">
        <v>1109</v>
      </c>
      <c r="AC57" s="621" t="s">
        <v>1110</v>
      </c>
      <c r="AD57" s="622"/>
      <c r="AE57" s="605"/>
      <c r="AF57" s="618" t="s">
        <v>1067</v>
      </c>
      <c r="AG57" s="619"/>
      <c r="AH57" s="623" t="s">
        <v>1111</v>
      </c>
      <c r="AI57" s="620"/>
      <c r="AJ57" s="605"/>
    </row>
    <row r="58" spans="9:36" ht="70" hidden="1">
      <c r="I58" s="605"/>
      <c r="J58" s="612">
        <v>10</v>
      </c>
      <c r="K58" s="653" t="s">
        <v>1112</v>
      </c>
      <c r="L58" s="613" t="s">
        <v>1113</v>
      </c>
      <c r="M58" s="614" t="s">
        <v>1003</v>
      </c>
      <c r="N58" s="614" t="s">
        <v>1029</v>
      </c>
      <c r="O58" s="614" t="s">
        <v>1114</v>
      </c>
      <c r="P58" s="614" t="s">
        <v>1115</v>
      </c>
      <c r="Q58" s="615"/>
      <c r="R58" s="616"/>
      <c r="S58" s="617"/>
      <c r="T58" s="615">
        <v>1</v>
      </c>
      <c r="U58" s="617"/>
      <c r="V58" s="615"/>
      <c r="W58" s="617"/>
      <c r="X58" s="605"/>
      <c r="Y58" s="624" t="s">
        <v>1116</v>
      </c>
      <c r="Z58" s="625" t="s">
        <v>1117</v>
      </c>
      <c r="AA58" s="625" t="s">
        <v>1118</v>
      </c>
      <c r="AB58" s="626" t="s">
        <v>1119</v>
      </c>
      <c r="AC58" s="609" t="s">
        <v>1120</v>
      </c>
      <c r="AD58" s="610"/>
      <c r="AE58" s="605"/>
      <c r="AF58" s="624" t="s">
        <v>1013</v>
      </c>
      <c r="AG58" s="625"/>
      <c r="AH58" s="627" t="s">
        <v>1121</v>
      </c>
      <c r="AI58" s="626">
        <v>1</v>
      </c>
      <c r="AJ58" s="605"/>
    </row>
    <row r="59" spans="9:36" ht="50" hidden="1">
      <c r="I59" s="605"/>
      <c r="J59" s="612">
        <v>11</v>
      </c>
      <c r="K59" s="653" t="s">
        <v>1122</v>
      </c>
      <c r="L59" s="613" t="s">
        <v>1123</v>
      </c>
      <c r="M59" s="614" t="s">
        <v>1003</v>
      </c>
      <c r="N59" s="614" t="s">
        <v>1029</v>
      </c>
      <c r="O59" s="614" t="s">
        <v>1124</v>
      </c>
      <c r="P59" s="614" t="s">
        <v>1125</v>
      </c>
      <c r="Q59" s="615"/>
      <c r="R59" s="616"/>
      <c r="S59" s="617"/>
      <c r="T59" s="615">
        <v>1</v>
      </c>
      <c r="U59" s="617"/>
      <c r="V59" s="615"/>
      <c r="W59" s="617">
        <v>1</v>
      </c>
      <c r="X59" s="605"/>
      <c r="Y59" s="624" t="s">
        <v>1126</v>
      </c>
      <c r="Z59" s="625" t="s">
        <v>1127</v>
      </c>
      <c r="AA59" s="625" t="s">
        <v>1128</v>
      </c>
      <c r="AB59" s="626" t="s">
        <v>1129</v>
      </c>
      <c r="AC59" s="609" t="s">
        <v>1130</v>
      </c>
      <c r="AD59" s="610"/>
      <c r="AE59" s="605"/>
      <c r="AF59" s="624" t="s">
        <v>1037</v>
      </c>
      <c r="AG59" s="625"/>
      <c r="AH59" s="627" t="s">
        <v>1131</v>
      </c>
      <c r="AI59" s="626">
        <v>1</v>
      </c>
      <c r="AJ59" s="605"/>
    </row>
    <row r="60" spans="9:36" ht="70" hidden="1">
      <c r="I60" s="605"/>
      <c r="J60" s="612">
        <v>12</v>
      </c>
      <c r="K60" s="653" t="s">
        <v>1132</v>
      </c>
      <c r="L60" s="613" t="s">
        <v>1133</v>
      </c>
      <c r="M60" s="614" t="s">
        <v>1003</v>
      </c>
      <c r="N60" s="614" t="s">
        <v>1029</v>
      </c>
      <c r="O60" s="614" t="s">
        <v>1134</v>
      </c>
      <c r="P60" s="614" t="s">
        <v>1135</v>
      </c>
      <c r="Q60" s="615"/>
      <c r="R60" s="616">
        <v>1</v>
      </c>
      <c r="S60" s="617"/>
      <c r="T60" s="615"/>
      <c r="U60" s="617"/>
      <c r="V60" s="615"/>
      <c r="W60" s="617"/>
      <c r="X60" s="605"/>
      <c r="Y60" s="618" t="s">
        <v>1136</v>
      </c>
      <c r="Z60" s="619" t="s">
        <v>1137</v>
      </c>
      <c r="AA60" s="619" t="s">
        <v>1138</v>
      </c>
      <c r="AB60" s="620" t="s">
        <v>1139</v>
      </c>
      <c r="AC60" s="621" t="s">
        <v>1140</v>
      </c>
      <c r="AD60" s="622"/>
      <c r="AE60" s="605"/>
      <c r="AF60" s="618" t="s">
        <v>1141</v>
      </c>
      <c r="AG60" s="619"/>
      <c r="AH60" s="623" t="s">
        <v>1142</v>
      </c>
      <c r="AI60" s="620"/>
      <c r="AJ60" s="605"/>
    </row>
    <row r="61" spans="9:36" ht="40" hidden="1">
      <c r="I61" s="605"/>
      <c r="J61" s="612">
        <v>13</v>
      </c>
      <c r="K61" s="653" t="s">
        <v>1143</v>
      </c>
      <c r="L61" s="613" t="s">
        <v>1144</v>
      </c>
      <c r="M61" s="614" t="s">
        <v>1003</v>
      </c>
      <c r="N61" s="614" t="s">
        <v>1029</v>
      </c>
      <c r="O61" s="614" t="s">
        <v>1145</v>
      </c>
      <c r="P61" s="614" t="s">
        <v>1146</v>
      </c>
      <c r="Q61" s="615"/>
      <c r="R61" s="616">
        <v>1</v>
      </c>
      <c r="S61" s="617"/>
      <c r="T61" s="615">
        <v>1</v>
      </c>
      <c r="U61" s="617"/>
      <c r="V61" s="615">
        <v>1</v>
      </c>
      <c r="W61" s="617"/>
      <c r="X61" s="605"/>
      <c r="Y61" s="624" t="s">
        <v>1147</v>
      </c>
      <c r="Z61" s="625" t="s">
        <v>1148</v>
      </c>
      <c r="AA61" s="625" t="s">
        <v>1149</v>
      </c>
      <c r="AB61" s="626" t="s">
        <v>1150</v>
      </c>
      <c r="AC61" s="609" t="s">
        <v>1151</v>
      </c>
      <c r="AD61" s="610"/>
      <c r="AE61" s="605"/>
      <c r="AF61" s="624" t="s">
        <v>1152</v>
      </c>
      <c r="AG61" s="625"/>
      <c r="AH61" s="627"/>
      <c r="AI61" s="626">
        <v>0</v>
      </c>
      <c r="AJ61" s="605"/>
    </row>
    <row r="62" spans="9:36" ht="70" hidden="1">
      <c r="I62" s="605"/>
      <c r="J62" s="612">
        <v>14</v>
      </c>
      <c r="K62" s="653" t="s">
        <v>1153</v>
      </c>
      <c r="L62" s="613" t="s">
        <v>1154</v>
      </c>
      <c r="M62" s="614" t="s">
        <v>1003</v>
      </c>
      <c r="N62" s="614" t="s">
        <v>1029</v>
      </c>
      <c r="O62" s="614" t="s">
        <v>1155</v>
      </c>
      <c r="P62" s="614" t="s">
        <v>1156</v>
      </c>
      <c r="Q62" s="615"/>
      <c r="R62" s="616"/>
      <c r="S62" s="617"/>
      <c r="T62" s="615">
        <v>1</v>
      </c>
      <c r="U62" s="617"/>
      <c r="V62" s="615">
        <v>1</v>
      </c>
      <c r="W62" s="617">
        <v>1</v>
      </c>
      <c r="X62" s="605"/>
      <c r="Y62" s="618" t="s">
        <v>1157</v>
      </c>
      <c r="Z62" s="619" t="s">
        <v>1158</v>
      </c>
      <c r="AA62" s="619" t="s">
        <v>1159</v>
      </c>
      <c r="AB62" s="620" t="s">
        <v>1160</v>
      </c>
      <c r="AC62" s="621" t="s">
        <v>1161</v>
      </c>
      <c r="AD62" s="622" t="s">
        <v>1162</v>
      </c>
      <c r="AE62" s="605"/>
      <c r="AF62" s="618" t="s">
        <v>1013</v>
      </c>
      <c r="AG62" s="619"/>
      <c r="AH62" s="623"/>
      <c r="AI62" s="620">
        <v>3</v>
      </c>
      <c r="AJ62" s="605"/>
    </row>
    <row r="63" spans="9:36" ht="40" hidden="1">
      <c r="I63" s="605"/>
      <c r="J63" s="612">
        <v>15</v>
      </c>
      <c r="K63" s="653" t="s">
        <v>1163</v>
      </c>
      <c r="L63" s="613" t="s">
        <v>1164</v>
      </c>
      <c r="M63" s="614" t="s">
        <v>1003</v>
      </c>
      <c r="N63" s="614" t="s">
        <v>1018</v>
      </c>
      <c r="O63" s="614" t="s">
        <v>1165</v>
      </c>
      <c r="P63" s="614" t="s">
        <v>1166</v>
      </c>
      <c r="Q63" s="615"/>
      <c r="R63" s="616"/>
      <c r="S63" s="617">
        <v>1</v>
      </c>
      <c r="T63" s="615"/>
      <c r="U63" s="617"/>
      <c r="V63" s="615"/>
      <c r="W63" s="617"/>
      <c r="X63" s="605"/>
      <c r="Y63" s="624" t="s">
        <v>1167</v>
      </c>
      <c r="Z63" s="625" t="s">
        <v>1168</v>
      </c>
      <c r="AA63" s="625" t="s">
        <v>1169</v>
      </c>
      <c r="AB63" s="626" t="s">
        <v>1170</v>
      </c>
      <c r="AC63" s="609" t="s">
        <v>1171</v>
      </c>
      <c r="AD63" s="610" t="s">
        <v>1172</v>
      </c>
      <c r="AE63" s="605"/>
      <c r="AF63" s="624" t="s">
        <v>1013</v>
      </c>
      <c r="AG63" s="625" t="s">
        <v>1173</v>
      </c>
      <c r="AH63" s="627" t="s">
        <v>1174</v>
      </c>
      <c r="AI63" s="626">
        <v>3</v>
      </c>
      <c r="AJ63" s="605"/>
    </row>
    <row r="64" spans="9:36" ht="70" hidden="1">
      <c r="I64" s="605"/>
      <c r="J64" s="612">
        <v>16</v>
      </c>
      <c r="K64" s="653" t="s">
        <v>1175</v>
      </c>
      <c r="L64" s="613" t="s">
        <v>1176</v>
      </c>
      <c r="M64" s="614" t="s">
        <v>1177</v>
      </c>
      <c r="N64" s="614" t="s">
        <v>1029</v>
      </c>
      <c r="O64" s="614" t="s">
        <v>1178</v>
      </c>
      <c r="P64" s="614" t="s">
        <v>1179</v>
      </c>
      <c r="Q64" s="615"/>
      <c r="R64" s="616">
        <v>1</v>
      </c>
      <c r="S64" s="617"/>
      <c r="T64" s="615"/>
      <c r="U64" s="617"/>
      <c r="V64" s="615"/>
      <c r="W64" s="617"/>
      <c r="X64" s="605"/>
      <c r="Y64" s="624" t="s">
        <v>1180</v>
      </c>
      <c r="Z64" s="625" t="s">
        <v>1181</v>
      </c>
      <c r="AA64" s="625" t="s">
        <v>1182</v>
      </c>
      <c r="AB64" s="626" t="s">
        <v>1183</v>
      </c>
      <c r="AC64" s="609" t="s">
        <v>1184</v>
      </c>
      <c r="AD64" s="610" t="s">
        <v>1185</v>
      </c>
      <c r="AE64" s="605"/>
      <c r="AF64" s="624" t="s">
        <v>1141</v>
      </c>
      <c r="AG64" s="625" t="s">
        <v>1186</v>
      </c>
      <c r="AH64" s="627"/>
      <c r="AI64" s="626">
        <v>0</v>
      </c>
      <c r="AJ64" s="605"/>
    </row>
    <row r="65" spans="9:36" ht="50" hidden="1">
      <c r="I65" s="605"/>
      <c r="J65" s="612">
        <v>17</v>
      </c>
      <c r="K65" s="653" t="s">
        <v>1187</v>
      </c>
      <c r="L65" s="613" t="s">
        <v>1188</v>
      </c>
      <c r="M65" s="614" t="s">
        <v>1177</v>
      </c>
      <c r="N65" s="614" t="s">
        <v>1029</v>
      </c>
      <c r="O65" s="614" t="s">
        <v>1189</v>
      </c>
      <c r="P65" s="614" t="s">
        <v>1190</v>
      </c>
      <c r="Q65" s="615">
        <v>1</v>
      </c>
      <c r="R65" s="616"/>
      <c r="S65" s="617"/>
      <c r="T65" s="615">
        <v>1</v>
      </c>
      <c r="U65" s="617">
        <v>1</v>
      </c>
      <c r="V65" s="615"/>
      <c r="W65" s="617">
        <v>1</v>
      </c>
      <c r="X65" s="605"/>
      <c r="Y65" s="624" t="s">
        <v>1191</v>
      </c>
      <c r="Z65" s="625" t="s">
        <v>1192</v>
      </c>
      <c r="AA65" s="625" t="s">
        <v>1193</v>
      </c>
      <c r="AB65" s="626" t="s">
        <v>1194</v>
      </c>
      <c r="AC65" s="609" t="s">
        <v>1195</v>
      </c>
      <c r="AD65" s="610" t="s">
        <v>1185</v>
      </c>
      <c r="AE65" s="605"/>
      <c r="AF65" s="624" t="s">
        <v>1037</v>
      </c>
      <c r="AG65" s="625" t="s">
        <v>1186</v>
      </c>
      <c r="AH65" s="627" t="s">
        <v>1196</v>
      </c>
      <c r="AI65" s="626">
        <v>2</v>
      </c>
      <c r="AJ65" s="605"/>
    </row>
    <row r="66" spans="9:36" ht="50" hidden="1">
      <c r="I66" s="605"/>
      <c r="J66" s="612">
        <v>18</v>
      </c>
      <c r="K66" s="653" t="s">
        <v>1197</v>
      </c>
      <c r="L66" s="613" t="s">
        <v>1198</v>
      </c>
      <c r="M66" s="614" t="s">
        <v>1177</v>
      </c>
      <c r="N66" s="614" t="s">
        <v>1004</v>
      </c>
      <c r="O66" s="614" t="s">
        <v>1199</v>
      </c>
      <c r="P66" s="614" t="s">
        <v>1200</v>
      </c>
      <c r="Q66" s="615"/>
      <c r="R66" s="616"/>
      <c r="S66" s="617"/>
      <c r="T66" s="615"/>
      <c r="U66" s="617">
        <v>1</v>
      </c>
      <c r="V66" s="615">
        <v>1</v>
      </c>
      <c r="W66" s="617">
        <v>1</v>
      </c>
      <c r="X66" s="605"/>
      <c r="Y66" s="618" t="s">
        <v>1201</v>
      </c>
      <c r="Z66" s="619" t="s">
        <v>1202</v>
      </c>
      <c r="AA66" s="619" t="s">
        <v>1203</v>
      </c>
      <c r="AB66" s="620" t="s">
        <v>1204</v>
      </c>
      <c r="AC66" s="621" t="s">
        <v>1205</v>
      </c>
      <c r="AD66" s="622" t="s">
        <v>1185</v>
      </c>
      <c r="AE66" s="605"/>
      <c r="AF66" s="618" t="s">
        <v>1141</v>
      </c>
      <c r="AG66" s="619"/>
      <c r="AH66" s="623" t="s">
        <v>1206</v>
      </c>
      <c r="AI66" s="620">
        <v>2</v>
      </c>
      <c r="AJ66" s="605"/>
    </row>
    <row r="67" spans="9:36" ht="30" hidden="1">
      <c r="I67" s="605"/>
      <c r="J67" s="612">
        <v>19</v>
      </c>
      <c r="K67" s="653" t="s">
        <v>1207</v>
      </c>
      <c r="L67" s="613" t="s">
        <v>1208</v>
      </c>
      <c r="M67" s="614" t="s">
        <v>1177</v>
      </c>
      <c r="N67" s="614" t="s">
        <v>1029</v>
      </c>
      <c r="O67" s="614" t="s">
        <v>1209</v>
      </c>
      <c r="P67" s="614" t="s">
        <v>1210</v>
      </c>
      <c r="Q67" s="615"/>
      <c r="R67" s="616"/>
      <c r="S67" s="617"/>
      <c r="T67" s="615"/>
      <c r="U67" s="617"/>
      <c r="V67" s="615"/>
      <c r="W67" s="617">
        <v>1</v>
      </c>
      <c r="X67" s="605"/>
      <c r="Y67" s="639" t="s">
        <v>1211</v>
      </c>
      <c r="Z67" s="640" t="s">
        <v>1212</v>
      </c>
      <c r="AA67" s="640" t="s">
        <v>1213</v>
      </c>
      <c r="AB67" s="641" t="s">
        <v>1214</v>
      </c>
      <c r="AC67" s="642" t="s">
        <v>1215</v>
      </c>
      <c r="AD67" s="622" t="s">
        <v>1185</v>
      </c>
      <c r="AE67" s="605"/>
      <c r="AF67" s="639" t="s">
        <v>1037</v>
      </c>
      <c r="AG67" s="640"/>
      <c r="AH67" s="643"/>
      <c r="AI67" s="641">
        <v>2</v>
      </c>
      <c r="AJ67" s="605"/>
    </row>
    <row r="68" spans="9:36" ht="40" hidden="1">
      <c r="I68" s="605"/>
      <c r="J68" s="612">
        <v>20</v>
      </c>
      <c r="K68" s="653" t="s">
        <v>1216</v>
      </c>
      <c r="L68" s="613" t="s">
        <v>1217</v>
      </c>
      <c r="M68" s="614" t="s">
        <v>1177</v>
      </c>
      <c r="N68" s="614" t="s">
        <v>1018</v>
      </c>
      <c r="O68" s="614" t="s">
        <v>1218</v>
      </c>
      <c r="P68" s="614" t="s">
        <v>1219</v>
      </c>
      <c r="Q68" s="615">
        <v>1</v>
      </c>
      <c r="R68" s="616"/>
      <c r="S68" s="617"/>
      <c r="T68" s="615">
        <v>1</v>
      </c>
      <c r="U68" s="617"/>
      <c r="V68" s="615">
        <v>1</v>
      </c>
      <c r="W68" s="617">
        <v>1</v>
      </c>
      <c r="X68" s="605"/>
      <c r="Y68" s="624" t="s">
        <v>1220</v>
      </c>
      <c r="Z68" s="625" t="s">
        <v>1221</v>
      </c>
      <c r="AA68" s="625" t="s">
        <v>1222</v>
      </c>
      <c r="AB68" s="626" t="s">
        <v>1223</v>
      </c>
      <c r="AC68" s="609" t="s">
        <v>1224</v>
      </c>
      <c r="AD68" s="610"/>
      <c r="AE68" s="605"/>
      <c r="AF68" s="624" t="s">
        <v>1037</v>
      </c>
      <c r="AG68" s="625"/>
      <c r="AH68" s="627"/>
      <c r="AI68" s="626">
        <v>2</v>
      </c>
      <c r="AJ68" s="605"/>
    </row>
    <row r="69" spans="9:36" ht="70" hidden="1">
      <c r="I69" s="605"/>
      <c r="J69" s="612">
        <v>21</v>
      </c>
      <c r="K69" s="653" t="s">
        <v>1225</v>
      </c>
      <c r="L69" s="613" t="s">
        <v>1226</v>
      </c>
      <c r="M69" s="614" t="s">
        <v>1177</v>
      </c>
      <c r="N69" s="614" t="s">
        <v>1018</v>
      </c>
      <c r="O69" s="614" t="s">
        <v>1227</v>
      </c>
      <c r="P69" s="614" t="s">
        <v>1228</v>
      </c>
      <c r="Q69" s="615"/>
      <c r="R69" s="616"/>
      <c r="S69" s="617"/>
      <c r="T69" s="615"/>
      <c r="U69" s="617"/>
      <c r="V69" s="615"/>
      <c r="W69" s="617">
        <v>1</v>
      </c>
      <c r="X69" s="605"/>
      <c r="Y69" s="606" t="s">
        <v>1229</v>
      </c>
      <c r="Z69" s="607" t="s">
        <v>1230</v>
      </c>
      <c r="AA69" s="607" t="s">
        <v>1231</v>
      </c>
      <c r="AB69" s="608" t="s">
        <v>1232</v>
      </c>
      <c r="AC69" s="644" t="s">
        <v>1233</v>
      </c>
      <c r="AD69" s="645"/>
      <c r="AE69" s="605"/>
      <c r="AF69" s="606" t="s">
        <v>1037</v>
      </c>
      <c r="AG69" s="607"/>
      <c r="AH69" s="611"/>
      <c r="AI69" s="608">
        <v>1</v>
      </c>
      <c r="AJ69" s="605"/>
    </row>
    <row r="70" spans="9:36" ht="30" hidden="1">
      <c r="I70" s="605"/>
      <c r="J70" s="612">
        <v>22</v>
      </c>
      <c r="K70" s="653" t="s">
        <v>1234</v>
      </c>
      <c r="L70" s="613" t="s">
        <v>1235</v>
      </c>
      <c r="M70" s="614" t="s">
        <v>1177</v>
      </c>
      <c r="N70" s="614" t="s">
        <v>1018</v>
      </c>
      <c r="O70" s="614" t="s">
        <v>1236</v>
      </c>
      <c r="P70" s="614" t="s">
        <v>1237</v>
      </c>
      <c r="Q70" s="615">
        <v>1</v>
      </c>
      <c r="R70" s="616"/>
      <c r="S70" s="617"/>
      <c r="T70" s="615">
        <v>1</v>
      </c>
      <c r="U70" s="617"/>
      <c r="V70" s="615">
        <v>1</v>
      </c>
      <c r="W70" s="617">
        <v>1</v>
      </c>
      <c r="X70" s="605"/>
      <c r="Y70" s="606" t="s">
        <v>1238</v>
      </c>
      <c r="Z70" s="607" t="s">
        <v>1239</v>
      </c>
      <c r="AA70" s="607" t="s">
        <v>1240</v>
      </c>
      <c r="AB70" s="608" t="s">
        <v>1241</v>
      </c>
      <c r="AC70" s="644" t="s">
        <v>1242</v>
      </c>
      <c r="AD70" s="645" t="s">
        <v>1243</v>
      </c>
      <c r="AE70" s="605"/>
      <c r="AF70" s="606" t="s">
        <v>1037</v>
      </c>
      <c r="AG70" s="607"/>
      <c r="AH70" s="611"/>
      <c r="AI70" s="608">
        <v>1</v>
      </c>
      <c r="AJ70" s="605"/>
    </row>
    <row r="71" spans="9:36" ht="50" hidden="1">
      <c r="I71" s="605"/>
      <c r="J71" s="612">
        <v>23</v>
      </c>
      <c r="K71" s="653" t="s">
        <v>1244</v>
      </c>
      <c r="L71" s="613" t="s">
        <v>1245</v>
      </c>
      <c r="M71" s="614" t="s">
        <v>1177</v>
      </c>
      <c r="N71" s="614" t="s">
        <v>1018</v>
      </c>
      <c r="O71" s="614" t="s">
        <v>1246</v>
      </c>
      <c r="P71" s="614" t="s">
        <v>1247</v>
      </c>
      <c r="Q71" s="615">
        <v>1</v>
      </c>
      <c r="R71" s="616"/>
      <c r="S71" s="617"/>
      <c r="T71" s="615"/>
      <c r="U71" s="617"/>
      <c r="V71" s="615"/>
      <c r="W71" s="617">
        <v>1</v>
      </c>
      <c r="X71" s="605"/>
      <c r="Y71" s="646" t="s">
        <v>1248</v>
      </c>
      <c r="Z71" s="647" t="s">
        <v>1249</v>
      </c>
      <c r="AA71" s="647" t="s">
        <v>1250</v>
      </c>
      <c r="AB71" s="648" t="s">
        <v>1251</v>
      </c>
      <c r="AC71" s="649" t="s">
        <v>1252</v>
      </c>
      <c r="AD71" s="650"/>
      <c r="AE71" s="605"/>
      <c r="AF71" s="646" t="s">
        <v>1141</v>
      </c>
      <c r="AG71" s="647"/>
      <c r="AH71" s="651"/>
      <c r="AI71" s="648">
        <v>1</v>
      </c>
      <c r="AJ71" s="605"/>
    </row>
  </sheetData>
  <sheetProtection sheet="1" objects="1" scenarios="1"/>
  <mergeCells count="12">
    <mergeCell ref="I45:I47"/>
    <mergeCell ref="B3:D3"/>
    <mergeCell ref="AC45:AD46"/>
    <mergeCell ref="AE45:AE47"/>
    <mergeCell ref="AF45:AI46"/>
    <mergeCell ref="J45:N46"/>
    <mergeCell ref="Q45:S46"/>
    <mergeCell ref="T45:U46"/>
    <mergeCell ref="V45:W46"/>
    <mergeCell ref="X45:X47"/>
    <mergeCell ref="Y45:AB46"/>
    <mergeCell ref="C5:E5"/>
  </mergeCells>
  <conditionalFormatting sqref="Q48:W71">
    <cfRule type="expression" dxfId="37" priority="1">
      <formula>Q48=1</formula>
    </cfRule>
  </conditionalFormatting>
  <dataValidations count="1">
    <dataValidation type="list" allowBlank="1" showInputMessage="1" showErrorMessage="1" sqref="F8" xr:uid="{4FC74EE0-BE14-4353-8E39-2178C3EDFD8E}">
      <formula1>$L$48:$L$71</formula1>
    </dataValidation>
  </dataValidations>
  <hyperlinks>
    <hyperlink ref="A1" location="'Overzicht GPR Hulpmiddelen'!A1" tooltip="naar startscherm" display="&lt;" xr:uid="{53F1D54D-4A69-447C-BACD-9BAE9F9BCC8D}"/>
    <hyperlink ref="C5" location="'Adaptief vermogen 1.0'!A37" display="TERUG NAAR REKENBLAD ADAPTIEF VERMOGEN" xr:uid="{6DD63D45-801D-4ECD-ABEC-AF2479AA93B9}"/>
  </hyperlink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92FD4-3D7F-4017-8045-FC84A327C5DB}">
  <sheetPr codeName="Blad7">
    <tabColor theme="5"/>
    <pageSetUpPr fitToPage="1"/>
  </sheetPr>
  <dimension ref="A1:Y37"/>
  <sheetViews>
    <sheetView showGridLines="0" showRowColHeaders="0" zoomScaleNormal="100" workbookViewId="0">
      <pane xSplit="1" ySplit="3" topLeftCell="B4" activePane="bottomRight" state="frozen"/>
      <selection pane="topRight" activeCell="B1" sqref="B1"/>
      <selection pane="bottomLeft" activeCell="A4" sqref="A4"/>
      <selection pane="bottomRight" activeCell="D26" sqref="D26"/>
    </sheetView>
  </sheetViews>
  <sheetFormatPr defaultColWidth="20.7265625" defaultRowHeight="17.5"/>
  <cols>
    <col min="1" max="1" width="10.7265625" style="19" customWidth="1"/>
    <col min="2" max="2" width="2.7265625" style="19" customWidth="1"/>
    <col min="3" max="3" width="21.7265625" style="19" customWidth="1"/>
    <col min="4" max="4" width="25.1796875" style="19" customWidth="1"/>
    <col min="5" max="6" width="20.7265625" style="19" customWidth="1"/>
    <col min="7" max="7" width="0.453125" style="19" customWidth="1"/>
    <col min="8" max="12" width="14.81640625" style="37" customWidth="1"/>
    <col min="13" max="13" width="39.81640625" style="19" customWidth="1"/>
    <col min="14" max="14" width="2.7265625" style="19" hidden="1" customWidth="1"/>
    <col min="15" max="15" width="29.7265625" style="19" hidden="1" customWidth="1"/>
    <col min="16" max="16" width="28" style="19" hidden="1" customWidth="1"/>
    <col min="17" max="17" width="7.26953125" style="37" hidden="1" customWidth="1"/>
    <col min="18" max="18" width="6" style="37" hidden="1" customWidth="1"/>
    <col min="19" max="20" width="7.453125" style="37" hidden="1" customWidth="1"/>
    <col min="21" max="21" width="9.1796875" style="37" hidden="1" customWidth="1"/>
    <col min="22" max="22" width="2.7265625" style="19" hidden="1" customWidth="1"/>
    <col min="23" max="23" width="19.81640625" style="19" hidden="1" customWidth="1"/>
    <col min="24" max="24" width="2.7265625" style="19" hidden="1" customWidth="1"/>
    <col min="25" max="25" width="10.7265625" style="19" hidden="1" customWidth="1"/>
    <col min="26" max="31" width="20.7265625" style="19" customWidth="1"/>
    <col min="32" max="16384" width="20.7265625" style="19"/>
  </cols>
  <sheetData>
    <row r="1" spans="1:25" s="18" customFormat="1" ht="32.5">
      <c r="A1" s="176" t="s">
        <v>12</v>
      </c>
      <c r="B1" s="174"/>
      <c r="C1" s="175"/>
      <c r="D1" s="31"/>
      <c r="E1" s="31"/>
      <c r="F1" s="31"/>
      <c r="G1" s="31"/>
      <c r="H1" s="21"/>
      <c r="K1" s="21"/>
      <c r="L1" s="21"/>
    </row>
    <row r="2" spans="1:25" ht="21">
      <c r="A2" s="33"/>
      <c r="B2" s="28" t="s">
        <v>1253</v>
      </c>
      <c r="C2" s="28"/>
      <c r="D2" s="28"/>
      <c r="E2" s="28"/>
      <c r="F2" s="28"/>
      <c r="G2" s="27"/>
      <c r="H2" s="27"/>
      <c r="I2" s="27"/>
      <c r="J2" s="27"/>
      <c r="K2" s="27"/>
      <c r="L2" s="27"/>
      <c r="M2" s="27"/>
      <c r="N2" s="27"/>
      <c r="O2" s="28"/>
      <c r="P2" s="28"/>
      <c r="Q2" s="28"/>
      <c r="R2" s="28"/>
      <c r="S2" s="28"/>
      <c r="T2" s="28"/>
      <c r="U2" s="28"/>
      <c r="V2" s="27"/>
      <c r="W2" s="27"/>
      <c r="X2" s="27"/>
      <c r="Y2" s="28"/>
    </row>
    <row r="3" spans="1:25" s="29" customFormat="1">
      <c r="B3" s="1687">
        <v>44524</v>
      </c>
      <c r="C3" s="1688"/>
      <c r="D3" s="1713"/>
      <c r="Y3"/>
    </row>
    <row r="4" spans="1:25" s="18" customFormat="1">
      <c r="B4" s="14"/>
      <c r="C4" s="67"/>
      <c r="D4" s="67"/>
      <c r="E4" s="67"/>
      <c r="F4" s="67"/>
      <c r="G4" s="14"/>
      <c r="H4" s="14"/>
      <c r="I4" s="14"/>
      <c r="J4" s="14"/>
      <c r="K4" s="14"/>
      <c r="L4" s="14"/>
      <c r="M4" s="14"/>
      <c r="N4" s="14"/>
      <c r="O4" s="14"/>
      <c r="P4" s="14"/>
      <c r="Q4" s="14"/>
      <c r="R4" s="14"/>
      <c r="S4" s="14"/>
      <c r="T4" s="14"/>
      <c r="U4" s="14"/>
      <c r="V4" s="14"/>
      <c r="W4" s="14"/>
      <c r="X4" s="14"/>
    </row>
    <row r="5" spans="1:25">
      <c r="B5" s="14"/>
      <c r="C5" s="68" t="s">
        <v>3</v>
      </c>
      <c r="D5" s="68"/>
      <c r="E5" s="68"/>
      <c r="F5" s="68"/>
      <c r="G5" s="14"/>
      <c r="H5" s="14"/>
      <c r="I5" s="68" t="s">
        <v>485</v>
      </c>
      <c r="J5" s="14"/>
      <c r="K5" s="14"/>
      <c r="L5" s="14"/>
      <c r="M5" s="14"/>
      <c r="N5" s="14"/>
      <c r="O5" s="14"/>
      <c r="P5" s="14"/>
      <c r="Q5" s="14"/>
      <c r="R5" s="14"/>
      <c r="S5" s="14"/>
      <c r="T5" s="14"/>
      <c r="U5" s="14"/>
      <c r="V5" s="14"/>
      <c r="W5" s="14"/>
      <c r="X5" s="14"/>
    </row>
    <row r="6" spans="1:25" ht="17.25" customHeight="1">
      <c r="B6" s="14"/>
      <c r="C6" s="22" t="s">
        <v>4</v>
      </c>
      <c r="D6" s="1691" t="str">
        <f>IF('Overzicht GPR Hulpmiddelen'!D6="","",'Overzicht GPR Hulpmiddelen'!D6)</f>
        <v/>
      </c>
      <c r="E6" s="1691"/>
      <c r="F6" s="1691"/>
      <c r="G6" s="14"/>
      <c r="H6" s="510"/>
      <c r="I6" s="14"/>
      <c r="J6" s="14"/>
      <c r="K6" s="14"/>
      <c r="L6" s="14"/>
      <c r="M6" s="14"/>
      <c r="N6" s="14"/>
      <c r="O6" s="14"/>
      <c r="P6" s="14"/>
      <c r="Q6" s="14"/>
      <c r="R6" s="14"/>
      <c r="S6" s="14"/>
      <c r="T6" s="14"/>
      <c r="U6" s="14"/>
      <c r="V6" s="14"/>
      <c r="W6" s="14"/>
      <c r="X6" s="14"/>
    </row>
    <row r="7" spans="1:25">
      <c r="B7" s="14"/>
      <c r="C7" s="22" t="s">
        <v>5</v>
      </c>
      <c r="D7" s="1691" t="str">
        <f>IF('Overzicht GPR Hulpmiddelen'!D7="","",'Overzicht GPR Hulpmiddelen'!D7)</f>
        <v/>
      </c>
      <c r="E7" s="1691"/>
      <c r="F7" s="1691"/>
      <c r="G7" s="14"/>
      <c r="H7" s="14"/>
      <c r="I7" s="14"/>
      <c r="J7" s="14"/>
      <c r="K7" s="14"/>
      <c r="L7" s="14"/>
      <c r="M7" s="14"/>
      <c r="N7" s="14"/>
      <c r="O7" s="14"/>
      <c r="P7" s="14"/>
      <c r="Q7" s="14"/>
      <c r="R7" s="14"/>
      <c r="S7" s="14"/>
      <c r="T7" s="14"/>
      <c r="U7" s="14"/>
      <c r="V7" s="14"/>
      <c r="W7" s="14"/>
      <c r="X7" s="14"/>
    </row>
    <row r="8" spans="1:25">
      <c r="B8" s="14"/>
      <c r="C8" s="22" t="s">
        <v>6</v>
      </c>
      <c r="D8" s="1691" t="str">
        <f>IF('Overzicht GPR Hulpmiddelen'!D8="","",'Overzicht GPR Hulpmiddelen'!D8)</f>
        <v/>
      </c>
      <c r="E8" s="1691"/>
      <c r="F8" s="1691"/>
      <c r="G8" s="14"/>
      <c r="H8" s="14"/>
      <c r="I8" s="14"/>
      <c r="J8" s="14"/>
      <c r="K8" s="14"/>
      <c r="L8" s="14"/>
      <c r="M8" s="14"/>
      <c r="N8" s="14"/>
      <c r="O8" s="14"/>
      <c r="P8" s="14"/>
      <c r="Q8" s="14"/>
      <c r="R8" s="14"/>
      <c r="S8" s="14"/>
      <c r="T8" s="14"/>
      <c r="U8" s="14"/>
      <c r="V8" s="14"/>
      <c r="W8" s="14"/>
      <c r="X8" s="14"/>
    </row>
    <row r="9" spans="1:25">
      <c r="B9" s="14"/>
      <c r="C9" s="22" t="s">
        <v>7</v>
      </c>
      <c r="D9" s="1699" t="str">
        <f>IF('Overzicht GPR Hulpmiddelen'!D9="","",'Overzicht GPR Hulpmiddelen'!D9)</f>
        <v/>
      </c>
      <c r="E9" s="1699"/>
      <c r="F9" s="1699"/>
      <c r="G9" s="14"/>
      <c r="H9" s="14"/>
      <c r="I9" s="14"/>
      <c r="J9" s="14"/>
      <c r="K9" s="14"/>
      <c r="L9" s="14"/>
      <c r="M9" s="14"/>
      <c r="N9" s="14"/>
      <c r="O9" s="14"/>
      <c r="P9" s="14"/>
      <c r="Q9" s="14"/>
      <c r="R9" s="14"/>
      <c r="S9" s="14"/>
      <c r="T9" s="14"/>
      <c r="U9" s="14"/>
      <c r="V9" s="14"/>
      <c r="W9" s="14"/>
      <c r="X9" s="14"/>
    </row>
    <row r="10" spans="1:25">
      <c r="B10" s="14"/>
      <c r="C10" s="22" t="s">
        <v>488</v>
      </c>
      <c r="D10" s="1685"/>
      <c r="E10" s="1685"/>
      <c r="F10" s="1685"/>
      <c r="G10" s="14"/>
      <c r="H10" s="14"/>
      <c r="I10" s="14"/>
      <c r="J10" s="14"/>
      <c r="K10" s="14"/>
      <c r="L10" s="14"/>
      <c r="M10" s="14"/>
      <c r="N10" s="14"/>
      <c r="O10" s="14"/>
      <c r="P10" s="14"/>
      <c r="Q10" s="14"/>
      <c r="R10" s="14"/>
      <c r="S10" s="14"/>
      <c r="T10" s="14"/>
      <c r="U10" s="14"/>
      <c r="V10" s="14"/>
      <c r="W10" s="14"/>
      <c r="X10" s="14"/>
    </row>
    <row r="11" spans="1:25">
      <c r="B11" s="14"/>
      <c r="C11" s="14"/>
      <c r="D11" s="14"/>
      <c r="E11" s="14"/>
      <c r="F11" s="14"/>
      <c r="G11" s="14"/>
      <c r="H11" s="14"/>
      <c r="I11" s="14"/>
      <c r="J11" s="14"/>
      <c r="K11" s="14"/>
      <c r="L11" s="14"/>
      <c r="M11" s="14"/>
      <c r="N11" s="14"/>
      <c r="O11" s="14"/>
      <c r="P11" s="14"/>
      <c r="Q11" s="14"/>
      <c r="R11" s="14"/>
      <c r="S11" s="14"/>
      <c r="T11" s="14"/>
      <c r="U11" s="14"/>
      <c r="V11" s="14"/>
      <c r="W11" s="14"/>
      <c r="X11" s="14"/>
    </row>
    <row r="12" spans="1:25">
      <c r="B12" s="14"/>
      <c r="C12" s="14"/>
      <c r="D12" s="14"/>
      <c r="E12" s="14"/>
      <c r="F12" s="14"/>
      <c r="G12" s="14"/>
      <c r="H12" s="14"/>
      <c r="I12" s="14"/>
      <c r="J12" s="14"/>
      <c r="K12" s="14"/>
      <c r="L12" s="14"/>
      <c r="M12" s="14"/>
      <c r="N12" s="14"/>
      <c r="O12" s="14"/>
      <c r="P12" s="14"/>
      <c r="Q12" s="14"/>
      <c r="R12" s="14"/>
      <c r="S12" s="14"/>
      <c r="T12" s="14"/>
      <c r="U12" s="14"/>
      <c r="V12" s="14"/>
      <c r="W12" s="14"/>
      <c r="X12" s="14"/>
    </row>
    <row r="13" spans="1:25">
      <c r="B13" s="14"/>
      <c r="C13" s="14"/>
      <c r="D13" s="14"/>
      <c r="E13" s="14"/>
      <c r="F13" s="14"/>
      <c r="G13" s="14"/>
      <c r="H13" s="14"/>
      <c r="I13" s="14"/>
      <c r="J13" s="14"/>
      <c r="K13" s="14"/>
      <c r="L13" s="14"/>
      <c r="M13" s="14"/>
      <c r="N13" s="14"/>
      <c r="O13" s="14"/>
      <c r="P13" s="14"/>
      <c r="Q13" s="14"/>
      <c r="R13" s="14"/>
      <c r="S13" s="14"/>
      <c r="T13" s="14"/>
      <c r="U13" s="14"/>
      <c r="V13" s="14"/>
      <c r="W13" s="14"/>
      <c r="X13" s="14"/>
    </row>
    <row r="14" spans="1:25">
      <c r="B14" s="14"/>
      <c r="C14" s="14"/>
      <c r="D14" s="14"/>
      <c r="E14" s="14"/>
      <c r="F14" s="14"/>
      <c r="G14" s="14"/>
      <c r="H14" s="14"/>
      <c r="I14" s="14"/>
      <c r="J14" s="14"/>
      <c r="K14" s="14"/>
      <c r="L14" s="14"/>
      <c r="M14" s="14"/>
      <c r="N14" s="14"/>
      <c r="O14" s="14"/>
      <c r="P14" s="14"/>
      <c r="Q14" s="14"/>
      <c r="R14" s="14"/>
      <c r="S14" s="14"/>
      <c r="T14" s="14"/>
      <c r="U14" s="14"/>
      <c r="V14" s="14"/>
      <c r="W14" s="14"/>
      <c r="X14" s="14"/>
    </row>
    <row r="15" spans="1:25">
      <c r="B15" s="14"/>
      <c r="C15" s="14"/>
      <c r="D15" s="14"/>
      <c r="E15" s="14"/>
      <c r="F15" s="14"/>
      <c r="G15" s="14"/>
      <c r="H15" s="14"/>
      <c r="I15" s="14"/>
      <c r="J15" s="14"/>
      <c r="K15" s="14"/>
      <c r="L15" s="14"/>
      <c r="M15" s="14"/>
      <c r="N15" s="14"/>
      <c r="O15" s="14"/>
      <c r="P15" s="14"/>
      <c r="Q15" s="14"/>
      <c r="R15" s="14"/>
      <c r="S15" s="14"/>
      <c r="T15" s="14"/>
      <c r="U15" s="14"/>
      <c r="V15" s="14"/>
      <c r="W15" s="14"/>
      <c r="X15" s="14"/>
    </row>
    <row r="16" spans="1:25">
      <c r="B16" s="14"/>
      <c r="C16" s="68" t="s">
        <v>1254</v>
      </c>
      <c r="D16" s="68"/>
      <c r="E16" s="68"/>
      <c r="F16" s="68"/>
      <c r="G16" s="67"/>
      <c r="H16" s="510"/>
      <c r="I16" s="79"/>
      <c r="J16" s="79" t="s">
        <v>1255</v>
      </c>
      <c r="K16" s="79"/>
      <c r="L16" s="79"/>
      <c r="M16" s="14"/>
      <c r="N16" s="14"/>
      <c r="O16" s="35"/>
      <c r="P16" s="35"/>
      <c r="Q16" s="35"/>
      <c r="R16" s="35"/>
      <c r="S16" s="35"/>
      <c r="T16" s="35"/>
      <c r="U16" s="35"/>
      <c r="V16" s="14"/>
      <c r="W16" s="14"/>
      <c r="X16" s="14"/>
    </row>
    <row r="17" spans="1:24">
      <c r="B17" s="14"/>
      <c r="C17" s="52" t="s">
        <v>1256</v>
      </c>
      <c r="D17" s="52"/>
      <c r="E17" s="52"/>
      <c r="F17" s="52"/>
      <c r="G17" s="14"/>
      <c r="H17" s="76" t="s">
        <v>8</v>
      </c>
      <c r="I17" s="76" t="s">
        <v>9</v>
      </c>
      <c r="J17" s="76" t="s">
        <v>1257</v>
      </c>
      <c r="K17" s="76" t="s">
        <v>1004</v>
      </c>
      <c r="L17" s="76" t="s">
        <v>1258</v>
      </c>
      <c r="M17" s="719"/>
      <c r="N17" s="719"/>
      <c r="O17" s="35"/>
      <c r="P17" s="35"/>
      <c r="Q17" s="35"/>
      <c r="R17" s="35"/>
      <c r="S17" s="35"/>
      <c r="T17" s="35"/>
      <c r="U17" s="35"/>
      <c r="V17" s="719"/>
      <c r="W17" s="719"/>
      <c r="X17" s="719"/>
    </row>
    <row r="18" spans="1:24" ht="26">
      <c r="B18" s="14"/>
      <c r="C18" s="75"/>
      <c r="D18" s="75"/>
      <c r="E18" s="75"/>
      <c r="F18" s="75"/>
      <c r="G18" s="14"/>
      <c r="H18" s="77"/>
      <c r="I18" s="77"/>
      <c r="J18" s="77"/>
      <c r="K18" s="77"/>
      <c r="L18" s="77"/>
      <c r="M18" s="78"/>
      <c r="N18" s="719"/>
      <c r="O18" s="35"/>
      <c r="P18" s="35"/>
      <c r="Q18" s="35"/>
      <c r="R18" s="35"/>
      <c r="S18" s="35"/>
      <c r="T18" s="35"/>
      <c r="U18" s="35"/>
      <c r="V18" s="719"/>
      <c r="W18" s="719"/>
      <c r="X18" s="719"/>
    </row>
    <row r="19" spans="1:24">
      <c r="B19" s="14"/>
      <c r="C19" s="22" t="s">
        <v>1259</v>
      </c>
      <c r="D19" s="22"/>
      <c r="E19" s="22"/>
      <c r="F19" s="22"/>
      <c r="G19" s="14"/>
      <c r="H19" s="74"/>
      <c r="I19" s="74"/>
      <c r="J19" s="74"/>
      <c r="K19" s="74"/>
      <c r="L19" s="74"/>
      <c r="M19" s="719"/>
      <c r="N19" s="719"/>
      <c r="O19" s="35"/>
      <c r="P19" s="35"/>
      <c r="Q19" s="35"/>
      <c r="R19" s="35"/>
      <c r="S19" s="35"/>
      <c r="T19" s="35"/>
      <c r="U19" s="35"/>
      <c r="V19" s="719"/>
      <c r="W19" s="719"/>
      <c r="X19" s="719"/>
    </row>
    <row r="20" spans="1:24">
      <c r="B20" s="14"/>
      <c r="C20" s="80"/>
      <c r="D20" s="80"/>
      <c r="E20" s="80"/>
      <c r="F20" s="80"/>
      <c r="G20" s="67"/>
      <c r="H20" s="80"/>
      <c r="I20" s="80"/>
      <c r="J20" s="80"/>
      <c r="K20" s="80"/>
      <c r="L20" s="80"/>
      <c r="M20" s="719"/>
      <c r="N20" s="719"/>
      <c r="O20" s="35"/>
      <c r="P20" s="35"/>
      <c r="Q20" s="35"/>
      <c r="R20" s="35"/>
      <c r="S20" s="35"/>
      <c r="T20" s="35"/>
      <c r="U20" s="35"/>
      <c r="V20" s="719"/>
      <c r="W20" s="719"/>
      <c r="X20" s="719"/>
    </row>
    <row r="21" spans="1:24">
      <c r="B21" s="14"/>
      <c r="C21" s="68" t="s">
        <v>1260</v>
      </c>
      <c r="D21" s="68"/>
      <c r="E21" s="68"/>
      <c r="F21" s="68"/>
      <c r="G21" s="67"/>
      <c r="H21" s="79"/>
      <c r="I21" s="79"/>
      <c r="J21" s="79" t="s">
        <v>1261</v>
      </c>
      <c r="K21" s="79"/>
      <c r="L21" s="79"/>
      <c r="M21" s="14"/>
      <c r="N21" s="14"/>
      <c r="O21" s="35"/>
      <c r="P21" s="35"/>
      <c r="Q21" s="35"/>
      <c r="R21" s="35"/>
      <c r="S21" s="35"/>
      <c r="T21" s="35"/>
      <c r="U21" s="35"/>
      <c r="V21" s="719"/>
      <c r="W21" s="719"/>
      <c r="X21" s="719"/>
    </row>
    <row r="22" spans="1:24">
      <c r="A22" s="139"/>
      <c r="B22" s="14"/>
      <c r="C22" s="57" t="s">
        <v>1262</v>
      </c>
      <c r="D22" s="57" t="s">
        <v>1263</v>
      </c>
      <c r="E22" s="57" t="s">
        <v>1264</v>
      </c>
      <c r="F22" s="64" t="s">
        <v>561</v>
      </c>
      <c r="G22" s="14"/>
      <c r="H22" s="26" t="s">
        <v>8</v>
      </c>
      <c r="I22" s="26" t="s">
        <v>9</v>
      </c>
      <c r="J22" s="26" t="s">
        <v>1257</v>
      </c>
      <c r="K22" s="26" t="s">
        <v>1004</v>
      </c>
      <c r="L22" s="26" t="s">
        <v>1258</v>
      </c>
      <c r="M22" s="14"/>
      <c r="N22" s="14"/>
      <c r="O22" s="70" t="s">
        <v>1265</v>
      </c>
      <c r="P22" s="70" t="s">
        <v>1266</v>
      </c>
      <c r="Q22" s="26" t="str">
        <f>H17</f>
        <v>Energie</v>
      </c>
      <c r="R22" s="26" t="str">
        <f>I17</f>
        <v>Milieu</v>
      </c>
      <c r="S22" s="26" t="str">
        <f>J17</f>
        <v>Gezond</v>
      </c>
      <c r="T22" s="26" t="str">
        <f>K17</f>
        <v>Gebruik</v>
      </c>
      <c r="U22" s="26" t="str">
        <f>L17</f>
        <v>Toekomst</v>
      </c>
      <c r="V22" s="719"/>
      <c r="W22" s="26" t="s">
        <v>1267</v>
      </c>
      <c r="X22" s="719"/>
    </row>
    <row r="23" spans="1:24">
      <c r="A23" s="139"/>
      <c r="B23" s="14"/>
      <c r="C23" s="22">
        <f ca="1">COUNTA(OFFSET(C$23,-1,0):OFFSET(C23,-1,0))</f>
        <v>1</v>
      </c>
      <c r="D23" s="42"/>
      <c r="E23" s="42"/>
      <c r="F23" s="72"/>
      <c r="G23" s="14"/>
      <c r="H23" s="74"/>
      <c r="I23" s="74"/>
      <c r="J23" s="74"/>
      <c r="K23" s="74"/>
      <c r="L23" s="74"/>
      <c r="M23" s="14"/>
      <c r="N23" s="14"/>
      <c r="O23" s="69">
        <f t="shared" ref="O23:O32" si="0">IF($E23="",0,F23)</f>
        <v>0</v>
      </c>
      <c r="P23" s="69">
        <f t="shared" ref="P23:P32" si="1">IFERROR(O23+O23/SUM($O$23:$O$32)*O$33,0)</f>
        <v>0</v>
      </c>
      <c r="Q23" s="69">
        <f t="shared" ref="Q23:Q32" si="2">IF(ISERROR(H23*$P23/$P$35),0,H23*$P23/$P$35)</f>
        <v>0</v>
      </c>
      <c r="R23" s="69">
        <f t="shared" ref="R23:R32" si="3">IF(ISERROR(I23*$P23/$P$35),0,I23*$P23/$P$35)</f>
        <v>0</v>
      </c>
      <c r="S23" s="69">
        <f t="shared" ref="S23:S32" si="4">IF(ISERROR(J23*$P23/$P$35),0,J23*$P23/$P$35)</f>
        <v>0</v>
      </c>
      <c r="T23" s="69">
        <f t="shared" ref="T23:T32" si="5">IF(ISERROR(K23*$P23/$P$35),0,K23*$P23/$P$35)</f>
        <v>0</v>
      </c>
      <c r="U23" s="69">
        <f t="shared" ref="U23:U32" si="6">IF(ISERROR(L23*$P23/$P$35),0,L23*$P23/$P$35)</f>
        <v>0</v>
      </c>
      <c r="V23" s="719"/>
      <c r="W23" s="83" t="s">
        <v>1268</v>
      </c>
      <c r="X23" s="719"/>
    </row>
    <row r="24" spans="1:24">
      <c r="B24" s="14"/>
      <c r="C24" s="22">
        <f ca="1">COUNTA(OFFSET(C$23,-1,0):OFFSET(C24,-1,0))</f>
        <v>2</v>
      </c>
      <c r="D24" s="42"/>
      <c r="E24" s="42"/>
      <c r="F24" s="72"/>
      <c r="G24" s="14"/>
      <c r="H24" s="74"/>
      <c r="I24" s="74"/>
      <c r="J24" s="74"/>
      <c r="K24" s="74"/>
      <c r="L24" s="74"/>
      <c r="M24" s="14"/>
      <c r="N24" s="14"/>
      <c r="O24" s="69">
        <f t="shared" si="0"/>
        <v>0</v>
      </c>
      <c r="P24" s="69">
        <f t="shared" si="1"/>
        <v>0</v>
      </c>
      <c r="Q24" s="69">
        <f t="shared" si="2"/>
        <v>0</v>
      </c>
      <c r="R24" s="69">
        <f t="shared" si="3"/>
        <v>0</v>
      </c>
      <c r="S24" s="69">
        <f t="shared" si="4"/>
        <v>0</v>
      </c>
      <c r="T24" s="69">
        <f t="shared" si="5"/>
        <v>0</v>
      </c>
      <c r="U24" s="69">
        <f t="shared" si="6"/>
        <v>0</v>
      </c>
      <c r="V24" s="719"/>
      <c r="W24" s="83" t="s">
        <v>188</v>
      </c>
      <c r="X24" s="719"/>
    </row>
    <row r="25" spans="1:24">
      <c r="B25" s="14"/>
      <c r="C25" s="22">
        <f ca="1">COUNTA(OFFSET(C$23,-1,0):OFFSET(C25,-1,0))</f>
        <v>3</v>
      </c>
      <c r="D25" s="42"/>
      <c r="E25" s="42"/>
      <c r="F25" s="72"/>
      <c r="G25" s="14"/>
      <c r="H25" s="74"/>
      <c r="I25" s="74"/>
      <c r="J25" s="74"/>
      <c r="K25" s="74"/>
      <c r="L25" s="74"/>
      <c r="M25" s="14"/>
      <c r="N25" s="14"/>
      <c r="O25" s="69">
        <f t="shared" si="0"/>
        <v>0</v>
      </c>
      <c r="P25" s="69">
        <f t="shared" si="1"/>
        <v>0</v>
      </c>
      <c r="Q25" s="69">
        <f t="shared" si="2"/>
        <v>0</v>
      </c>
      <c r="R25" s="69">
        <f t="shared" si="3"/>
        <v>0</v>
      </c>
      <c r="S25" s="69">
        <f t="shared" si="4"/>
        <v>0</v>
      </c>
      <c r="T25" s="69">
        <f t="shared" si="5"/>
        <v>0</v>
      </c>
      <c r="U25" s="69">
        <f t="shared" si="6"/>
        <v>0</v>
      </c>
      <c r="V25" s="719"/>
      <c r="W25" s="83" t="s">
        <v>185</v>
      </c>
      <c r="X25" s="719"/>
    </row>
    <row r="26" spans="1:24">
      <c r="B26" s="14"/>
      <c r="C26" s="22">
        <f ca="1">COUNTA(OFFSET(C$23,-1,0):OFFSET(C26,-1,0))</f>
        <v>4</v>
      </c>
      <c r="D26" s="42"/>
      <c r="E26" s="42"/>
      <c r="F26" s="72"/>
      <c r="G26" s="14"/>
      <c r="H26" s="74"/>
      <c r="I26" s="74"/>
      <c r="J26" s="74"/>
      <c r="K26" s="74"/>
      <c r="L26" s="74"/>
      <c r="M26" s="14"/>
      <c r="N26" s="14"/>
      <c r="O26" s="69">
        <f t="shared" si="0"/>
        <v>0</v>
      </c>
      <c r="P26" s="69">
        <f t="shared" si="1"/>
        <v>0</v>
      </c>
      <c r="Q26" s="69">
        <f t="shared" si="2"/>
        <v>0</v>
      </c>
      <c r="R26" s="69">
        <f t="shared" si="3"/>
        <v>0</v>
      </c>
      <c r="S26" s="69">
        <f t="shared" si="4"/>
        <v>0</v>
      </c>
      <c r="T26" s="69">
        <f t="shared" si="5"/>
        <v>0</v>
      </c>
      <c r="U26" s="69">
        <f t="shared" si="6"/>
        <v>0</v>
      </c>
      <c r="V26" s="719"/>
      <c r="W26" s="83" t="s">
        <v>187</v>
      </c>
      <c r="X26" s="719"/>
    </row>
    <row r="27" spans="1:24">
      <c r="B27" s="14"/>
      <c r="C27" s="22">
        <f ca="1">COUNTA(OFFSET(C$23,-1,0):OFFSET(C27,-1,0))</f>
        <v>5</v>
      </c>
      <c r="D27" s="42"/>
      <c r="E27" s="42"/>
      <c r="F27" s="72"/>
      <c r="G27" s="14"/>
      <c r="H27" s="74"/>
      <c r="I27" s="74"/>
      <c r="J27" s="74"/>
      <c r="K27" s="74"/>
      <c r="L27" s="74"/>
      <c r="M27" s="14"/>
      <c r="N27" s="14"/>
      <c r="O27" s="69">
        <f t="shared" si="0"/>
        <v>0</v>
      </c>
      <c r="P27" s="69">
        <f t="shared" si="1"/>
        <v>0</v>
      </c>
      <c r="Q27" s="69">
        <f t="shared" si="2"/>
        <v>0</v>
      </c>
      <c r="R27" s="69">
        <f t="shared" si="3"/>
        <v>0</v>
      </c>
      <c r="S27" s="69">
        <f t="shared" si="4"/>
        <v>0</v>
      </c>
      <c r="T27" s="69">
        <f t="shared" si="5"/>
        <v>0</v>
      </c>
      <c r="U27" s="69">
        <f t="shared" si="6"/>
        <v>0</v>
      </c>
      <c r="V27" s="719"/>
      <c r="W27" s="83" t="s">
        <v>149</v>
      </c>
      <c r="X27" s="719"/>
    </row>
    <row r="28" spans="1:24">
      <c r="B28" s="14"/>
      <c r="C28" s="22">
        <f ca="1">COUNTA(OFFSET(C$23,-1,0):OFFSET(C28,-1,0))</f>
        <v>6</v>
      </c>
      <c r="D28" s="42"/>
      <c r="E28" s="42"/>
      <c r="F28" s="72"/>
      <c r="G28" s="14"/>
      <c r="H28" s="74"/>
      <c r="I28" s="74"/>
      <c r="J28" s="74"/>
      <c r="K28" s="74"/>
      <c r="L28" s="74"/>
      <c r="M28" s="14"/>
      <c r="N28" s="14"/>
      <c r="O28" s="69">
        <f t="shared" si="0"/>
        <v>0</v>
      </c>
      <c r="P28" s="69">
        <f t="shared" si="1"/>
        <v>0</v>
      </c>
      <c r="Q28" s="69">
        <f t="shared" si="2"/>
        <v>0</v>
      </c>
      <c r="R28" s="69">
        <f t="shared" si="3"/>
        <v>0</v>
      </c>
      <c r="S28" s="69">
        <f t="shared" si="4"/>
        <v>0</v>
      </c>
      <c r="T28" s="69">
        <f t="shared" si="5"/>
        <v>0</v>
      </c>
      <c r="U28" s="69">
        <f t="shared" si="6"/>
        <v>0</v>
      </c>
      <c r="V28" s="719"/>
      <c r="W28" s="83" t="s">
        <v>184</v>
      </c>
      <c r="X28" s="719"/>
    </row>
    <row r="29" spans="1:24">
      <c r="B29" s="14"/>
      <c r="C29" s="22">
        <f ca="1">COUNTA(OFFSET(C$23,-1,0):OFFSET(C29,-1,0))</f>
        <v>7</v>
      </c>
      <c r="D29" s="42"/>
      <c r="E29" s="42"/>
      <c r="F29" s="72"/>
      <c r="G29" s="14"/>
      <c r="H29" s="74"/>
      <c r="I29" s="74"/>
      <c r="J29" s="74"/>
      <c r="K29" s="74"/>
      <c r="L29" s="74"/>
      <c r="M29" s="14"/>
      <c r="N29" s="14"/>
      <c r="O29" s="69">
        <f t="shared" si="0"/>
        <v>0</v>
      </c>
      <c r="P29" s="69">
        <f t="shared" si="1"/>
        <v>0</v>
      </c>
      <c r="Q29" s="69">
        <f t="shared" si="2"/>
        <v>0</v>
      </c>
      <c r="R29" s="69">
        <f t="shared" si="3"/>
        <v>0</v>
      </c>
      <c r="S29" s="69">
        <f t="shared" si="4"/>
        <v>0</v>
      </c>
      <c r="T29" s="69">
        <f t="shared" si="5"/>
        <v>0</v>
      </c>
      <c r="U29" s="69">
        <f t="shared" si="6"/>
        <v>0</v>
      </c>
      <c r="V29" s="719"/>
      <c r="W29" s="83" t="s">
        <v>186</v>
      </c>
      <c r="X29" s="719"/>
    </row>
    <row r="30" spans="1:24">
      <c r="B30" s="14"/>
      <c r="C30" s="22">
        <f ca="1">COUNTA(OFFSET(C$23,-1,0):OFFSET(C30,-1,0))</f>
        <v>8</v>
      </c>
      <c r="D30" s="42"/>
      <c r="E30" s="42"/>
      <c r="F30" s="72"/>
      <c r="G30" s="14"/>
      <c r="H30" s="74"/>
      <c r="I30" s="74"/>
      <c r="J30" s="74"/>
      <c r="K30" s="74"/>
      <c r="L30" s="74"/>
      <c r="M30" s="14"/>
      <c r="N30" s="14"/>
      <c r="O30" s="69">
        <f t="shared" si="0"/>
        <v>0</v>
      </c>
      <c r="P30" s="69">
        <f t="shared" si="1"/>
        <v>0</v>
      </c>
      <c r="Q30" s="69">
        <f t="shared" si="2"/>
        <v>0</v>
      </c>
      <c r="R30" s="69">
        <f t="shared" si="3"/>
        <v>0</v>
      </c>
      <c r="S30" s="69">
        <f t="shared" si="4"/>
        <v>0</v>
      </c>
      <c r="T30" s="69">
        <f t="shared" si="5"/>
        <v>0</v>
      </c>
      <c r="U30" s="69">
        <f t="shared" si="6"/>
        <v>0</v>
      </c>
      <c r="V30" s="719"/>
      <c r="W30" s="83" t="s">
        <v>1269</v>
      </c>
      <c r="X30" s="719"/>
    </row>
    <row r="31" spans="1:24">
      <c r="B31" s="14"/>
      <c r="C31" s="22">
        <f ca="1">COUNTA(OFFSET(C$23,-1,0):OFFSET(C31,-1,0))</f>
        <v>9</v>
      </c>
      <c r="D31" s="42"/>
      <c r="E31" s="42"/>
      <c r="F31" s="72"/>
      <c r="G31" s="14"/>
      <c r="H31" s="74"/>
      <c r="I31" s="74"/>
      <c r="J31" s="74"/>
      <c r="K31" s="74"/>
      <c r="L31" s="74"/>
      <c r="M31" s="14"/>
      <c r="N31" s="14"/>
      <c r="O31" s="69">
        <f t="shared" si="0"/>
        <v>0</v>
      </c>
      <c r="P31" s="69">
        <f t="shared" si="1"/>
        <v>0</v>
      </c>
      <c r="Q31" s="69">
        <f t="shared" si="2"/>
        <v>0</v>
      </c>
      <c r="R31" s="69">
        <f t="shared" si="3"/>
        <v>0</v>
      </c>
      <c r="S31" s="69">
        <f t="shared" si="4"/>
        <v>0</v>
      </c>
      <c r="T31" s="69">
        <f t="shared" si="5"/>
        <v>0</v>
      </c>
      <c r="U31" s="69">
        <f t="shared" si="6"/>
        <v>0</v>
      </c>
      <c r="V31" s="719"/>
      <c r="W31" s="83" t="s">
        <v>150</v>
      </c>
      <c r="X31" s="719"/>
    </row>
    <row r="32" spans="1:24">
      <c r="B32" s="14"/>
      <c r="C32" s="22">
        <f ca="1">COUNTA(OFFSET(C$23,-1,0):OFFSET(C32,-1,0))</f>
        <v>10</v>
      </c>
      <c r="D32" s="42"/>
      <c r="E32" s="42"/>
      <c r="F32" s="72"/>
      <c r="G32" s="14"/>
      <c r="H32" s="74"/>
      <c r="I32" s="74"/>
      <c r="J32" s="74"/>
      <c r="K32" s="74"/>
      <c r="L32" s="74"/>
      <c r="M32" s="14"/>
      <c r="N32" s="14"/>
      <c r="O32" s="69">
        <f t="shared" si="0"/>
        <v>0</v>
      </c>
      <c r="P32" s="69">
        <f t="shared" si="1"/>
        <v>0</v>
      </c>
      <c r="Q32" s="69">
        <f t="shared" si="2"/>
        <v>0</v>
      </c>
      <c r="R32" s="69">
        <f t="shared" si="3"/>
        <v>0</v>
      </c>
      <c r="S32" s="69">
        <f t="shared" si="4"/>
        <v>0</v>
      </c>
      <c r="T32" s="69">
        <f t="shared" si="5"/>
        <v>0</v>
      </c>
      <c r="U32" s="69">
        <f t="shared" si="6"/>
        <v>0</v>
      </c>
      <c r="V32" s="719"/>
      <c r="W32" s="83" t="s">
        <v>151</v>
      </c>
      <c r="X32" s="719"/>
    </row>
    <row r="33" spans="1:24">
      <c r="B33" s="14"/>
      <c r="C33" s="22" t="s">
        <v>1270</v>
      </c>
      <c r="D33" s="22"/>
      <c r="E33" s="22"/>
      <c r="F33" s="73"/>
      <c r="G33" s="14"/>
      <c r="H33" s="81"/>
      <c r="I33" s="81"/>
      <c r="J33" s="81"/>
      <c r="K33" s="81"/>
      <c r="L33" s="81"/>
      <c r="M33" s="14"/>
      <c r="N33" s="14"/>
      <c r="O33" s="69">
        <f>F33</f>
        <v>0</v>
      </c>
      <c r="P33" s="82"/>
      <c r="Q33" s="82"/>
      <c r="R33" s="82"/>
      <c r="S33" s="82"/>
      <c r="T33" s="82"/>
      <c r="U33" s="82"/>
      <c r="V33" s="719"/>
      <c r="W33" s="719"/>
      <c r="X33" s="719"/>
    </row>
    <row r="34" spans="1:24">
      <c r="B34" s="14"/>
      <c r="C34" s="14"/>
      <c r="D34" s="14"/>
      <c r="E34" s="14"/>
      <c r="F34" s="14"/>
      <c r="G34" s="14"/>
      <c r="H34" s="14"/>
      <c r="I34" s="14"/>
      <c r="J34" s="14"/>
      <c r="K34" s="14"/>
      <c r="L34" s="14"/>
      <c r="M34" s="14"/>
      <c r="N34" s="14"/>
      <c r="O34" s="14"/>
      <c r="P34" s="79"/>
      <c r="Q34" s="79"/>
      <c r="R34" s="79"/>
      <c r="S34" s="79"/>
      <c r="T34" s="79"/>
      <c r="U34" s="79"/>
      <c r="V34" s="11"/>
      <c r="W34" s="11"/>
      <c r="X34" s="11"/>
    </row>
    <row r="35" spans="1:24">
      <c r="A35" s="139"/>
      <c r="B35" s="14"/>
      <c r="C35" s="22" t="s">
        <v>1271</v>
      </c>
      <c r="D35" s="22"/>
      <c r="E35" s="22"/>
      <c r="F35" s="71">
        <f>P$35</f>
        <v>0</v>
      </c>
      <c r="G35" s="14"/>
      <c r="H35" s="10">
        <f>Q35</f>
        <v>0</v>
      </c>
      <c r="I35" s="10">
        <f>R35</f>
        <v>0</v>
      </c>
      <c r="J35" s="10">
        <f>S35</f>
        <v>0</v>
      </c>
      <c r="K35" s="10">
        <f>T35</f>
        <v>0</v>
      </c>
      <c r="L35" s="10">
        <f>U35</f>
        <v>0</v>
      </c>
      <c r="M35" s="14"/>
      <c r="N35" s="14"/>
      <c r="O35" s="69">
        <f t="shared" ref="O35:U35" si="7">SUM(O23:O33)</f>
        <v>0</v>
      </c>
      <c r="P35" s="69">
        <f t="shared" si="7"/>
        <v>0</v>
      </c>
      <c r="Q35" s="69">
        <f t="shared" si="7"/>
        <v>0</v>
      </c>
      <c r="R35" s="69">
        <f t="shared" si="7"/>
        <v>0</v>
      </c>
      <c r="S35" s="69">
        <f t="shared" si="7"/>
        <v>0</v>
      </c>
      <c r="T35" s="69">
        <f t="shared" si="7"/>
        <v>0</v>
      </c>
      <c r="U35" s="69">
        <f t="shared" si="7"/>
        <v>0</v>
      </c>
      <c r="V35" s="719"/>
      <c r="W35" s="719"/>
      <c r="X35" s="719"/>
    </row>
    <row r="36" spans="1:24">
      <c r="B36" s="14"/>
      <c r="C36" s="14"/>
      <c r="D36" s="14"/>
      <c r="E36" s="14"/>
      <c r="F36" s="14"/>
      <c r="G36" s="14"/>
      <c r="H36" s="14"/>
      <c r="I36" s="14"/>
      <c r="J36" s="14"/>
      <c r="K36" s="14"/>
      <c r="L36" s="14"/>
      <c r="M36" s="14"/>
      <c r="N36" s="14"/>
      <c r="O36" s="12"/>
      <c r="P36" s="12"/>
      <c r="Q36" s="14"/>
      <c r="R36" s="14"/>
      <c r="S36" s="14"/>
      <c r="T36" s="14"/>
      <c r="U36" s="14"/>
      <c r="V36" s="14"/>
      <c r="W36" s="14"/>
      <c r="X36" s="14"/>
    </row>
    <row r="37" spans="1:24">
      <c r="B37" s="141" t="str">
        <f>"© W/E adviseurs, Utrecht/Eindhoven, versie rekenhulpmiddelen "&amp;TEXT(Wijzigingsblad!$B$3,"d mmmm jjjj")</f>
        <v>© W/E adviseurs, Utrecht/Eindhoven, versie rekenhulpmiddelen 17 april 2024</v>
      </c>
    </row>
  </sheetData>
  <sheetProtection sheet="1" objects="1" scenarios="1"/>
  <mergeCells count="6">
    <mergeCell ref="B3:D3"/>
    <mergeCell ref="D6:F6"/>
    <mergeCell ref="D7:F7"/>
    <mergeCell ref="D8:F8"/>
    <mergeCell ref="D10:F10"/>
    <mergeCell ref="D9:F9"/>
  </mergeCells>
  <conditionalFormatting sqref="F23:F32">
    <cfRule type="expression" dxfId="36" priority="34">
      <formula>$E23&lt;&gt;""</formula>
    </cfRule>
  </conditionalFormatting>
  <conditionalFormatting sqref="F33">
    <cfRule type="expression" dxfId="35" priority="17">
      <formula>SUM($F$23:$F$32)=0</formula>
    </cfRule>
  </conditionalFormatting>
  <conditionalFormatting sqref="F35">
    <cfRule type="cellIs" dxfId="34" priority="18" operator="equal">
      <formula>0</formula>
    </cfRule>
  </conditionalFormatting>
  <conditionalFormatting sqref="H23:L32">
    <cfRule type="expression" dxfId="33" priority="1">
      <formula>AND($E23&lt;&gt;"",$F23&gt;0,H23="")</formula>
    </cfRule>
    <cfRule type="expression" dxfId="32" priority="36">
      <formula>AND($E23&lt;&gt;"",$F23&gt;0)</formula>
    </cfRule>
  </conditionalFormatting>
  <conditionalFormatting sqref="H35:L35">
    <cfRule type="expression" dxfId="31" priority="23">
      <formula>$F35=0</formula>
    </cfRule>
    <cfRule type="cellIs" dxfId="30" priority="24" operator="lessThan">
      <formula>H$19</formula>
    </cfRule>
  </conditionalFormatting>
  <dataValidations count="6">
    <dataValidation type="decimal" allowBlank="1" showInputMessage="1" showErrorMessage="1" sqref="H19:L19" xr:uid="{92EEFE64-4FF8-4E45-9C40-00963B4C37F5}">
      <formula1>1</formula1>
      <formula2>10</formula2>
    </dataValidation>
    <dataValidation type="decimal" operator="greaterThanOrEqual" allowBlank="1" showInputMessage="1" showErrorMessage="1" sqref="F23:F33" xr:uid="{B20F7584-B39B-4706-BB87-D9F32A34DF6B}">
      <formula1>0</formula1>
    </dataValidation>
    <dataValidation type="list" allowBlank="1" showInputMessage="1" showErrorMessage="1" sqref="E23:E32" xr:uid="{D351551C-B66B-44C1-B6AB-440ECAA00B4E}">
      <formula1>$W$23:$W$32</formula1>
    </dataValidation>
    <dataValidation type="decimal" allowBlank="1" showInputMessage="1" showErrorMessage="1" errorTitle="waarde ligt buiten bereik 1-10" error="De GPR score is minimaal 1 en maximaal 10." sqref="I23:L32" xr:uid="{A8DFF418-CF98-46DD-B357-B26E63051363}">
      <formula1>1</formula1>
      <formula2>10</formula2>
    </dataValidation>
    <dataValidation type="decimal" errorStyle="warning" allowBlank="1" showInputMessage="1" showErrorMessage="1" errorTitle="waarde ligt buiten bereik" error="De GPR score is minimaal 1 en kan bij energie hoger zijn dan 10 bij energieleverende gebouwen." sqref="H23:H32" xr:uid="{C7699251-7130-4A9C-8EB4-0492CF4F3CFB}">
      <formula1>1</formula1>
      <formula2>10</formula2>
    </dataValidation>
    <dataValidation allowBlank="1" showInputMessage="1" showErrorMessage="1" promptTitle="Doel rekenblad" prompt="Het rekenblad combineert de resultaten van maximaal 10 GPR berekeningen tot één gewogen resultaat. Dit is toepasbaar in de volgende situaties:         _x000a_1 Een gebouw bevat meerdere gebruiksfuncties. " sqref="H7" xr:uid="{17BB3FFC-43B4-477A-902A-88EC087156C7}"/>
  </dataValidations>
  <hyperlinks>
    <hyperlink ref="A1" location="'Overzicht GPR Hulpmiddelen'!A1" tooltip="naar startscherm" display="&lt;" xr:uid="{4123BEFF-C8AB-4035-AFD9-809DB9B5035E}"/>
  </hyperlinks>
  <printOptions horizontalCentered="1"/>
  <pageMargins left="0.39370078740157483" right="0.39370078740157483" top="0.55118110236220474" bottom="0.55118110236220474" header="0.27559055118110237" footer="0.27559055118110237"/>
  <pageSetup paperSize="9" scale="57" orientation="portrait" horizontalDpi="4294967293" verticalDpi="4294967295" r:id="rId1"/>
  <headerFooter>
    <oddHeader>&amp;C&amp;F | &amp;A</oddHeader>
    <oddFooter>&amp;LPrestatiegericht beleid met de GPR&amp;CStichting W/E adviseurs&amp;R&amp;D | &amp;T</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F3574-AD8E-4883-834F-C0978604CB9B}">
  <sheetPr codeName="Blad14">
    <tabColor theme="5"/>
    <pageSetUpPr fitToPage="1"/>
  </sheetPr>
  <dimension ref="A1:Y54"/>
  <sheetViews>
    <sheetView showGridLines="0" showRowColHeaders="0" zoomScaleNormal="100" workbookViewId="0">
      <pane xSplit="1" ySplit="3" topLeftCell="B4" activePane="bottomRight" state="frozen"/>
      <selection pane="topRight" activeCell="B1" sqref="B1"/>
      <selection pane="bottomLeft" activeCell="A4" sqref="A4"/>
      <selection pane="bottomRight" activeCell="D19" sqref="D19"/>
    </sheetView>
  </sheetViews>
  <sheetFormatPr defaultColWidth="9.54296875" defaultRowHeight="17.5"/>
  <cols>
    <col min="1" max="1" width="10.7265625" style="19" customWidth="1"/>
    <col min="2" max="2" width="2.7265625" style="19" customWidth="1"/>
    <col min="3" max="3" width="21.26953125" style="19" customWidth="1"/>
    <col min="4" max="6" width="20.7265625" style="19" customWidth="1"/>
    <col min="7" max="7" width="0.453125" style="19" customWidth="1"/>
    <col min="8" max="12" width="13.1796875" style="37" customWidth="1"/>
    <col min="13" max="13" width="36.54296875" style="19" customWidth="1"/>
    <col min="14" max="14" width="2.7265625" style="19" hidden="1" customWidth="1"/>
    <col min="15" max="15" width="30" style="19" hidden="1" customWidth="1"/>
    <col min="16" max="16" width="28.7265625" style="19" hidden="1" customWidth="1"/>
    <col min="17" max="17" width="7.54296875" style="37" hidden="1" customWidth="1"/>
    <col min="18" max="18" width="6.81640625" style="37" hidden="1" customWidth="1"/>
    <col min="19" max="19" width="7.453125" style="37" hidden="1" customWidth="1"/>
    <col min="20" max="20" width="7.54296875" style="37" hidden="1" customWidth="1"/>
    <col min="21" max="21" width="9.26953125" style="37" hidden="1" customWidth="1"/>
    <col min="22" max="22" width="2.453125" style="19" hidden="1" customWidth="1"/>
    <col min="23" max="23" width="20.54296875" style="19" hidden="1" customWidth="1"/>
    <col min="24" max="24" width="2.453125" style="19" hidden="1" customWidth="1"/>
    <col min="25" max="25" width="10.7265625" style="19" hidden="1" customWidth="1"/>
    <col min="26" max="16383" width="9.54296875" style="19"/>
    <col min="16384" max="16384" width="9.54296875" style="19" customWidth="1"/>
  </cols>
  <sheetData>
    <row r="1" spans="1:25" s="18" customFormat="1" ht="32.5">
      <c r="A1" s="176" t="s">
        <v>12</v>
      </c>
      <c r="B1" s="174"/>
      <c r="C1" s="175"/>
      <c r="D1" s="31"/>
      <c r="E1" s="31"/>
      <c r="F1" s="31"/>
      <c r="G1" s="31"/>
      <c r="H1" s="21"/>
      <c r="K1" s="21"/>
      <c r="L1" s="21"/>
    </row>
    <row r="2" spans="1:25" ht="21">
      <c r="A2" s="33"/>
      <c r="B2" s="28" t="s">
        <v>1272</v>
      </c>
      <c r="C2" s="28"/>
      <c r="D2" s="28"/>
      <c r="E2" s="28"/>
      <c r="F2" s="28"/>
      <c r="G2" s="27"/>
      <c r="H2" s="27"/>
      <c r="I2" s="27"/>
      <c r="J2" s="27"/>
      <c r="K2" s="27"/>
      <c r="L2" s="27"/>
      <c r="M2" s="27"/>
      <c r="N2" s="27"/>
      <c r="O2" s="27"/>
      <c r="P2" s="28"/>
      <c r="Q2" s="28"/>
      <c r="R2" s="28"/>
      <c r="S2" s="28"/>
      <c r="T2" s="28"/>
      <c r="U2" s="28"/>
      <c r="V2" s="28"/>
      <c r="W2" s="27"/>
      <c r="X2" s="27"/>
      <c r="Y2" s="28"/>
    </row>
    <row r="3" spans="1:25" s="29" customFormat="1">
      <c r="B3" s="1687">
        <v>44524</v>
      </c>
      <c r="C3" s="1688"/>
      <c r="D3" s="1713"/>
      <c r="Y3"/>
    </row>
    <row r="4" spans="1:25" s="18" customFormat="1">
      <c r="B4" s="14"/>
      <c r="C4" s="67"/>
      <c r="D4" s="67"/>
      <c r="E4" s="67"/>
      <c r="F4" s="67"/>
      <c r="G4" s="14"/>
      <c r="H4" s="14"/>
      <c r="I4" s="14"/>
      <c r="J4" s="14"/>
      <c r="K4" s="14"/>
      <c r="L4" s="14"/>
      <c r="M4" s="14"/>
      <c r="N4" s="14"/>
      <c r="O4" s="14"/>
      <c r="P4" s="14"/>
      <c r="Q4" s="14"/>
      <c r="R4" s="14"/>
      <c r="S4" s="14"/>
      <c r="T4" s="14"/>
      <c r="U4" s="14"/>
      <c r="V4" s="14"/>
      <c r="W4" s="14"/>
      <c r="X4" s="14"/>
    </row>
    <row r="5" spans="1:25">
      <c r="B5" s="14"/>
      <c r="C5" s="68" t="s">
        <v>3</v>
      </c>
      <c r="D5" s="68"/>
      <c r="E5" s="68"/>
      <c r="F5" s="68"/>
      <c r="G5" s="14"/>
      <c r="H5" s="14"/>
      <c r="I5" s="41" t="s">
        <v>485</v>
      </c>
      <c r="J5" s="14"/>
      <c r="K5" s="14"/>
      <c r="L5" s="14"/>
      <c r="M5" s="14"/>
      <c r="N5" s="14"/>
      <c r="O5" s="14"/>
      <c r="P5" s="14"/>
      <c r="Q5" s="14"/>
      <c r="R5" s="14"/>
      <c r="S5" s="14"/>
      <c r="T5" s="14"/>
      <c r="U5" s="14"/>
      <c r="V5" s="14"/>
      <c r="W5" s="14"/>
      <c r="X5" s="14"/>
    </row>
    <row r="6" spans="1:25" ht="17.25" customHeight="1">
      <c r="B6" s="14"/>
      <c r="C6" s="22" t="s">
        <v>4</v>
      </c>
      <c r="D6" s="1691" t="str">
        <f>IF('Overzicht GPR Hulpmiddelen'!D6="","",'Overzicht GPR Hulpmiddelen'!D6)</f>
        <v/>
      </c>
      <c r="E6" s="1691"/>
      <c r="F6" s="1691"/>
      <c r="G6" s="14"/>
      <c r="H6" s="510"/>
      <c r="I6" s="14"/>
      <c r="J6" s="14"/>
      <c r="K6" s="14"/>
      <c r="L6" s="14"/>
      <c r="M6" s="14"/>
      <c r="N6" s="14"/>
      <c r="O6" s="14"/>
      <c r="P6" s="14"/>
      <c r="Q6" s="14"/>
      <c r="R6" s="14"/>
      <c r="S6" s="14"/>
      <c r="T6" s="14"/>
      <c r="U6" s="14"/>
      <c r="V6" s="14"/>
      <c r="W6" s="14"/>
      <c r="X6" s="14"/>
    </row>
    <row r="7" spans="1:25">
      <c r="B7" s="14"/>
      <c r="C7" s="22" t="s">
        <v>5</v>
      </c>
      <c r="D7" s="1691" t="str">
        <f>IF('Overzicht GPR Hulpmiddelen'!D7="","",'Overzicht GPR Hulpmiddelen'!D7)</f>
        <v/>
      </c>
      <c r="E7" s="1691"/>
      <c r="F7" s="1691"/>
      <c r="G7" s="14"/>
      <c r="H7" s="14"/>
      <c r="I7" s="14"/>
      <c r="J7" s="14"/>
      <c r="K7" s="14"/>
      <c r="L7" s="14"/>
      <c r="M7" s="14"/>
      <c r="N7" s="14"/>
      <c r="O7" s="14"/>
      <c r="P7" s="14"/>
      <c r="Q7" s="14"/>
      <c r="R7" s="14"/>
      <c r="S7" s="14"/>
      <c r="T7" s="14"/>
      <c r="U7" s="14"/>
      <c r="V7" s="14"/>
      <c r="W7" s="14"/>
      <c r="X7" s="14"/>
    </row>
    <row r="8" spans="1:25">
      <c r="B8" s="14"/>
      <c r="C8" s="22" t="s">
        <v>6</v>
      </c>
      <c r="D8" s="1691" t="str">
        <f>IF('Overzicht GPR Hulpmiddelen'!D8="","",'Overzicht GPR Hulpmiddelen'!D8)</f>
        <v/>
      </c>
      <c r="E8" s="1691"/>
      <c r="F8" s="1691"/>
      <c r="G8" s="14"/>
      <c r="H8" s="14"/>
      <c r="I8" s="14"/>
      <c r="J8" s="14"/>
      <c r="K8" s="14"/>
      <c r="L8" s="14"/>
      <c r="M8" s="14"/>
      <c r="N8" s="14"/>
      <c r="O8" s="14"/>
      <c r="P8" s="14"/>
      <c r="Q8" s="14"/>
      <c r="R8" s="14"/>
      <c r="S8" s="14"/>
      <c r="T8" s="14"/>
      <c r="U8" s="14"/>
      <c r="V8" s="14"/>
      <c r="W8" s="14"/>
      <c r="X8" s="14"/>
    </row>
    <row r="9" spans="1:25">
      <c r="B9" s="14"/>
      <c r="C9" s="22" t="s">
        <v>7</v>
      </c>
      <c r="D9" s="1699" t="str">
        <f>IF('Overzicht GPR Hulpmiddelen'!D9="","",'Overzicht GPR Hulpmiddelen'!D9)</f>
        <v/>
      </c>
      <c r="E9" s="1699"/>
      <c r="F9" s="1699"/>
      <c r="G9" s="14"/>
      <c r="H9" s="14"/>
      <c r="I9" s="14"/>
      <c r="J9" s="14"/>
      <c r="K9" s="14"/>
      <c r="L9" s="14"/>
      <c r="M9" s="14"/>
      <c r="N9" s="14"/>
      <c r="O9" s="14"/>
      <c r="P9" s="14"/>
      <c r="Q9" s="14"/>
      <c r="R9" s="14"/>
      <c r="S9" s="14"/>
      <c r="T9" s="14"/>
      <c r="U9" s="14"/>
      <c r="V9" s="14"/>
      <c r="W9" s="14"/>
      <c r="X9" s="14"/>
    </row>
    <row r="10" spans="1:25">
      <c r="B10" s="14"/>
      <c r="C10" s="22" t="s">
        <v>488</v>
      </c>
      <c r="D10" s="1685"/>
      <c r="E10" s="1685"/>
      <c r="F10" s="1685"/>
      <c r="G10" s="14"/>
      <c r="H10" s="14"/>
      <c r="I10" s="14"/>
      <c r="J10" s="14"/>
      <c r="K10" s="14"/>
      <c r="L10" s="14"/>
      <c r="M10" s="14"/>
      <c r="N10" s="14"/>
      <c r="O10" s="14"/>
      <c r="P10" s="14"/>
      <c r="Q10" s="14"/>
      <c r="R10" s="14"/>
      <c r="S10" s="14"/>
      <c r="T10" s="14"/>
      <c r="U10" s="14"/>
      <c r="V10" s="14"/>
      <c r="W10" s="14"/>
      <c r="X10" s="14"/>
    </row>
    <row r="11" spans="1:25">
      <c r="B11" s="14"/>
      <c r="C11" s="14"/>
      <c r="D11" s="14"/>
      <c r="E11" s="14"/>
      <c r="F11" s="14"/>
      <c r="G11" s="14"/>
      <c r="H11" s="14"/>
      <c r="I11" s="14"/>
      <c r="J11" s="14"/>
      <c r="K11" s="14"/>
      <c r="L11" s="14"/>
      <c r="M11" s="14"/>
      <c r="N11" s="14"/>
      <c r="O11" s="14"/>
      <c r="P11" s="14"/>
      <c r="Q11" s="14"/>
      <c r="R11" s="14"/>
      <c r="S11" s="14"/>
      <c r="T11" s="14"/>
      <c r="U11" s="14"/>
      <c r="V11" s="14"/>
      <c r="W11" s="14"/>
      <c r="X11" s="14"/>
    </row>
    <row r="12" spans="1:25">
      <c r="B12" s="14"/>
      <c r="C12" s="14"/>
      <c r="D12" s="14"/>
      <c r="E12" s="14"/>
      <c r="F12" s="14"/>
      <c r="G12" s="14"/>
      <c r="H12" s="14"/>
      <c r="I12" s="14"/>
      <c r="J12" s="14"/>
      <c r="K12" s="14"/>
      <c r="L12" s="14"/>
      <c r="M12" s="14"/>
      <c r="N12" s="14"/>
      <c r="O12" s="14"/>
      <c r="P12" s="14"/>
      <c r="Q12" s="14"/>
      <c r="R12" s="14"/>
      <c r="S12" s="14"/>
      <c r="T12" s="14"/>
      <c r="U12" s="14"/>
      <c r="V12" s="14"/>
      <c r="W12" s="14"/>
      <c r="X12" s="14"/>
    </row>
    <row r="13" spans="1:25">
      <c r="B13" s="14"/>
      <c r="C13" s="14"/>
      <c r="D13" s="14"/>
      <c r="E13" s="14"/>
      <c r="F13" s="14"/>
      <c r="G13" s="14"/>
      <c r="H13" s="14"/>
      <c r="I13" s="14"/>
      <c r="J13" s="14"/>
      <c r="K13" s="14"/>
      <c r="L13" s="14"/>
      <c r="M13" s="14"/>
      <c r="N13" s="14"/>
      <c r="O13" s="14"/>
      <c r="P13" s="14"/>
      <c r="Q13" s="14"/>
      <c r="R13" s="14"/>
      <c r="S13" s="14"/>
      <c r="T13" s="14"/>
      <c r="U13" s="14"/>
      <c r="V13" s="14"/>
      <c r="W13" s="14"/>
      <c r="X13" s="14"/>
    </row>
    <row r="14" spans="1:25">
      <c r="B14" s="14"/>
      <c r="C14" s="14"/>
      <c r="D14" s="14"/>
      <c r="E14" s="14"/>
      <c r="F14" s="14"/>
      <c r="G14" s="14"/>
      <c r="H14" s="14"/>
      <c r="I14" s="14"/>
      <c r="J14" s="14"/>
      <c r="K14" s="14"/>
      <c r="L14" s="14"/>
      <c r="M14" s="14"/>
      <c r="N14" s="14"/>
      <c r="O14" s="14"/>
      <c r="P14" s="14"/>
      <c r="Q14" s="14"/>
      <c r="R14" s="14"/>
      <c r="S14" s="14"/>
      <c r="T14" s="14"/>
      <c r="U14" s="14"/>
      <c r="V14" s="14"/>
      <c r="W14" s="14"/>
      <c r="X14" s="14"/>
    </row>
    <row r="15" spans="1:25">
      <c r="B15" s="14"/>
      <c r="C15" s="14"/>
      <c r="D15" s="14"/>
      <c r="E15" s="14"/>
      <c r="F15" s="14"/>
      <c r="G15" s="14"/>
      <c r="H15" s="14"/>
      <c r="I15" s="14"/>
      <c r="J15" s="14"/>
      <c r="K15" s="14"/>
      <c r="L15" s="14"/>
      <c r="M15" s="14"/>
      <c r="N15" s="14"/>
      <c r="O15" s="14"/>
      <c r="P15" s="14"/>
      <c r="Q15" s="14"/>
      <c r="R15" s="14"/>
      <c r="S15" s="14"/>
      <c r="T15" s="14"/>
      <c r="U15" s="14"/>
      <c r="V15" s="14"/>
      <c r="W15" s="14"/>
      <c r="X15" s="14"/>
    </row>
    <row r="16" spans="1:25" s="18" customFormat="1">
      <c r="B16" s="14"/>
      <c r="C16" s="14"/>
      <c r="D16" s="14"/>
      <c r="E16" s="14"/>
      <c r="F16" s="14"/>
      <c r="G16" s="14"/>
      <c r="H16" s="14"/>
      <c r="I16" s="14"/>
      <c r="J16" s="14"/>
      <c r="K16" s="14"/>
      <c r="L16" s="14"/>
      <c r="M16" s="14"/>
      <c r="N16" s="14"/>
      <c r="O16" s="14"/>
      <c r="P16" s="35"/>
      <c r="Q16" s="35"/>
      <c r="R16" s="35"/>
      <c r="S16" s="35"/>
      <c r="T16" s="35"/>
      <c r="U16" s="35"/>
      <c r="V16" s="35"/>
      <c r="W16" s="14"/>
      <c r="X16" s="14"/>
    </row>
    <row r="17" spans="1:24">
      <c r="B17" s="14"/>
      <c r="C17" s="68" t="s">
        <v>1254</v>
      </c>
      <c r="D17" s="68"/>
      <c r="E17" s="68"/>
      <c r="F17" s="68"/>
      <c r="G17" s="719"/>
      <c r="H17" s="510"/>
      <c r="I17" s="79"/>
      <c r="J17" s="79" t="s">
        <v>1255</v>
      </c>
      <c r="K17" s="79"/>
      <c r="L17" s="79"/>
      <c r="M17" s="14"/>
      <c r="N17" s="14"/>
      <c r="O17" s="12"/>
      <c r="P17" s="12"/>
      <c r="Q17" s="14"/>
      <c r="R17" s="14"/>
      <c r="S17" s="14"/>
      <c r="T17" s="14"/>
      <c r="U17" s="14"/>
      <c r="V17" s="12"/>
      <c r="W17" s="12"/>
      <c r="X17" s="12"/>
    </row>
    <row r="18" spans="1:24">
      <c r="B18" s="14"/>
      <c r="C18" s="52" t="s">
        <v>1256</v>
      </c>
      <c r="D18" s="52"/>
      <c r="E18" s="52"/>
      <c r="F18" s="52"/>
      <c r="G18" s="719"/>
      <c r="H18" s="76" t="s">
        <v>8</v>
      </c>
      <c r="I18" s="76" t="s">
        <v>9</v>
      </c>
      <c r="J18" s="76" t="s">
        <v>1257</v>
      </c>
      <c r="K18" s="76" t="s">
        <v>1004</v>
      </c>
      <c r="L18" s="76" t="s">
        <v>1258</v>
      </c>
      <c r="M18" s="14"/>
      <c r="N18" s="14"/>
      <c r="O18" s="12"/>
      <c r="P18" s="12"/>
      <c r="Q18" s="14"/>
      <c r="R18" s="14"/>
      <c r="S18" s="14"/>
      <c r="T18" s="14"/>
      <c r="U18" s="14"/>
      <c r="V18" s="12"/>
      <c r="W18" s="12"/>
      <c r="X18" s="12"/>
    </row>
    <row r="19" spans="1:24" ht="26">
      <c r="B19" s="14"/>
      <c r="C19" s="75"/>
      <c r="D19" s="75"/>
      <c r="E19" s="75"/>
      <c r="F19" s="75"/>
      <c r="G19" s="719"/>
      <c r="H19" s="77"/>
      <c r="I19" s="77"/>
      <c r="J19" s="77"/>
      <c r="K19" s="77"/>
      <c r="L19" s="77"/>
      <c r="M19" s="78"/>
      <c r="N19" s="78"/>
      <c r="O19" s="12"/>
      <c r="P19" s="12"/>
      <c r="Q19" s="14"/>
      <c r="R19" s="14"/>
      <c r="S19" s="14"/>
      <c r="T19" s="14"/>
      <c r="U19" s="14"/>
      <c r="V19" s="12"/>
      <c r="W19" s="12"/>
      <c r="X19" s="12"/>
    </row>
    <row r="20" spans="1:24">
      <c r="B20" s="14"/>
      <c r="C20" s="22" t="s">
        <v>1259</v>
      </c>
      <c r="D20" s="22"/>
      <c r="E20" s="22"/>
      <c r="F20" s="22"/>
      <c r="G20" s="719"/>
      <c r="H20" s="74"/>
      <c r="I20" s="74"/>
      <c r="J20" s="74"/>
      <c r="K20" s="74"/>
      <c r="L20" s="74"/>
      <c r="M20" s="14"/>
      <c r="N20" s="14"/>
      <c r="O20" s="12"/>
      <c r="P20" s="12"/>
      <c r="Q20" s="14"/>
      <c r="R20" s="14"/>
      <c r="S20" s="14"/>
      <c r="T20" s="14"/>
      <c r="U20" s="14"/>
      <c r="V20" s="12"/>
      <c r="W20" s="12"/>
      <c r="X20" s="12"/>
    </row>
    <row r="21" spans="1:24">
      <c r="B21" s="14"/>
      <c r="C21" s="67"/>
      <c r="D21" s="67"/>
      <c r="E21" s="67"/>
      <c r="F21" s="67"/>
      <c r="G21" s="719"/>
      <c r="H21" s="67"/>
      <c r="I21" s="67"/>
      <c r="J21" s="67"/>
      <c r="K21" s="67"/>
      <c r="L21" s="67"/>
      <c r="M21" s="14"/>
      <c r="N21" s="14"/>
      <c r="O21" s="12"/>
      <c r="P21" s="12"/>
      <c r="Q21" s="14"/>
      <c r="R21" s="14"/>
      <c r="S21" s="14"/>
      <c r="T21" s="14"/>
      <c r="U21" s="14"/>
      <c r="V21" s="12"/>
      <c r="W21" s="12"/>
      <c r="X21" s="12"/>
    </row>
    <row r="22" spans="1:24">
      <c r="B22" s="14"/>
      <c r="C22" s="68" t="s">
        <v>1260</v>
      </c>
      <c r="D22" s="68"/>
      <c r="E22" s="68"/>
      <c r="F22" s="68"/>
      <c r="G22" s="719"/>
      <c r="H22" s="79"/>
      <c r="I22" s="79"/>
      <c r="J22" s="79" t="s">
        <v>1261</v>
      </c>
      <c r="K22" s="79"/>
      <c r="L22" s="79"/>
      <c r="M22" s="14"/>
      <c r="N22" s="14"/>
      <c r="O22" s="12"/>
      <c r="P22" s="12"/>
      <c r="Q22" s="14"/>
      <c r="R22" s="14"/>
      <c r="S22" s="14"/>
      <c r="T22" s="14"/>
      <c r="U22" s="14"/>
      <c r="V22" s="12"/>
      <c r="W22" s="12"/>
      <c r="X22" s="12"/>
    </row>
    <row r="23" spans="1:24">
      <c r="A23" s="139"/>
      <c r="B23" s="14"/>
      <c r="C23" s="57" t="s">
        <v>1262</v>
      </c>
      <c r="D23" s="57" t="s">
        <v>1263</v>
      </c>
      <c r="E23" s="57" t="s">
        <v>1264</v>
      </c>
      <c r="F23" s="64" t="s">
        <v>561</v>
      </c>
      <c r="G23" s="719"/>
      <c r="H23" s="1774" t="s">
        <v>1273</v>
      </c>
      <c r="I23" s="1774"/>
      <c r="J23" s="26" t="s">
        <v>1257</v>
      </c>
      <c r="K23" s="26" t="s">
        <v>1004</v>
      </c>
      <c r="L23" s="26" t="s">
        <v>1258</v>
      </c>
      <c r="M23" s="719"/>
      <c r="N23" s="719"/>
      <c r="O23" s="70" t="s">
        <v>1265</v>
      </c>
      <c r="P23" s="70" t="s">
        <v>1266</v>
      </c>
      <c r="Q23" s="1774" t="str">
        <f>H18</f>
        <v>Energie</v>
      </c>
      <c r="R23" s="1774"/>
      <c r="S23" s="26" t="str">
        <f>J18</f>
        <v>Gezond</v>
      </c>
      <c r="T23" s="26" t="str">
        <f>K18</f>
        <v>Gebruik</v>
      </c>
      <c r="U23" s="26" t="str">
        <f>L18</f>
        <v>Toekomst</v>
      </c>
      <c r="V23" s="12"/>
      <c r="W23" s="26" t="s">
        <v>1267</v>
      </c>
      <c r="X23" s="12"/>
    </row>
    <row r="24" spans="1:24">
      <c r="A24" s="139"/>
      <c r="B24" s="14"/>
      <c r="C24" s="22">
        <f ca="1">COUNTA(OFFSET(C$24,-1,0):OFFSET(C24,-1,0))</f>
        <v>1</v>
      </c>
      <c r="D24" s="42"/>
      <c r="E24" s="42"/>
      <c r="F24" s="72"/>
      <c r="G24" s="719"/>
      <c r="H24" s="1773"/>
      <c r="I24" s="1773"/>
      <c r="J24" s="74"/>
      <c r="K24" s="74"/>
      <c r="L24" s="74"/>
      <c r="M24" s="719"/>
      <c r="N24" s="719"/>
      <c r="O24" s="69">
        <f t="shared" ref="O24:O33" si="0">IF($E24="",0,F24)</f>
        <v>0</v>
      </c>
      <c r="P24" s="69">
        <f t="shared" ref="P24:P33" si="1">IFERROR(O24+O24/SUM($O$24:$O$33)*O$34,0)</f>
        <v>0</v>
      </c>
      <c r="Q24" s="1775">
        <f t="shared" ref="Q24:Q33" si="2">IF(ISERROR(H24*$P24/$P$36),0,H24*$P24/$P$36)</f>
        <v>0</v>
      </c>
      <c r="R24" s="1775"/>
      <c r="S24" s="69">
        <f t="shared" ref="S24:S33" si="3">IF(ISERROR(J24*$P24/$P$36),0,J24*$P24/$P$36)</f>
        <v>0</v>
      </c>
      <c r="T24" s="69">
        <f t="shared" ref="T24:T33" si="4">IF(ISERROR(K24*$P24/$P$36),0,K24*$P24/$P$36)</f>
        <v>0</v>
      </c>
      <c r="U24" s="69">
        <f t="shared" ref="U24:U33" si="5">IF(ISERROR(L24*$P24/$P$36),0,L24*$P24/$P$36)</f>
        <v>0</v>
      </c>
      <c r="V24" s="12"/>
      <c r="W24" s="83" t="s">
        <v>1268</v>
      </c>
      <c r="X24" s="12"/>
    </row>
    <row r="25" spans="1:24">
      <c r="B25" s="14"/>
      <c r="C25" s="22">
        <f ca="1">COUNTA(OFFSET(C$24,-1,0):OFFSET(C25,-1,0))</f>
        <v>2</v>
      </c>
      <c r="D25" s="42"/>
      <c r="E25" s="42"/>
      <c r="F25" s="72"/>
      <c r="G25" s="719"/>
      <c r="H25" s="1773"/>
      <c r="I25" s="1773"/>
      <c r="J25" s="74"/>
      <c r="K25" s="74"/>
      <c r="L25" s="74"/>
      <c r="M25" s="719"/>
      <c r="N25" s="719"/>
      <c r="O25" s="69">
        <f t="shared" si="0"/>
        <v>0</v>
      </c>
      <c r="P25" s="69">
        <f t="shared" si="1"/>
        <v>0</v>
      </c>
      <c r="Q25" s="1775">
        <f t="shared" si="2"/>
        <v>0</v>
      </c>
      <c r="R25" s="1775"/>
      <c r="S25" s="69">
        <f t="shared" si="3"/>
        <v>0</v>
      </c>
      <c r="T25" s="69">
        <f t="shared" si="4"/>
        <v>0</v>
      </c>
      <c r="U25" s="69">
        <f t="shared" si="5"/>
        <v>0</v>
      </c>
      <c r="V25" s="12"/>
      <c r="W25" s="83" t="s">
        <v>188</v>
      </c>
      <c r="X25" s="12"/>
    </row>
    <row r="26" spans="1:24">
      <c r="B26" s="14"/>
      <c r="C26" s="22">
        <f ca="1">COUNTA(OFFSET(C$24,-1,0):OFFSET(C26,-1,0))</f>
        <v>3</v>
      </c>
      <c r="D26" s="42"/>
      <c r="E26" s="42"/>
      <c r="F26" s="72"/>
      <c r="G26" s="719"/>
      <c r="H26" s="1773"/>
      <c r="I26" s="1773"/>
      <c r="J26" s="74"/>
      <c r="K26" s="74"/>
      <c r="L26" s="74"/>
      <c r="M26" s="719"/>
      <c r="N26" s="719"/>
      <c r="O26" s="69">
        <f t="shared" si="0"/>
        <v>0</v>
      </c>
      <c r="P26" s="69">
        <f t="shared" si="1"/>
        <v>0</v>
      </c>
      <c r="Q26" s="1775">
        <f t="shared" si="2"/>
        <v>0</v>
      </c>
      <c r="R26" s="1775"/>
      <c r="S26" s="69">
        <f t="shared" si="3"/>
        <v>0</v>
      </c>
      <c r="T26" s="69">
        <f t="shared" si="4"/>
        <v>0</v>
      </c>
      <c r="U26" s="69">
        <f t="shared" si="5"/>
        <v>0</v>
      </c>
      <c r="V26" s="12"/>
      <c r="W26" s="83" t="s">
        <v>185</v>
      </c>
      <c r="X26" s="12"/>
    </row>
    <row r="27" spans="1:24">
      <c r="B27" s="14"/>
      <c r="C27" s="22">
        <f ca="1">COUNTA(OFFSET(C$24,-1,0):OFFSET(C27,-1,0))</f>
        <v>4</v>
      </c>
      <c r="D27" s="42"/>
      <c r="E27" s="42"/>
      <c r="F27" s="72"/>
      <c r="G27" s="719"/>
      <c r="H27" s="1773"/>
      <c r="I27" s="1773"/>
      <c r="J27" s="74"/>
      <c r="K27" s="74"/>
      <c r="L27" s="74"/>
      <c r="M27" s="719"/>
      <c r="N27" s="719"/>
      <c r="O27" s="69">
        <f t="shared" si="0"/>
        <v>0</v>
      </c>
      <c r="P27" s="69">
        <f t="shared" si="1"/>
        <v>0</v>
      </c>
      <c r="Q27" s="1775">
        <f t="shared" si="2"/>
        <v>0</v>
      </c>
      <c r="R27" s="1775"/>
      <c r="S27" s="69">
        <f t="shared" si="3"/>
        <v>0</v>
      </c>
      <c r="T27" s="69">
        <f t="shared" si="4"/>
        <v>0</v>
      </c>
      <c r="U27" s="69">
        <f t="shared" si="5"/>
        <v>0</v>
      </c>
      <c r="V27" s="12"/>
      <c r="W27" s="83" t="s">
        <v>187</v>
      </c>
      <c r="X27" s="12"/>
    </row>
    <row r="28" spans="1:24">
      <c r="B28" s="14"/>
      <c r="C28" s="22">
        <f ca="1">COUNTA(OFFSET(C$24,-1,0):OFFSET(C28,-1,0))</f>
        <v>5</v>
      </c>
      <c r="D28" s="42"/>
      <c r="E28" s="42"/>
      <c r="F28" s="72"/>
      <c r="G28" s="719"/>
      <c r="H28" s="1773"/>
      <c r="I28" s="1773"/>
      <c r="J28" s="74"/>
      <c r="K28" s="74"/>
      <c r="L28" s="74"/>
      <c r="M28" s="719"/>
      <c r="N28" s="719"/>
      <c r="O28" s="69">
        <f t="shared" si="0"/>
        <v>0</v>
      </c>
      <c r="P28" s="69">
        <f t="shared" si="1"/>
        <v>0</v>
      </c>
      <c r="Q28" s="1775">
        <f t="shared" si="2"/>
        <v>0</v>
      </c>
      <c r="R28" s="1775"/>
      <c r="S28" s="69">
        <f t="shared" si="3"/>
        <v>0</v>
      </c>
      <c r="T28" s="69">
        <f t="shared" si="4"/>
        <v>0</v>
      </c>
      <c r="U28" s="69">
        <f t="shared" si="5"/>
        <v>0</v>
      </c>
      <c r="V28" s="12"/>
      <c r="W28" s="83" t="s">
        <v>149</v>
      </c>
      <c r="X28" s="12"/>
    </row>
    <row r="29" spans="1:24">
      <c r="B29" s="14"/>
      <c r="C29" s="22">
        <f ca="1">COUNTA(OFFSET(C$24,-1,0):OFFSET(C29,-1,0))</f>
        <v>6</v>
      </c>
      <c r="D29" s="42"/>
      <c r="E29" s="42"/>
      <c r="F29" s="72"/>
      <c r="G29" s="719"/>
      <c r="H29" s="1773"/>
      <c r="I29" s="1773"/>
      <c r="J29" s="74"/>
      <c r="K29" s="74"/>
      <c r="L29" s="74"/>
      <c r="M29" s="719"/>
      <c r="N29" s="719"/>
      <c r="O29" s="69">
        <f t="shared" si="0"/>
        <v>0</v>
      </c>
      <c r="P29" s="69">
        <f t="shared" si="1"/>
        <v>0</v>
      </c>
      <c r="Q29" s="1775">
        <f t="shared" si="2"/>
        <v>0</v>
      </c>
      <c r="R29" s="1775"/>
      <c r="S29" s="69">
        <f t="shared" si="3"/>
        <v>0</v>
      </c>
      <c r="T29" s="69">
        <f t="shared" si="4"/>
        <v>0</v>
      </c>
      <c r="U29" s="69">
        <f t="shared" si="5"/>
        <v>0</v>
      </c>
      <c r="V29" s="12"/>
      <c r="W29" s="83" t="s">
        <v>184</v>
      </c>
      <c r="X29" s="12"/>
    </row>
    <row r="30" spans="1:24">
      <c r="B30" s="14"/>
      <c r="C30" s="22">
        <f ca="1">COUNTA(OFFSET(C$24,-1,0):OFFSET(C30,-1,0))</f>
        <v>7</v>
      </c>
      <c r="D30" s="42"/>
      <c r="E30" s="42"/>
      <c r="F30" s="72"/>
      <c r="G30" s="719"/>
      <c r="H30" s="1773"/>
      <c r="I30" s="1773"/>
      <c r="J30" s="74"/>
      <c r="K30" s="74"/>
      <c r="L30" s="74"/>
      <c r="M30" s="719"/>
      <c r="N30" s="719"/>
      <c r="O30" s="69">
        <f t="shared" si="0"/>
        <v>0</v>
      </c>
      <c r="P30" s="69">
        <f t="shared" si="1"/>
        <v>0</v>
      </c>
      <c r="Q30" s="1775">
        <f t="shared" si="2"/>
        <v>0</v>
      </c>
      <c r="R30" s="1775"/>
      <c r="S30" s="69">
        <f t="shared" si="3"/>
        <v>0</v>
      </c>
      <c r="T30" s="69">
        <f t="shared" si="4"/>
        <v>0</v>
      </c>
      <c r="U30" s="69">
        <f t="shared" si="5"/>
        <v>0</v>
      </c>
      <c r="V30" s="12"/>
      <c r="W30" s="83" t="s">
        <v>186</v>
      </c>
      <c r="X30" s="12"/>
    </row>
    <row r="31" spans="1:24">
      <c r="B31" s="14"/>
      <c r="C31" s="22">
        <f ca="1">COUNTA(OFFSET(C$24,-1,0):OFFSET(C31,-1,0))</f>
        <v>8</v>
      </c>
      <c r="D31" s="42"/>
      <c r="E31" s="42"/>
      <c r="F31" s="72"/>
      <c r="G31" s="719"/>
      <c r="H31" s="1773"/>
      <c r="I31" s="1773"/>
      <c r="J31" s="74"/>
      <c r="K31" s="74"/>
      <c r="L31" s="74"/>
      <c r="M31" s="719"/>
      <c r="N31" s="719"/>
      <c r="O31" s="69">
        <f t="shared" si="0"/>
        <v>0</v>
      </c>
      <c r="P31" s="69">
        <f t="shared" si="1"/>
        <v>0</v>
      </c>
      <c r="Q31" s="1775">
        <f t="shared" si="2"/>
        <v>0</v>
      </c>
      <c r="R31" s="1775"/>
      <c r="S31" s="69">
        <f t="shared" si="3"/>
        <v>0</v>
      </c>
      <c r="T31" s="69">
        <f t="shared" si="4"/>
        <v>0</v>
      </c>
      <c r="U31" s="69">
        <f t="shared" si="5"/>
        <v>0</v>
      </c>
      <c r="V31" s="12"/>
      <c r="W31" s="83" t="s">
        <v>1269</v>
      </c>
      <c r="X31" s="12"/>
    </row>
    <row r="32" spans="1:24">
      <c r="B32" s="14"/>
      <c r="C32" s="22">
        <f ca="1">COUNTA(OFFSET(C$24,-1,0):OFFSET(C32,-1,0))</f>
        <v>9</v>
      </c>
      <c r="D32" s="42"/>
      <c r="E32" s="42"/>
      <c r="F32" s="72"/>
      <c r="G32" s="719"/>
      <c r="H32" s="1773"/>
      <c r="I32" s="1773"/>
      <c r="J32" s="74"/>
      <c r="K32" s="74"/>
      <c r="L32" s="74"/>
      <c r="M32" s="719"/>
      <c r="N32" s="719"/>
      <c r="O32" s="69">
        <f t="shared" si="0"/>
        <v>0</v>
      </c>
      <c r="P32" s="69">
        <f t="shared" si="1"/>
        <v>0</v>
      </c>
      <c r="Q32" s="1775">
        <f t="shared" si="2"/>
        <v>0</v>
      </c>
      <c r="R32" s="1775"/>
      <c r="S32" s="69">
        <f t="shared" si="3"/>
        <v>0</v>
      </c>
      <c r="T32" s="69">
        <f t="shared" si="4"/>
        <v>0</v>
      </c>
      <c r="U32" s="69">
        <f t="shared" si="5"/>
        <v>0</v>
      </c>
      <c r="V32" s="12"/>
      <c r="W32" s="83" t="s">
        <v>150</v>
      </c>
      <c r="X32" s="12"/>
    </row>
    <row r="33" spans="1:24">
      <c r="B33" s="14"/>
      <c r="C33" s="22">
        <f ca="1">COUNTA(OFFSET(C$24,-1,0):OFFSET(C33,-1,0))</f>
        <v>10</v>
      </c>
      <c r="D33" s="42"/>
      <c r="E33" s="42"/>
      <c r="F33" s="72"/>
      <c r="G33" s="719"/>
      <c r="H33" s="1773"/>
      <c r="I33" s="1773"/>
      <c r="J33" s="74"/>
      <c r="K33" s="74"/>
      <c r="L33" s="74"/>
      <c r="M33" s="719"/>
      <c r="N33" s="719"/>
      <c r="O33" s="69">
        <f t="shared" si="0"/>
        <v>0</v>
      </c>
      <c r="P33" s="69">
        <f t="shared" si="1"/>
        <v>0</v>
      </c>
      <c r="Q33" s="1775">
        <f t="shared" si="2"/>
        <v>0</v>
      </c>
      <c r="R33" s="1775"/>
      <c r="S33" s="69">
        <f t="shared" si="3"/>
        <v>0</v>
      </c>
      <c r="T33" s="69">
        <f t="shared" si="4"/>
        <v>0</v>
      </c>
      <c r="U33" s="69">
        <f t="shared" si="5"/>
        <v>0</v>
      </c>
      <c r="V33" s="12"/>
      <c r="W33" s="83" t="s">
        <v>151</v>
      </c>
      <c r="X33" s="12"/>
    </row>
    <row r="34" spans="1:24">
      <c r="B34" s="14"/>
      <c r="C34" s="22" t="s">
        <v>1270</v>
      </c>
      <c r="D34" s="22"/>
      <c r="E34" s="22"/>
      <c r="F34" s="73"/>
      <c r="G34" s="719"/>
      <c r="H34" s="14"/>
      <c r="I34" s="14"/>
      <c r="J34" s="14"/>
      <c r="K34" s="14"/>
      <c r="L34" s="14"/>
      <c r="M34" s="719"/>
      <c r="N34" s="719"/>
      <c r="O34" s="69">
        <f>F34</f>
        <v>0</v>
      </c>
      <c r="P34" s="14"/>
      <c r="Q34" s="14"/>
      <c r="R34" s="14"/>
      <c r="S34" s="14"/>
      <c r="T34" s="14"/>
      <c r="U34" s="14"/>
      <c r="V34" s="14"/>
      <c r="W34" s="14"/>
      <c r="X34" s="14"/>
    </row>
    <row r="35" spans="1:24">
      <c r="B35" s="14"/>
      <c r="C35" s="14"/>
      <c r="D35" s="14"/>
      <c r="E35" s="14"/>
      <c r="F35" s="14"/>
      <c r="G35" s="719"/>
      <c r="H35" s="14"/>
      <c r="I35" s="14"/>
      <c r="J35" s="14"/>
      <c r="K35" s="14"/>
      <c r="L35" s="14"/>
      <c r="M35" s="14"/>
      <c r="N35" s="14"/>
      <c r="O35" s="12"/>
      <c r="P35" s="12"/>
      <c r="Q35" s="14"/>
      <c r="R35" s="14"/>
      <c r="S35" s="14"/>
      <c r="T35" s="14"/>
      <c r="U35" s="14"/>
      <c r="V35" s="12"/>
      <c r="W35" s="12"/>
      <c r="X35" s="12"/>
    </row>
    <row r="36" spans="1:24">
      <c r="A36" s="139"/>
      <c r="B36" s="14"/>
      <c r="C36" s="22" t="s">
        <v>1271</v>
      </c>
      <c r="D36" s="22"/>
      <c r="E36" s="22"/>
      <c r="F36" s="71">
        <f>P$36</f>
        <v>0</v>
      </c>
      <c r="G36" s="719"/>
      <c r="H36" s="1776">
        <f>Q36</f>
        <v>0</v>
      </c>
      <c r="I36" s="1776"/>
      <c r="J36" s="10">
        <f>S36</f>
        <v>0</v>
      </c>
      <c r="K36" s="10">
        <f>T36</f>
        <v>0</v>
      </c>
      <c r="L36" s="10">
        <f>U36</f>
        <v>0</v>
      </c>
      <c r="M36" s="719"/>
      <c r="N36" s="719"/>
      <c r="O36" s="69">
        <f>SUM(O24:O34)</f>
        <v>0</v>
      </c>
      <c r="P36" s="69">
        <f>SUM(P24:P34)</f>
        <v>0</v>
      </c>
      <c r="Q36" s="1775">
        <f>SUM(Q24:Q34)</f>
        <v>0</v>
      </c>
      <c r="R36" s="1775"/>
      <c r="S36" s="69">
        <f>SUM(S24:S34)</f>
        <v>0</v>
      </c>
      <c r="T36" s="69">
        <f>SUM(T24:T34)</f>
        <v>0</v>
      </c>
      <c r="U36" s="69">
        <f>SUM(U24:U34)</f>
        <v>0</v>
      </c>
      <c r="V36" s="12"/>
      <c r="W36" s="12"/>
      <c r="X36" s="12"/>
    </row>
    <row r="37" spans="1:24">
      <c r="B37" s="14"/>
      <c r="C37" s="14"/>
      <c r="D37" s="14"/>
      <c r="E37" s="14"/>
      <c r="F37" s="14"/>
      <c r="G37" s="14"/>
      <c r="H37" s="14"/>
      <c r="I37" s="14"/>
      <c r="J37" s="14"/>
      <c r="K37" s="14"/>
      <c r="L37" s="14"/>
      <c r="M37" s="14"/>
      <c r="N37" s="14"/>
      <c r="O37" s="12"/>
      <c r="P37" s="12"/>
      <c r="Q37" s="14"/>
      <c r="R37" s="14"/>
      <c r="S37" s="14"/>
      <c r="T37" s="14"/>
      <c r="U37" s="14"/>
      <c r="V37" s="12"/>
      <c r="W37" s="12"/>
      <c r="X37" s="12"/>
    </row>
    <row r="38" spans="1:24">
      <c r="B38" s="141" t="str">
        <f>"© W/E adviseurs, Utrecht/Eindhoven, versie rekenhulpmiddelen "&amp;TEXT(Wijzigingsblad!$B$3,"d mmmm jjjj")</f>
        <v>© W/E adviseurs, Utrecht/Eindhoven, versie rekenhulpmiddelen 17 april 2024</v>
      </c>
    </row>
    <row r="51" ht="12.75" customHeight="1"/>
    <row r="52" ht="12.75" customHeight="1"/>
    <row r="53" ht="12.75" customHeight="1"/>
    <row r="54" ht="12.75" customHeight="1"/>
  </sheetData>
  <sheetProtection sheet="1" objects="1" scenarios="1"/>
  <mergeCells count="30">
    <mergeCell ref="B3:D3"/>
    <mergeCell ref="D6:F6"/>
    <mergeCell ref="D7:F7"/>
    <mergeCell ref="D8:F8"/>
    <mergeCell ref="D10:F10"/>
    <mergeCell ref="D9:F9"/>
    <mergeCell ref="H30:I30"/>
    <mergeCell ref="H31:I31"/>
    <mergeCell ref="H32:I32"/>
    <mergeCell ref="H33:I33"/>
    <mergeCell ref="H36:I36"/>
    <mergeCell ref="Q36:R36"/>
    <mergeCell ref="Q28:R28"/>
    <mergeCell ref="Q29:R29"/>
    <mergeCell ref="Q30:R30"/>
    <mergeCell ref="Q31:R31"/>
    <mergeCell ref="Q32:R32"/>
    <mergeCell ref="Q33:R33"/>
    <mergeCell ref="Q23:R23"/>
    <mergeCell ref="Q24:R24"/>
    <mergeCell ref="Q26:R26"/>
    <mergeCell ref="Q27:R27"/>
    <mergeCell ref="Q25:R25"/>
    <mergeCell ref="H29:I29"/>
    <mergeCell ref="H23:I23"/>
    <mergeCell ref="H24:I24"/>
    <mergeCell ref="H25:I25"/>
    <mergeCell ref="H26:I26"/>
    <mergeCell ref="H27:I27"/>
    <mergeCell ref="H28:I28"/>
  </mergeCells>
  <conditionalFormatting sqref="F24:F33">
    <cfRule type="expression" dxfId="29" priority="7">
      <formula>$E24&lt;&gt;""</formula>
    </cfRule>
  </conditionalFormatting>
  <conditionalFormatting sqref="F34">
    <cfRule type="expression" dxfId="28" priority="3">
      <formula>SUM($F$24:$F$33)=0</formula>
    </cfRule>
  </conditionalFormatting>
  <conditionalFormatting sqref="F36">
    <cfRule type="cellIs" dxfId="27" priority="4" operator="equal">
      <formula>0</formula>
    </cfRule>
  </conditionalFormatting>
  <conditionalFormatting sqref="H24:H33 J24:L33">
    <cfRule type="expression" dxfId="26" priority="2">
      <formula>AND($E24&lt;&gt;"",$F24&gt;0,H24="")</formula>
    </cfRule>
    <cfRule type="expression" dxfId="25" priority="8">
      <formula>AND($E24&lt;&gt;"",$F24&gt;0)</formula>
    </cfRule>
  </conditionalFormatting>
  <conditionalFormatting sqref="H36 J36:L36">
    <cfRule type="expression" dxfId="24" priority="5">
      <formula>$F36=0</formula>
    </cfRule>
  </conditionalFormatting>
  <conditionalFormatting sqref="H36">
    <cfRule type="expression" dxfId="23" priority="1">
      <formula>OR($H$36&lt;$H$20,$H$36&lt;$I$20)</formula>
    </cfRule>
  </conditionalFormatting>
  <conditionalFormatting sqref="J36:L36">
    <cfRule type="cellIs" dxfId="22" priority="6" operator="lessThan">
      <formula>J$20</formula>
    </cfRule>
  </conditionalFormatting>
  <dataValidations count="5">
    <dataValidation type="decimal" allowBlank="1" showInputMessage="1" showErrorMessage="1" sqref="H20:L20" xr:uid="{C090DF8F-9878-48D8-8773-3DFC4DF643D9}">
      <formula1>1</formula1>
      <formula2>10</formula2>
    </dataValidation>
    <dataValidation type="decimal" operator="greaterThanOrEqual" allowBlank="1" showInputMessage="1" showErrorMessage="1" sqref="F24:F34" xr:uid="{FEFBC999-F18F-4E4D-BF49-F67FFCC87798}">
      <formula1>0</formula1>
    </dataValidation>
    <dataValidation type="list" allowBlank="1" showInputMessage="1" showErrorMessage="1" sqref="E24:E33" xr:uid="{0A533B88-0E62-4748-9C48-01CE6E7ACA21}">
      <formula1>$W$24:$W$33</formula1>
    </dataValidation>
    <dataValidation type="decimal" allowBlank="1" showInputMessage="1" showErrorMessage="1" errorTitle="waarde ligt buiten bereik 1-10" error="De GPR score is minimaal 1 en maximaal 10." sqref="J24:L33" xr:uid="{3BFF55D4-296B-4588-9CA8-36776B4C2BAB}">
      <formula1>1</formula1>
      <formula2>10</formula2>
    </dataValidation>
    <dataValidation type="decimal" errorStyle="warning" allowBlank="1" showInputMessage="1" showErrorMessage="1" errorTitle="waarde ligt buiten bereik" error="De GPR score is minimaal 1 en kan bij energie hoger zijn dan 10 bij energieleverende gebouwen." sqref="H24:H33" xr:uid="{F2C393D9-B52B-44E6-B672-889CF1FDC4CA}">
      <formula1>1</formula1>
      <formula2>10</formula2>
    </dataValidation>
  </dataValidations>
  <hyperlinks>
    <hyperlink ref="A1" location="'Overzicht GPR Hulpmiddelen'!A1" tooltip="naar startscherm" display="&lt;" xr:uid="{F3D95144-0D39-4990-A63C-C4AF1D72713E}"/>
  </hyperlinks>
  <printOptions horizontalCentered="1"/>
  <pageMargins left="0.39370078740157483" right="0.39370078740157483" top="0.55118110236220474" bottom="0.55118110236220474" header="0.27559055118110237" footer="0.27559055118110237"/>
  <pageSetup paperSize="9" scale="62" orientation="portrait" horizontalDpi="4294967293" verticalDpi="200" r:id="rId1"/>
  <headerFooter>
    <oddHeader>&amp;C&amp;F | &amp;A</oddHeader>
    <oddFooter>&amp;LPrestatiegericht beleid met de GPR&amp;CStichting W/E adviseurs&amp;R&amp;D | &amp;T</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E440-EE7A-470C-B4AF-53D279A3C17D}">
  <sheetPr codeName="Blad19">
    <tabColor theme="5"/>
    <pageSetUpPr fitToPage="1"/>
  </sheetPr>
  <dimension ref="A1:P54"/>
  <sheetViews>
    <sheetView showGridLines="0" zoomScaleNormal="100" workbookViewId="0">
      <selection sqref="A1:XFD1048576"/>
    </sheetView>
  </sheetViews>
  <sheetFormatPr defaultColWidth="9.1796875" defaultRowHeight="17.5"/>
  <cols>
    <col min="1" max="1" width="9.1796875" style="18"/>
    <col min="2" max="2" width="2.7265625" style="18" customWidth="1"/>
    <col min="3" max="3" width="15.54296875" style="95" customWidth="1"/>
    <col min="4" max="4" width="35.26953125" style="95" customWidth="1"/>
    <col min="5" max="6" width="9.7265625" style="138" customWidth="1"/>
    <col min="7" max="7" width="1.54296875" style="96" customWidth="1"/>
    <col min="8" max="8" width="9.7265625" style="97" customWidth="1"/>
    <col min="9" max="10" width="9.7265625" style="95" customWidth="1"/>
    <col min="11" max="11" width="9.7265625" style="108" customWidth="1"/>
    <col min="12" max="12" width="46.54296875" style="95" customWidth="1"/>
    <col min="13" max="13" width="2.7265625" style="95" customWidth="1"/>
    <col min="14" max="15" width="51.7265625" style="95" customWidth="1"/>
    <col min="16" max="16" width="2.7265625" style="95" customWidth="1"/>
    <col min="17" max="16384" width="9.1796875" style="95"/>
  </cols>
  <sheetData>
    <row r="1" spans="1:16" s="18" customFormat="1" ht="32.5">
      <c r="A1" s="176" t="s">
        <v>12</v>
      </c>
      <c r="B1" s="174"/>
      <c r="C1" s="175"/>
      <c r="D1" s="31"/>
      <c r="E1" s="21"/>
      <c r="F1" s="21"/>
      <c r="G1" s="31"/>
      <c r="H1" s="21"/>
      <c r="K1" s="21"/>
      <c r="L1" s="21"/>
    </row>
    <row r="2" spans="1:16" s="19" customFormat="1" ht="21">
      <c r="A2" s="33"/>
      <c r="B2" s="28" t="s">
        <v>1274</v>
      </c>
      <c r="C2" s="28"/>
      <c r="D2" s="28"/>
      <c r="E2" s="27"/>
      <c r="F2" s="27"/>
      <c r="G2" s="27"/>
      <c r="H2" s="27"/>
      <c r="I2" s="27"/>
      <c r="J2" s="27"/>
      <c r="K2" s="27"/>
      <c r="L2" s="27"/>
      <c r="M2" s="27"/>
      <c r="N2" s="27"/>
      <c r="O2" s="27"/>
      <c r="P2" s="28"/>
    </row>
    <row r="3" spans="1:16" s="29" customFormat="1">
      <c r="B3" s="1687">
        <v>44627</v>
      </c>
      <c r="C3" s="1688"/>
      <c r="D3" s="1713"/>
    </row>
    <row r="4" spans="1:16" s="18" customFormat="1">
      <c r="B4" s="14"/>
      <c r="C4" s="67"/>
      <c r="D4" s="67"/>
      <c r="E4" s="67"/>
      <c r="F4" s="67"/>
      <c r="G4" s="14"/>
      <c r="H4" s="14"/>
      <c r="I4" s="14"/>
      <c r="J4" s="14"/>
      <c r="K4" s="14"/>
      <c r="L4" s="14"/>
      <c r="M4" s="14"/>
      <c r="N4" s="14"/>
      <c r="O4" s="14"/>
      <c r="P4" s="14"/>
    </row>
    <row r="5" spans="1:16" s="19" customFormat="1" ht="17.25" customHeight="1">
      <c r="B5" s="14"/>
      <c r="C5" s="68" t="s">
        <v>3</v>
      </c>
      <c r="D5" s="68"/>
      <c r="E5" s="68"/>
      <c r="F5" s="68"/>
      <c r="G5" s="14"/>
      <c r="H5" s="14"/>
      <c r="I5" s="41" t="s">
        <v>485</v>
      </c>
      <c r="J5" s="183"/>
      <c r="K5" s="183"/>
      <c r="L5" s="183"/>
      <c r="M5" s="14"/>
      <c r="N5" s="14"/>
      <c r="O5" s="14"/>
      <c r="P5" s="14"/>
    </row>
    <row r="6" spans="1:16" s="19" customFormat="1" ht="17.25" customHeight="1">
      <c r="B6" s="14"/>
      <c r="C6" s="22" t="s">
        <v>4</v>
      </c>
      <c r="D6" s="1691" t="s">
        <v>1275</v>
      </c>
      <c r="E6" s="1691"/>
      <c r="F6" s="1691"/>
      <c r="G6" s="14"/>
      <c r="H6" s="14"/>
      <c r="I6" s="14"/>
      <c r="J6" s="14"/>
      <c r="K6" s="14"/>
      <c r="L6" s="14"/>
      <c r="M6" s="14"/>
      <c r="N6" s="14"/>
      <c r="O6" s="14"/>
      <c r="P6" s="14"/>
    </row>
    <row r="7" spans="1:16" s="19" customFormat="1">
      <c r="B7" s="14"/>
      <c r="C7" s="22" t="s">
        <v>5</v>
      </c>
      <c r="D7" s="1691" t="s">
        <v>1275</v>
      </c>
      <c r="E7" s="1691"/>
      <c r="F7" s="1691"/>
      <c r="G7" s="14"/>
      <c r="H7" s="14"/>
      <c r="I7" s="14"/>
      <c r="J7" s="14"/>
      <c r="K7" s="14"/>
      <c r="L7" s="14"/>
      <c r="M7" s="14"/>
      <c r="N7" s="14"/>
      <c r="O7" s="14"/>
      <c r="P7" s="14"/>
    </row>
    <row r="8" spans="1:16" s="19" customFormat="1">
      <c r="B8" s="14"/>
      <c r="C8" s="22" t="s">
        <v>6</v>
      </c>
      <c r="D8" s="1691" t="s">
        <v>1275</v>
      </c>
      <c r="E8" s="1691"/>
      <c r="F8" s="1691"/>
      <c r="G8" s="14"/>
      <c r="H8" s="14"/>
      <c r="I8" s="14"/>
      <c r="J8" s="14"/>
      <c r="K8" s="14"/>
      <c r="L8" s="14"/>
      <c r="M8" s="14"/>
      <c r="N8" s="14"/>
      <c r="O8" s="14"/>
      <c r="P8" s="14"/>
    </row>
    <row r="9" spans="1:16" s="19" customFormat="1">
      <c r="B9" s="14"/>
      <c r="C9" s="22" t="s">
        <v>7</v>
      </c>
      <c r="D9" s="1699" t="s">
        <v>1275</v>
      </c>
      <c r="E9" s="1699"/>
      <c r="F9" s="1699"/>
      <c r="G9" s="14"/>
      <c r="H9" s="14"/>
      <c r="I9" s="14"/>
      <c r="J9" s="14"/>
      <c r="K9" s="14"/>
      <c r="L9" s="14"/>
      <c r="M9" s="14"/>
      <c r="N9" s="14"/>
      <c r="O9" s="14"/>
      <c r="P9" s="14"/>
    </row>
    <row r="10" spans="1:16" s="19" customFormat="1">
      <c r="B10" s="14"/>
      <c r="C10" s="22" t="s">
        <v>914</v>
      </c>
      <c r="D10" s="1685"/>
      <c r="E10" s="1685"/>
      <c r="F10" s="1685"/>
      <c r="G10" s="14"/>
      <c r="H10" s="14"/>
      <c r="I10" s="14"/>
      <c r="J10" s="14"/>
      <c r="K10" s="14"/>
      <c r="L10" s="14"/>
      <c r="M10" s="14"/>
      <c r="N10" s="14"/>
      <c r="O10" s="14"/>
      <c r="P10" s="14"/>
    </row>
    <row r="11" spans="1:16">
      <c r="B11" s="35"/>
      <c r="C11" s="90" t="s">
        <v>1276</v>
      </c>
      <c r="D11" s="1685" t="s">
        <v>188</v>
      </c>
      <c r="E11" s="1685"/>
      <c r="F11" s="1685"/>
      <c r="G11" s="102"/>
      <c r="H11" s="419"/>
      <c r="I11" s="14"/>
      <c r="J11" s="14"/>
      <c r="K11" s="14"/>
      <c r="L11" s="14"/>
      <c r="M11" s="14"/>
      <c r="N11" s="35"/>
      <c r="O11" s="35"/>
      <c r="P11" s="35"/>
    </row>
    <row r="12" spans="1:16">
      <c r="B12" s="35"/>
      <c r="C12" s="22" t="s">
        <v>1427</v>
      </c>
      <c r="D12" s="1685" t="s">
        <v>1389</v>
      </c>
      <c r="E12" s="1698"/>
      <c r="F12" s="1698"/>
      <c r="G12" s="102"/>
      <c r="H12" s="419"/>
      <c r="I12" s="14"/>
      <c r="J12" s="14"/>
      <c r="K12" s="14"/>
      <c r="L12" s="14"/>
      <c r="M12" s="14"/>
      <c r="N12" s="35"/>
      <c r="O12" s="35"/>
      <c r="P12" s="35"/>
    </row>
    <row r="13" spans="1:16">
      <c r="B13" s="35"/>
      <c r="C13" s="35"/>
      <c r="D13" s="35"/>
      <c r="E13" s="134"/>
      <c r="F13" s="134"/>
      <c r="G13" s="102"/>
      <c r="H13" s="103"/>
      <c r="I13" s="35"/>
      <c r="J13" s="35"/>
      <c r="K13" s="109"/>
      <c r="L13" s="35"/>
      <c r="M13" s="35"/>
      <c r="N13" s="35"/>
      <c r="O13" s="35"/>
      <c r="P13" s="35"/>
    </row>
    <row r="14" spans="1:16">
      <c r="B14" s="35"/>
      <c r="C14" s="35" t="s">
        <v>1277</v>
      </c>
      <c r="D14" s="35"/>
      <c r="E14" s="134"/>
      <c r="F14" s="134">
        <f>F17+F23+F29+F33+F42</f>
        <v>1</v>
      </c>
      <c r="G14" s="102"/>
      <c r="H14" s="10">
        <f ca="1">MIN(10,F17*H17+F23*H23+F29*H29+F33*H33+F42*H42)</f>
        <v>7.5000000000000009</v>
      </c>
      <c r="I14" s="35"/>
      <c r="J14" s="15" t="s">
        <v>1428</v>
      </c>
      <c r="K14" s="43"/>
      <c r="L14" s="15"/>
      <c r="M14" s="35"/>
      <c r="N14" s="111" t="s">
        <v>1278</v>
      </c>
      <c r="O14" s="111" t="s">
        <v>1279</v>
      </c>
      <c r="P14" s="35"/>
    </row>
    <row r="15" spans="1:16">
      <c r="B15" s="35"/>
      <c r="C15" s="35"/>
      <c r="D15" s="35"/>
      <c r="E15" s="135"/>
      <c r="F15" s="135"/>
      <c r="G15" s="35"/>
      <c r="H15" s="35"/>
      <c r="I15" s="35"/>
      <c r="J15" s="35"/>
      <c r="K15" s="35"/>
      <c r="L15" s="35"/>
      <c r="M15" s="35"/>
      <c r="N15" s="35"/>
      <c r="O15" s="35"/>
      <c r="P15" s="35"/>
    </row>
    <row r="16" spans="1:16">
      <c r="B16" s="35"/>
      <c r="C16" s="35" t="s">
        <v>1280</v>
      </c>
      <c r="D16" s="35"/>
      <c r="E16" s="135"/>
      <c r="F16" s="135"/>
      <c r="G16" s="35"/>
      <c r="H16" s="35"/>
      <c r="I16" s="35"/>
      <c r="J16" s="35"/>
      <c r="K16" s="35"/>
      <c r="L16" s="35"/>
      <c r="M16" s="35"/>
      <c r="N16" s="35"/>
      <c r="O16" s="35"/>
      <c r="P16" s="35"/>
    </row>
    <row r="17" spans="2:16">
      <c r="B17" s="35"/>
      <c r="C17" s="105" t="s">
        <v>1281</v>
      </c>
      <c r="D17" s="105"/>
      <c r="E17" s="136">
        <f>SUM(E18:E20)</f>
        <v>1</v>
      </c>
      <c r="F17" s="136">
        <v>0.2</v>
      </c>
      <c r="G17" s="106"/>
      <c r="H17" s="107">
        <f ca="1">SUMPRODUCT(E18:E20,H18:H20)</f>
        <v>6</v>
      </c>
      <c r="I17" s="35"/>
      <c r="J17" s="111" t="s">
        <v>1282</v>
      </c>
      <c r="K17" s="112" t="s">
        <v>1283</v>
      </c>
      <c r="L17" s="105"/>
      <c r="M17" s="35"/>
      <c r="N17" s="35"/>
      <c r="O17" s="35"/>
      <c r="P17" s="35"/>
    </row>
    <row r="18" spans="2:16">
      <c r="B18" s="35"/>
      <c r="C18" s="104" t="s">
        <v>1284</v>
      </c>
      <c r="D18" s="104"/>
      <c r="E18" s="137">
        <v>0.5</v>
      </c>
      <c r="F18" s="137">
        <f>E18*F$17</f>
        <v>0.1</v>
      </c>
      <c r="G18" s="102"/>
      <c r="H18" s="101">
        <f ca="1">MIN(10,6+(10-6)*(J18/INDEX(tabel_CirculariteitsPrestatie_Gebouw_1.7,MATCH($N18,tabel_CPG_startkolom_1.7,0),MATCH($D$11,Gebruiksfuncties_CPG_1.7,0))))</f>
        <v>6</v>
      </c>
      <c r="I18" s="114" t="s">
        <v>396</v>
      </c>
      <c r="J18" s="98"/>
      <c r="K18" s="110" t="str">
        <f>INDEX(tabel_CirculariteitsPrestatie_Gebouw_1.7,MATCH($O18,tabel_CPG_startkolom_1.7,0),MATCH($D$11,Gebruiksfuncties_CPG_1.7,0))</f>
        <v>2.2.7</v>
      </c>
      <c r="L18" s="104" t="s">
        <v>152</v>
      </c>
      <c r="M18" s="35"/>
      <c r="N18" s="505" t="str">
        <f ca="1">tabellen!$F$136</f>
        <v>Extra maatregelen (handhaven casco en/of gevel)Maximum</v>
      </c>
      <c r="O18" s="505" t="str">
        <f>tabellen!$F$135</f>
        <v>Extra maatregelen (handhaven casco en/of gevel)Itemcode</v>
      </c>
      <c r="P18" s="35"/>
    </row>
    <row r="19" spans="2:16">
      <c r="B19" s="35"/>
      <c r="C19" s="104" t="s">
        <v>1285</v>
      </c>
      <c r="D19" s="104"/>
      <c r="E19" s="137">
        <v>0.25</v>
      </c>
      <c r="F19" s="137">
        <f>E19*F$17</f>
        <v>0.05</v>
      </c>
      <c r="G19" s="102"/>
      <c r="H19" s="101">
        <f ca="1">MIN(10,6+(10-6)*(J19/INDEX(tabel_CirculariteitsPrestatie_Gebouw_1.7,MATCH($N19,tabel_CPG_startkolom_1.7,0),MATCH($D$11,Gebruiksfuncties_CPG_1.7,0))))</f>
        <v>6</v>
      </c>
      <c r="I19" s="114" t="s">
        <v>396</v>
      </c>
      <c r="J19" s="98"/>
      <c r="K19" s="110" t="str">
        <f ca="1">INDEX(tabel_CirculariteitsPrestatie_Gebouw_1.7,MATCH($O19,tabel_CPG_startkolom_1.7,0),MATCH($D$11,Gebruiksfuncties_CPG_1.7,0))</f>
        <v>2.2.2</v>
      </c>
      <c r="L19" s="104" t="s">
        <v>156</v>
      </c>
      <c r="M19" s="35"/>
      <c r="N19" s="505" t="str">
        <f ca="1">tabellen!$F$138</f>
        <v>Hergebruik productenMaximum</v>
      </c>
      <c r="O19" s="505" t="str">
        <f>tabellen!$F$137</f>
        <v>Hergebruik productenItemcode</v>
      </c>
      <c r="P19" s="35"/>
    </row>
    <row r="20" spans="2:16">
      <c r="B20" s="35"/>
      <c r="C20" s="104" t="s">
        <v>1286</v>
      </c>
      <c r="D20" s="104"/>
      <c r="E20" s="137">
        <v>0.25</v>
      </c>
      <c r="F20" s="137">
        <f>E20*F$17</f>
        <v>0.05</v>
      </c>
      <c r="G20" s="102"/>
      <c r="H20" s="101">
        <f ca="1">MIN(10,6+(10-6)*(J20/INDEX(tabel_CirculariteitsPrestatie_Gebouw_1.7,MATCH($N20,tabel_CPG_startkolom_1.7,0),MATCH($D$11,Gebruiksfuncties_CPG_1.7,0))))</f>
        <v>6</v>
      </c>
      <c r="I20" s="114" t="s">
        <v>396</v>
      </c>
      <c r="J20" s="98"/>
      <c r="K20" s="110" t="str">
        <f ca="1">INDEX(tabel_CirculariteitsPrestatie_Gebouw_1.7,MATCH($O20,tabel_CPG_startkolom_1.7,0),MATCH($D$11,Gebruiksfuncties_CPG_1.7,0))</f>
        <v>2.2.3</v>
      </c>
      <c r="L20" s="104" t="s">
        <v>190</v>
      </c>
      <c r="M20" s="35"/>
      <c r="N20" s="505" t="str">
        <f ca="1">tabellen!$F$140</f>
        <v>Circulaire materialen (biobased of secundair)Maximum</v>
      </c>
      <c r="O20" s="505" t="str">
        <f>tabellen!$F$139</f>
        <v>Circulaire materialen (biobased of secundair)Itemcode</v>
      </c>
      <c r="P20" s="35"/>
    </row>
    <row r="21" spans="2:16">
      <c r="B21" s="35"/>
      <c r="C21" s="35"/>
      <c r="D21" s="35"/>
      <c r="E21" s="135"/>
      <c r="F21" s="135"/>
      <c r="G21" s="102"/>
      <c r="H21" s="35"/>
      <c r="I21" s="35"/>
      <c r="J21" s="35"/>
      <c r="K21" s="35"/>
      <c r="L21" s="35"/>
      <c r="M21" s="35"/>
      <c r="N21" s="35"/>
      <c r="O21" s="35"/>
      <c r="P21" s="35"/>
    </row>
    <row r="22" spans="2:16">
      <c r="B22" s="35"/>
      <c r="C22" s="35" t="s">
        <v>1287</v>
      </c>
      <c r="D22" s="35"/>
      <c r="E22" s="134"/>
      <c r="F22" s="135"/>
      <c r="G22" s="102"/>
      <c r="H22" s="35"/>
      <c r="I22" s="35"/>
      <c r="J22" s="35"/>
      <c r="K22" s="35"/>
      <c r="L22" s="35"/>
      <c r="M22" s="35"/>
      <c r="N22" s="35"/>
      <c r="O22" s="35"/>
      <c r="P22" s="35"/>
    </row>
    <row r="23" spans="2:16">
      <c r="B23" s="35"/>
      <c r="C23" s="105" t="s">
        <v>1281</v>
      </c>
      <c r="D23" s="105"/>
      <c r="E23" s="136">
        <f>SUM(E24:E26)</f>
        <v>1</v>
      </c>
      <c r="F23" s="136">
        <v>0.2</v>
      </c>
      <c r="G23" s="106"/>
      <c r="H23" s="107">
        <f ca="1">SUMPRODUCT(E24:E26,H24:H26)</f>
        <v>6</v>
      </c>
      <c r="I23" s="35"/>
      <c r="J23" s="111" t="s">
        <v>1282</v>
      </c>
      <c r="K23" s="112" t="s">
        <v>1283</v>
      </c>
      <c r="L23" s="105"/>
      <c r="M23" s="35"/>
      <c r="N23" s="35"/>
      <c r="O23" s="35"/>
      <c r="P23" s="35"/>
    </row>
    <row r="24" spans="2:16">
      <c r="B24" s="35"/>
      <c r="C24" s="104" t="s">
        <v>1288</v>
      </c>
      <c r="D24" s="104"/>
      <c r="E24" s="137">
        <v>0.25</v>
      </c>
      <c r="F24" s="137">
        <f>E24*F$23</f>
        <v>0.05</v>
      </c>
      <c r="G24" s="102"/>
      <c r="H24" s="101">
        <f ca="1">MIN(10,6+(10-6)*(J24/INDEX(tabel_CirculariteitsPrestatie_Gebouw_1.7,MATCH($N24,tabel_CPG_startkolom_1.7,0),MATCH($D$11,Gebruiksfuncties_CPG_1.7,0))))</f>
        <v>6</v>
      </c>
      <c r="I24" s="114" t="s">
        <v>396</v>
      </c>
      <c r="J24" s="98"/>
      <c r="K24" s="110" t="str">
        <f ca="1">INDEX(tabel_CirculariteitsPrestatie_Gebouw_1.7,MATCH($O24,tabel_CPG_startkolom_1.7,0),MATCH($D$11,Gebruiksfuncties_CPG_1.7,0))</f>
        <v>2.2.3</v>
      </c>
      <c r="L24" s="104" t="s">
        <v>190</v>
      </c>
      <c r="M24" s="35"/>
      <c r="N24" s="505" t="str">
        <f ca="1">tabellen!$F$140</f>
        <v>Circulaire materialen (biobased of secundair)Maximum</v>
      </c>
      <c r="O24" s="505" t="str">
        <f>tabellen!$F$139</f>
        <v>Circulaire materialen (biobased of secundair)Itemcode</v>
      </c>
      <c r="P24" s="35"/>
    </row>
    <row r="25" spans="2:16">
      <c r="B25" s="35"/>
      <c r="C25" s="104" t="s">
        <v>1289</v>
      </c>
      <c r="D25" s="104"/>
      <c r="E25" s="137">
        <v>0.65</v>
      </c>
      <c r="F25" s="137">
        <f>E25*F$23</f>
        <v>0.13</v>
      </c>
      <c r="G25" s="102"/>
      <c r="H25" s="101">
        <f ca="1">MIN(10,6+(10-6)*(J25/INDEX(tabel_CirculariteitsPrestatie_Gebouw_1.7,MATCH($N25,tabel_CPG_startkolom_1.7,0),MATCH($D$11,Gebruiksfuncties_CPG_1.7,0))))</f>
        <v>6</v>
      </c>
      <c r="I25" s="114" t="s">
        <v>396</v>
      </c>
      <c r="J25" s="506"/>
      <c r="K25" s="110" t="str">
        <f ca="1">INDEX(tabel_CirculariteitsPrestatie_Gebouw_1.7,MATCH($O25,tabel_CPG_startkolom_1.7,0),MATCH($D$11,Gebruiksfuncties_CPG_1.7,0))</f>
        <v>1.1</v>
      </c>
      <c r="L25" s="104" t="s">
        <v>163</v>
      </c>
      <c r="M25" s="35"/>
      <c r="N25" s="505" t="str">
        <f ca="1">tabellen!$F$142</f>
        <v>BENG 3 - indicatorMaximum</v>
      </c>
      <c r="O25" s="505" t="str">
        <f>tabellen!$F$141</f>
        <v>BENG 3 - indicatorItemcode</v>
      </c>
      <c r="P25" s="35"/>
    </row>
    <row r="26" spans="2:16">
      <c r="B26" s="35"/>
      <c r="C26" s="104" t="s">
        <v>1290</v>
      </c>
      <c r="D26" s="104"/>
      <c r="E26" s="137">
        <v>9.9999999999999978E-2</v>
      </c>
      <c r="F26" s="137">
        <f>E26*F$23</f>
        <v>1.9999999999999997E-2</v>
      </c>
      <c r="G26" s="102"/>
      <c r="H26" s="101">
        <f ca="1">MIN(10,6+(10-6)*(J26/INDEX(tabel_CirculariteitsPrestatie_Gebouw_1.7,MATCH($N26,tabel_CPG_startkolom_1.7,0),MATCH($D$11,Gebruiksfuncties_CPG_1.7,0))))</f>
        <v>6</v>
      </c>
      <c r="I26" s="114" t="s">
        <v>396</v>
      </c>
      <c r="J26" s="98"/>
      <c r="K26" s="110" t="str">
        <f ca="1">INDEX(tabel_CirculariteitsPrestatie_Gebouw_1.7,MATCH($O26,tabel_CPG_startkolom_1.7,0),MATCH($D$11,Gebruiksfuncties_CPG_1.7,0))</f>
        <v>2.3.6</v>
      </c>
      <c r="L26" s="104" t="s">
        <v>165</v>
      </c>
      <c r="M26" s="35"/>
      <c r="N26" s="505" t="str">
        <f ca="1">tabellen!$F$144</f>
        <v>Circulair watergebruikMaximum</v>
      </c>
      <c r="O26" s="505" t="str">
        <f>tabellen!$F$143</f>
        <v>Circulair watergebruikItemcode</v>
      </c>
      <c r="P26" s="35"/>
    </row>
    <row r="27" spans="2:16">
      <c r="B27" s="35"/>
      <c r="C27" s="35"/>
      <c r="D27" s="35"/>
      <c r="E27" s="135"/>
      <c r="F27" s="135"/>
      <c r="G27" s="102"/>
      <c r="H27" s="35"/>
      <c r="I27" s="35"/>
      <c r="J27" s="35"/>
      <c r="K27" s="35"/>
      <c r="L27" s="35"/>
      <c r="M27" s="35"/>
      <c r="N27" s="35"/>
      <c r="O27" s="35"/>
      <c r="P27" s="35"/>
    </row>
    <row r="28" spans="2:16">
      <c r="B28" s="35"/>
      <c r="C28" s="35" t="s">
        <v>1291</v>
      </c>
      <c r="D28" s="35"/>
      <c r="E28" s="134"/>
      <c r="F28" s="135"/>
      <c r="G28" s="102"/>
      <c r="H28" s="35"/>
      <c r="I28" s="35"/>
      <c r="J28" s="35"/>
      <c r="K28" s="35"/>
      <c r="L28" s="35"/>
      <c r="M28" s="35"/>
      <c r="N28" s="35"/>
      <c r="O28" s="35"/>
      <c r="P28" s="35"/>
    </row>
    <row r="29" spans="2:16">
      <c r="B29" s="35"/>
      <c r="C29" s="105" t="s">
        <v>1281</v>
      </c>
      <c r="D29" s="105"/>
      <c r="E29" s="136">
        <f>E30</f>
        <v>1</v>
      </c>
      <c r="F29" s="136">
        <v>0.15</v>
      </c>
      <c r="G29" s="106"/>
      <c r="H29" s="107">
        <f ca="1">SUMPRODUCT(E30,H30)</f>
        <v>10</v>
      </c>
      <c r="I29" s="35"/>
      <c r="J29" s="111" t="s">
        <v>1282</v>
      </c>
      <c r="K29" s="112" t="s">
        <v>1283</v>
      </c>
      <c r="L29" s="105"/>
      <c r="M29" s="35"/>
      <c r="N29" s="35"/>
      <c r="O29" s="35"/>
      <c r="P29" s="35"/>
    </row>
    <row r="30" spans="2:16">
      <c r="B30" s="35"/>
      <c r="C30" s="104" t="s">
        <v>1292</v>
      </c>
      <c r="D30" s="104"/>
      <c r="E30" s="137">
        <v>1</v>
      </c>
      <c r="F30" s="137">
        <f>E30*F$29</f>
        <v>0.15</v>
      </c>
      <c r="G30" s="102"/>
      <c r="H30" s="101">
        <f ca="1">MIN(10,IF($D$11=tabellen!$G$134,
0.75*J30+0.25*J31,
INDEX(tabel_CirculariteitsPrestatie_Gebouw_1.7,MATCH($N30,tabel_CPG_startkolom_1.7,0),MATCH($D$11,Gebruiksfuncties_CPG_1.7,0))*
EXP(J30*INDEX(tabel_CirculariteitsPrestatie_Gebouw_1.7,MATCH($N31,tabel_CPG_startkolom_1.7,0),MATCH($D$11,Gebruiksfuncties_CPG_1.7,0)))))</f>
        <v>10</v>
      </c>
      <c r="I30" s="114" t="s">
        <v>396</v>
      </c>
      <c r="J30" s="100"/>
      <c r="K30" s="110" t="str">
        <f ca="1">IF($D$11=tabellen!$G$66,"1.1",INDEX(tabel_CirculariteitsPrestatie_Gebouw_1.7,MATCH($O30,tabel_CPG_startkolom_1.7,0),MATCH($D$11,Gebruiksfuncties_CPG_1.7,0)))</f>
        <v>0.0</v>
      </c>
      <c r="L30" s="104" t="s">
        <v>194</v>
      </c>
      <c r="M30" s="35"/>
      <c r="N30" s="505" t="str">
        <f ca="1">tabellen!$F$146</f>
        <v>DPG-monitorC1</v>
      </c>
      <c r="O30" s="505" t="str">
        <f>tabellen!$F$145</f>
        <v>DPG-monitorItemcode</v>
      </c>
      <c r="P30" s="35"/>
    </row>
    <row r="31" spans="2:16">
      <c r="B31" s="35"/>
      <c r="C31" s="35"/>
      <c r="D31" s="35"/>
      <c r="E31" s="135"/>
      <c r="F31" s="135"/>
      <c r="G31" s="102"/>
      <c r="H31" s="35"/>
      <c r="I31" s="35"/>
      <c r="J31" s="100"/>
      <c r="K31" s="110" t="s">
        <v>1293</v>
      </c>
      <c r="L31" s="104" t="s">
        <v>1294</v>
      </c>
      <c r="M31" s="35"/>
      <c r="N31" s="505" t="str">
        <f ca="1">tabellen!$F$147</f>
        <v>DPG-monitorC2</v>
      </c>
      <c r="O31" s="35"/>
      <c r="P31" s="35"/>
    </row>
    <row r="32" spans="2:16">
      <c r="B32" s="35"/>
      <c r="C32" s="35" t="s">
        <v>1295</v>
      </c>
      <c r="D32" s="35"/>
      <c r="E32" s="134"/>
      <c r="F32" s="135"/>
      <c r="G32" s="102"/>
      <c r="H32" s="35"/>
      <c r="I32" s="35"/>
      <c r="J32" s="35"/>
      <c r="K32" s="35"/>
      <c r="L32" s="35"/>
      <c r="M32" s="35"/>
      <c r="N32" s="35"/>
      <c r="O32" s="35"/>
      <c r="P32" s="35"/>
    </row>
    <row r="33" spans="2:16">
      <c r="B33" s="35"/>
      <c r="C33" s="105" t="s">
        <v>1281</v>
      </c>
      <c r="D33" s="105"/>
      <c r="E33" s="136">
        <f>SUM(E34:E36)</f>
        <v>1</v>
      </c>
      <c r="F33" s="136">
        <v>0.25</v>
      </c>
      <c r="G33" s="106"/>
      <c r="H33" s="107">
        <f ca="1">SUMPRODUCT(E34:E36,H34:H36)</f>
        <v>9.6</v>
      </c>
      <c r="I33" s="35"/>
      <c r="J33" s="111" t="s">
        <v>1282</v>
      </c>
      <c r="K33" s="112" t="s">
        <v>1283</v>
      </c>
      <c r="L33" s="105"/>
      <c r="M33" s="35"/>
      <c r="N33" s="35"/>
      <c r="O33" s="35"/>
      <c r="P33" s="35"/>
    </row>
    <row r="34" spans="2:16">
      <c r="B34" s="35"/>
      <c r="C34" s="104" t="s">
        <v>1296</v>
      </c>
      <c r="D34" s="104"/>
      <c r="E34" s="137">
        <v>0.1</v>
      </c>
      <c r="F34" s="137">
        <f>E34*F$33</f>
        <v>2.5000000000000001E-2</v>
      </c>
      <c r="G34" s="102"/>
      <c r="H34" s="101">
        <f ca="1">MIN(10,6+(10-6)*(J34/INDEX(tabel_CirculariteitsPrestatie_Gebouw_1.7,MATCH($N34,tabel_CPG_startkolom_1.7,0),MATCH($D$11,Gebruiksfuncties_CPG_1.7,0))))</f>
        <v>6</v>
      </c>
      <c r="I34" s="114" t="s">
        <v>396</v>
      </c>
      <c r="J34" s="98"/>
      <c r="K34" s="110" t="str">
        <f ca="1">INDEX(tabel_CirculariteitsPrestatie_Gebouw_1.7,MATCH($O34,tabel_CPG_startkolom_1.7,0),MATCH($D$11,Gebruiksfuncties_CPG_1.7,0))</f>
        <v>2.3.7</v>
      </c>
      <c r="L34" s="104" t="s">
        <v>198</v>
      </c>
      <c r="M34" s="35"/>
      <c r="N34" s="505" t="str">
        <f ca="1">tabellen!$F$149</f>
        <v>Belasting riolering, bodem en grondwaterMaximum</v>
      </c>
      <c r="O34" s="505" t="str">
        <f>tabellen!$F$148</f>
        <v>Belasting riolering, bodem en grondwaterItemcode</v>
      </c>
      <c r="P34" s="35"/>
    </row>
    <row r="35" spans="2:16">
      <c r="B35" s="35"/>
      <c r="C35" s="104" t="s">
        <v>1297</v>
      </c>
      <c r="D35" s="104"/>
      <c r="E35" s="137">
        <v>0.6</v>
      </c>
      <c r="F35" s="137">
        <f>E35*F$33</f>
        <v>0.15</v>
      </c>
      <c r="G35" s="102"/>
      <c r="H35" s="101">
        <f>MIN(10,J35)</f>
        <v>10</v>
      </c>
      <c r="I35" s="114" t="s">
        <v>396</v>
      </c>
      <c r="J35" s="99"/>
      <c r="K35" s="110" t="s">
        <v>1298</v>
      </c>
      <c r="L35" s="104" t="s">
        <v>1299</v>
      </c>
      <c r="M35" s="35"/>
      <c r="N35" s="35"/>
      <c r="O35" s="35"/>
      <c r="P35" s="35"/>
    </row>
    <row r="36" spans="2:16">
      <c r="B36" s="35"/>
      <c r="C36" s="35"/>
      <c r="D36" s="35"/>
      <c r="E36" s="137">
        <v>0.3</v>
      </c>
      <c r="F36" s="137">
        <f>E36*F$33</f>
        <v>7.4999999999999997E-2</v>
      </c>
      <c r="G36" s="102"/>
      <c r="H36" s="101">
        <f>MIN(10,J36)</f>
        <v>10</v>
      </c>
      <c r="I36" s="35"/>
      <c r="J36" s="101" t="str">
        <f>IFERROR(AVERAGE(J37:J39),"")</f>
        <v/>
      </c>
      <c r="K36" s="110"/>
      <c r="L36" s="104" t="s">
        <v>1300</v>
      </c>
      <c r="M36" s="35"/>
      <c r="N36" s="35"/>
      <c r="O36" s="35"/>
      <c r="P36" s="35"/>
    </row>
    <row r="37" spans="2:16">
      <c r="B37" s="35"/>
      <c r="C37" s="35"/>
      <c r="D37" s="35"/>
      <c r="E37" s="135"/>
      <c r="F37" s="135"/>
      <c r="G37" s="102"/>
      <c r="H37" s="35"/>
      <c r="I37" s="114" t="s">
        <v>396</v>
      </c>
      <c r="J37" s="99"/>
      <c r="K37" s="110">
        <v>3</v>
      </c>
      <c r="L37" s="104" t="s">
        <v>1301</v>
      </c>
      <c r="M37" s="35"/>
      <c r="N37" s="35"/>
      <c r="O37" s="35"/>
      <c r="P37" s="35"/>
    </row>
    <row r="38" spans="2:16">
      <c r="B38" s="35"/>
      <c r="C38" s="35"/>
      <c r="D38" s="35"/>
      <c r="E38" s="135"/>
      <c r="F38" s="135"/>
      <c r="G38" s="102"/>
      <c r="H38" s="35"/>
      <c r="I38" s="114" t="s">
        <v>396</v>
      </c>
      <c r="J38" s="99"/>
      <c r="K38" s="110">
        <v>4</v>
      </c>
      <c r="L38" s="104" t="s">
        <v>1302</v>
      </c>
      <c r="M38" s="35"/>
      <c r="N38" s="35"/>
      <c r="O38" s="35"/>
      <c r="P38" s="35"/>
    </row>
    <row r="39" spans="2:16">
      <c r="B39" s="35"/>
      <c r="C39" s="35"/>
      <c r="D39" s="35"/>
      <c r="E39" s="135"/>
      <c r="F39" s="135"/>
      <c r="G39" s="102"/>
      <c r="H39" s="35"/>
      <c r="I39" s="114" t="s">
        <v>396</v>
      </c>
      <c r="J39" s="99"/>
      <c r="K39" s="110" t="s">
        <v>1303</v>
      </c>
      <c r="L39" s="104" t="s">
        <v>1304</v>
      </c>
      <c r="M39" s="35"/>
      <c r="N39" s="35"/>
      <c r="O39" s="35"/>
      <c r="P39" s="35"/>
    </row>
    <row r="40" spans="2:16">
      <c r="B40" s="35"/>
      <c r="C40" s="35"/>
      <c r="D40" s="35"/>
      <c r="E40" s="135"/>
      <c r="F40" s="135"/>
      <c r="G40" s="102"/>
      <c r="H40" s="35"/>
      <c r="I40" s="35"/>
      <c r="J40" s="35"/>
      <c r="K40" s="35"/>
      <c r="L40" s="35"/>
      <c r="M40" s="35"/>
      <c r="N40" s="35"/>
      <c r="O40" s="35"/>
      <c r="P40" s="35"/>
    </row>
    <row r="41" spans="2:16">
      <c r="B41" s="35"/>
      <c r="C41" s="35" t="s">
        <v>1305</v>
      </c>
      <c r="D41" s="35"/>
      <c r="E41" s="134"/>
      <c r="F41" s="135"/>
      <c r="G41" s="102"/>
      <c r="H41" s="35"/>
      <c r="I41" s="35"/>
      <c r="J41" s="35"/>
      <c r="K41" s="35"/>
      <c r="L41" s="35"/>
      <c r="M41" s="35"/>
      <c r="N41" s="35"/>
      <c r="O41" s="35"/>
      <c r="P41" s="35"/>
    </row>
    <row r="42" spans="2:16">
      <c r="B42" s="35"/>
      <c r="C42" s="105" t="s">
        <v>1281</v>
      </c>
      <c r="D42" s="105"/>
      <c r="E42" s="136">
        <f>SUM(E43:E44)</f>
        <v>1</v>
      </c>
      <c r="F42" s="136">
        <v>0.2</v>
      </c>
      <c r="G42" s="106"/>
      <c r="H42" s="107">
        <f>SUMPRODUCT(E43:E44,H43:H44)</f>
        <v>6</v>
      </c>
      <c r="I42" s="35"/>
      <c r="J42" s="111" t="s">
        <v>1282</v>
      </c>
      <c r="K42" s="112" t="s">
        <v>1283</v>
      </c>
      <c r="L42" s="105"/>
      <c r="M42" s="35"/>
      <c r="N42" s="35"/>
      <c r="O42" s="35"/>
      <c r="P42" s="35"/>
    </row>
    <row r="43" spans="2:16">
      <c r="B43" s="35"/>
      <c r="C43" s="104" t="s">
        <v>1306</v>
      </c>
      <c r="D43" s="104"/>
      <c r="E43" s="137">
        <v>0.5</v>
      </c>
      <c r="F43" s="137">
        <f>E43*F$42</f>
        <v>0.1</v>
      </c>
      <c r="G43" s="102"/>
      <c r="H43" s="101">
        <f>MIN(10,($J43/HLOOKUP($D$11,tabellen!$G$134:$P$151,ROWS(tabellen!$G$134:$G$151),FALSE)*(10-6)+6))</f>
        <v>6</v>
      </c>
      <c r="I43" s="114" t="s">
        <v>396</v>
      </c>
      <c r="J43" s="98"/>
      <c r="K43" s="110" t="s">
        <v>166</v>
      </c>
      <c r="L43" s="104" t="s">
        <v>200</v>
      </c>
      <c r="M43" s="35"/>
      <c r="N43" s="505" t="str">
        <f ca="1">tabellen!$F$151</f>
        <v>Bouwmethode, afgestemd op meerdere cycliMaximum</v>
      </c>
      <c r="O43" s="505" t="str">
        <f>tabellen!$F$150</f>
        <v>Bouwmethode, afgestemd op meerdere cycliItemcode</v>
      </c>
      <c r="P43" s="35"/>
    </row>
    <row r="44" spans="2:16">
      <c r="B44" s="35"/>
      <c r="C44" s="104" t="s">
        <v>1307</v>
      </c>
      <c r="D44" s="104"/>
      <c r="E44" s="137">
        <v>0.5</v>
      </c>
      <c r="F44" s="137">
        <f>E44*F$42</f>
        <v>0.1</v>
      </c>
      <c r="G44" s="102"/>
      <c r="H44" s="101">
        <f>MIN(10,($J44/HLOOKUP($D$11,tabellen!$G$134:$P$151,ROWS(tabellen!$G$134:$G$151),FALSE)*(10-6)+6))</f>
        <v>6</v>
      </c>
      <c r="I44" s="114" t="s">
        <v>396</v>
      </c>
      <c r="J44" s="98"/>
      <c r="K44" s="110" t="s">
        <v>166</v>
      </c>
      <c r="L44" s="104" t="s">
        <v>200</v>
      </c>
      <c r="M44" s="35"/>
      <c r="N44" s="505" t="str">
        <f ca="1">tabellen!$F$151</f>
        <v>Bouwmethode, afgestemd op meerdere cycliMaximum</v>
      </c>
      <c r="O44" s="505" t="str">
        <f>tabellen!$F$150</f>
        <v>Bouwmethode, afgestemd op meerdere cycliItemcode</v>
      </c>
      <c r="P44" s="35"/>
    </row>
    <row r="45" spans="2:16">
      <c r="B45" s="35"/>
      <c r="C45" s="35"/>
      <c r="D45" s="35"/>
      <c r="E45" s="134"/>
      <c r="F45" s="134"/>
      <c r="G45" s="102"/>
      <c r="H45" s="103"/>
      <c r="I45" s="35"/>
      <c r="J45" s="35"/>
      <c r="K45" s="109"/>
      <c r="L45" s="35"/>
      <c r="M45" s="35"/>
      <c r="N45" s="35"/>
      <c r="O45" s="35"/>
      <c r="P45" s="35"/>
    </row>
    <row r="46" spans="2:16">
      <c r="B46" s="35"/>
      <c r="C46" s="35" t="s">
        <v>1308</v>
      </c>
      <c r="D46" s="35"/>
      <c r="E46" s="134"/>
      <c r="F46" s="135"/>
      <c r="G46" s="102"/>
      <c r="H46" s="35"/>
      <c r="I46" s="35"/>
      <c r="J46" s="35"/>
      <c r="K46" s="109"/>
      <c r="L46" s="35"/>
      <c r="M46" s="35"/>
      <c r="N46" s="35"/>
      <c r="O46" s="35"/>
      <c r="P46" s="35"/>
    </row>
    <row r="47" spans="2:16">
      <c r="B47" s="35"/>
      <c r="C47" s="105" t="s">
        <v>1281</v>
      </c>
      <c r="D47" s="105"/>
      <c r="E47" s="136">
        <f>SUM(E48:E51)</f>
        <v>1</v>
      </c>
      <c r="F47" s="136">
        <v>1</v>
      </c>
      <c r="G47" s="106"/>
      <c r="H47" s="107">
        <f>SUMPRODUCT(E48:E51,H48:H51)</f>
        <v>6</v>
      </c>
      <c r="I47" s="35"/>
      <c r="J47" s="111" t="s">
        <v>1282</v>
      </c>
      <c r="K47" s="112" t="s">
        <v>1283</v>
      </c>
      <c r="L47" s="105"/>
      <c r="M47" s="35"/>
      <c r="N47" s="35"/>
      <c r="O47" s="35"/>
      <c r="P47" s="35"/>
    </row>
    <row r="48" spans="2:16">
      <c r="B48" s="35"/>
      <c r="C48" s="104" t="s">
        <v>1309</v>
      </c>
      <c r="D48" s="104"/>
      <c r="E48" s="137">
        <v>0.05</v>
      </c>
      <c r="F48" s="137">
        <f>E48*F$47</f>
        <v>0.05</v>
      </c>
      <c r="G48" s="102"/>
      <c r="H48" s="101">
        <f>IF(J48="ja",10,6)</f>
        <v>6</v>
      </c>
      <c r="I48" s="114" t="s">
        <v>396</v>
      </c>
      <c r="J48" s="98"/>
      <c r="K48" s="110" t="s">
        <v>1310</v>
      </c>
      <c r="L48" s="104" t="s">
        <v>1311</v>
      </c>
      <c r="M48" s="35"/>
      <c r="N48" s="35"/>
      <c r="O48" s="35"/>
      <c r="P48" s="35"/>
    </row>
    <row r="49" spans="2:16">
      <c r="B49" s="35"/>
      <c r="C49" s="104" t="s">
        <v>1312</v>
      </c>
      <c r="D49" s="104"/>
      <c r="E49" s="137">
        <v>0.15</v>
      </c>
      <c r="F49" s="137">
        <f>E49*F$47</f>
        <v>0.15</v>
      </c>
      <c r="G49" s="102"/>
      <c r="H49" s="101">
        <f>IF(J49="ja",10,6)</f>
        <v>6</v>
      </c>
      <c r="I49" s="114" t="s">
        <v>396</v>
      </c>
      <c r="J49" s="98"/>
      <c r="K49" s="110" t="s">
        <v>1310</v>
      </c>
      <c r="L49" s="104" t="s">
        <v>1313</v>
      </c>
      <c r="M49" s="35"/>
      <c r="N49" s="35"/>
      <c r="O49" s="35"/>
      <c r="P49" s="35"/>
    </row>
    <row r="50" spans="2:16">
      <c r="B50" s="35"/>
      <c r="C50" s="104" t="s">
        <v>1314</v>
      </c>
      <c r="D50" s="104"/>
      <c r="E50" s="137">
        <v>0.7</v>
      </c>
      <c r="F50" s="137">
        <f>E50*F$47</f>
        <v>0.7</v>
      </c>
      <c r="G50" s="102"/>
      <c r="H50" s="101">
        <f>IF(J50="ja",10,6)</f>
        <v>6</v>
      </c>
      <c r="I50" s="114" t="s">
        <v>396</v>
      </c>
      <c r="J50" s="98"/>
      <c r="K50" s="110" t="s">
        <v>1310</v>
      </c>
      <c r="L50" s="104" t="s">
        <v>1315</v>
      </c>
      <c r="M50" s="35"/>
      <c r="N50" s="35"/>
      <c r="O50" s="35"/>
      <c r="P50" s="35"/>
    </row>
    <row r="51" spans="2:16">
      <c r="B51" s="35"/>
      <c r="C51" s="104" t="s">
        <v>1316</v>
      </c>
      <c r="D51" s="104"/>
      <c r="E51" s="137">
        <v>0.10000000000000009</v>
      </c>
      <c r="F51" s="137">
        <f>E51*F$47</f>
        <v>0.10000000000000009</v>
      </c>
      <c r="G51" s="102"/>
      <c r="H51" s="101">
        <f>IF(J51="ja",10,6)</f>
        <v>6</v>
      </c>
      <c r="I51" s="114" t="s">
        <v>396</v>
      </c>
      <c r="J51" s="98"/>
      <c r="K51" s="110" t="s">
        <v>1310</v>
      </c>
      <c r="L51" s="104" t="s">
        <v>1317</v>
      </c>
      <c r="M51" s="35"/>
      <c r="N51" s="35"/>
      <c r="O51" s="35"/>
      <c r="P51" s="35"/>
    </row>
    <row r="52" spans="2:16">
      <c r="B52" s="35"/>
      <c r="C52" s="35"/>
      <c r="D52" s="35"/>
      <c r="E52" s="134"/>
      <c r="F52" s="134"/>
      <c r="G52" s="102"/>
      <c r="H52" s="103"/>
      <c r="I52" s="35"/>
      <c r="J52" s="35"/>
      <c r="K52" s="109"/>
      <c r="L52" s="35"/>
      <c r="M52" s="35"/>
      <c r="N52" s="35"/>
      <c r="O52" s="35"/>
      <c r="P52" s="35"/>
    </row>
    <row r="53" spans="2:16" ht="26.25" customHeight="1">
      <c r="B53" s="113"/>
      <c r="C53" s="1777" t="s">
        <v>1318</v>
      </c>
      <c r="D53" s="1777"/>
      <c r="E53" s="1777"/>
      <c r="F53" s="1777"/>
      <c r="G53" s="1777"/>
      <c r="H53" s="1777"/>
      <c r="I53" s="1777"/>
      <c r="J53" s="1777"/>
      <c r="K53" s="1777"/>
      <c r="L53" s="1777"/>
      <c r="M53" s="35"/>
      <c r="N53" s="35"/>
      <c r="O53" s="35"/>
      <c r="P53" s="35"/>
    </row>
    <row r="54" spans="2:16">
      <c r="B54" s="141" t="str">
        <f>"© W/E adviseurs, Utrecht/Eindhoven, versie rekenhulpmiddelen "&amp;TEXT(Wijzigingsblad!$B$3,"d mmmm jjjj")</f>
        <v>© W/E adviseurs, Utrecht/Eindhoven, versie rekenhulpmiddelen 17 april 2024</v>
      </c>
      <c r="E54" s="722"/>
      <c r="F54" s="722"/>
      <c r="G54" s="723"/>
    </row>
  </sheetData>
  <sheetProtection sheet="1" objects="1" scenarios="1"/>
  <mergeCells count="9">
    <mergeCell ref="B3:D3"/>
    <mergeCell ref="D10:F10"/>
    <mergeCell ref="D11:F11"/>
    <mergeCell ref="C53:L53"/>
    <mergeCell ref="D6:F6"/>
    <mergeCell ref="D7:F7"/>
    <mergeCell ref="D8:F8"/>
    <mergeCell ref="D9:F9"/>
    <mergeCell ref="D12:F12"/>
  </mergeCells>
  <conditionalFormatting sqref="D11">
    <cfRule type="expression" dxfId="21" priority="3">
      <formula>OR(D11="",AND(D11&lt;&gt;"",ISERROR(MATCH(D11,Gebruiksfuncties_CPG_1.7,0))=TRUE))</formula>
    </cfRule>
  </conditionalFormatting>
  <conditionalFormatting sqref="D12">
    <cfRule type="expression" dxfId="20" priority="1">
      <formula>ISERROR(MATCH(D12,GPR_scope,0))=TRUE</formula>
    </cfRule>
  </conditionalFormatting>
  <dataValidations count="21">
    <dataValidation type="decimal" operator="greaterThanOrEqual" allowBlank="1" showInputMessage="1" showErrorMessage="1" sqref="J18:J20 J24:J26 J34:J35 J37:J39 J43:J44" xr:uid="{72EB5EAD-99DA-4521-B4B6-5A2982008F26}">
      <formula1>0</formula1>
    </dataValidation>
    <dataValidation allowBlank="1" showInputMessage="1" showErrorMessage="1" promptTitle="Behoud aanwezige gebouwelementen" prompt="Als er sprake is van handhaven van reeds bestaande elementen dan is dat in GPR Gebouw bij Circulair materiaalgebruik onder 2.2.7 te waarderen (Extra maatregelen). Deze punten hier overnemen." sqref="I18" xr:uid="{97B96357-278A-4CE8-9E13-07E2060CF50D}"/>
    <dataValidation allowBlank="1" showInputMessage="1" showErrorMessage="1" promptTitle="Hergebruik producten" prompt="De puntenscore van het item 2.2.2 Hergebruik producten overnemen." sqref="I19" xr:uid="{7F6B4BC6-2D35-4CB4-B6CD-11C285AD300C}"/>
    <dataValidation allowBlank="1" showInputMessage="1" showErrorMessage="1" promptTitle="Secundaire grondstoffen" prompt="Als het 'secundair' betreft, de puntenscore van het item 2.2.3 Circulaire materialen (biobased of secundair) overnemen." sqref="I20" xr:uid="{9BABE33A-90BA-4B30-B248-F9D89728F5C1}"/>
    <dataValidation allowBlank="1" showInputMessage="1" showErrorMessage="1" promptTitle="Biobased" prompt="Als het 'biobased' betreft, de puntenscore van het item 2.2.3 Circulaire materialen (biobased of secundair) overnemen." sqref="I24" xr:uid="{C7B91BA8-98EB-4F69-8BFB-47AEF80C57A1}"/>
    <dataValidation allowBlank="1" showInputMessage="1" showErrorMessage="1" promptTitle="BENG 3 - indicator" prompt="Dit is de totale hoeveelheid duurzaam opgewekte primaire energie t.o.v. het totale primaire energiegebruik volgens NTA8800._x000a_Is de BENG indicator niet beschikbaar, bepaald dan de verhouding aan de hand van de resultaten van de NTA-berekening." sqref="I25" xr:uid="{8A5E0A8F-5532-4B18-8B53-0395306834D7}"/>
    <dataValidation allowBlank="1" showInputMessage="1" showErrorMessage="1" promptTitle="Circulair watergebruik" prompt="De punten 2.3.6 of 2.3.7 Circulair watergebruik bij elkaar optellen en hier invullen." sqref="I26" xr:uid="{A5BABFCA-1869-4A61-8F6F-AEDB40420542}"/>
    <dataValidation allowBlank="1" showInputMessage="1" showErrorMessage="1" promptTitle="DPG-monitor" prompt="Hier de totaalscore van de DPG-index invoeren die bij de Resultaten met weergave van GPR (DPG-methodiek) af te lezen is bij de DPG-monitor._x000a_Bij Bedrijfsgebouwen de resultaten bij de subthema's 1.1 en 2.1 hier overnemen." sqref="I30" xr:uid="{00FA0802-B9B5-407D-A523-1D149A8FB2CE}"/>
    <dataValidation allowBlank="1" showInputMessage="1" showErrorMessage="1" promptTitle="Zorgvuldige afvalscheiding" prompt="Ja, als op het tabblad Proceskwaliteit bij 4 Proceskwaliteit milieu het criterium 'zorgvuldige en vergaande afvalscheiding bij uitvoering' is aangevinkt." sqref="I51" xr:uid="{8634EB16-6B9E-4898-A6E5-8BFD91042064}"/>
    <dataValidation allowBlank="1" showInputMessage="1" showErrorMessage="1" promptTitle="Sloopbestek meegeleverd" prompt="Ja, als op het tabblad Proceskwaliteit bij 4 Proceskwaliteit milieu het criterium 'sloopbestek meegeleverd bij oplevering' is aangevinkt." sqref="I50" xr:uid="{DD0ED756-4893-42D9-AF85-0C3491E96E8D}"/>
    <dataValidation allowBlank="1" showInputMessage="1" showErrorMessage="1" promptTitle="Duurzaam onderhoudsplan" prompt="Ja, als op het tabblad Proceskwaliteit bij 4 Proceskwaliteit milieu het criterium 'duurzaam onderhoudsplan' is aangevinkt." sqref="I49" xr:uid="{DDD089D6-9C7F-4B1D-9330-513FDE4767A9}"/>
    <dataValidation allowBlank="1" showInputMessage="1" showErrorMessage="1" promptTitle="Herbruikbare verpakkingen" prompt="Ja, als op het tabblad Proceskwaliteit bij 4 Proceskwaliteit milieu het criterium 'herbruikbare verpakkingen voor bouw- en onderhoudsproducten' is aangevinkt." sqref="I48" xr:uid="{78A53EC5-3313-4D90-AF8E-0E07A001A505}"/>
    <dataValidation allowBlank="1" showInputMessage="1" showErrorMessage="1" promptTitle="Bouwmethode" prompt="De punten in 2.2.6 Bouwmethode, afgestemd op meerdere cycli bij elkaar optellen en hier invullen." sqref="I43:I44" xr:uid="{6D1E9D9B-BEFE-40F1-BE98-94FDF1561581}"/>
    <dataValidation allowBlank="1" showInputMessage="1" showErrorMessage="1" promptTitle="Belevingswaarde" prompt="Het resultaat op het subthema 5.3 Belevingswaarde hier overnemen." sqref="I39" xr:uid="{04A0CFF7-6932-4014-BE36-7103416CEF09}"/>
    <dataValidation allowBlank="1" showInputMessage="1" showErrorMessage="1" promptTitle="Gebruikskwaliteit" prompt="Het resultaat op het thema 4 Gebruikskwaliteit hier overnemen." sqref="I38" xr:uid="{AB75AE13-FEE0-4D83-9797-30714A779EE3}"/>
    <dataValidation allowBlank="1" showInputMessage="1" showErrorMessage="1" promptTitle="Gezondheid" prompt="Het resultaat op het thema 3 Gezondheid hier overnemen." sqref="I37" xr:uid="{06C70DD1-5DA0-4A81-84C0-737B7EADE94D}"/>
    <dataValidation allowBlank="1" showInputMessage="1" showErrorMessage="1" promptTitle="Belasting riolering,grondwater" prompt="De punten 2.3.7 of 2.3.8 Belasting riolering, bodem en grondwater bij elkaar optellen en hier invullen." sqref="I34" xr:uid="{D7849AE0-11D3-4623-A3FC-73E819A309D4}"/>
    <dataValidation allowBlank="1" showInputMessage="1" showErrorMessage="1" promptTitle="Flexibiliteit" prompt="Het resultaat op het subthema 5.2 Flexibiliteit overnemen." sqref="I35" xr:uid="{62D9B634-A666-4524-A2BC-C01CCA990A38}"/>
    <dataValidation type="list" allowBlank="1" showInputMessage="1" showErrorMessage="1" sqref="J48:J51" xr:uid="{5ABD0E93-331B-4B6C-997E-1F0085454787}">
      <formula1>"ja,nee"</formula1>
    </dataValidation>
    <dataValidation type="list" allowBlank="1" showInputMessage="1" showErrorMessage="1" sqref="D11:F11" xr:uid="{2A150CEC-4BC3-4318-BE0D-EDE89F1E905B}">
      <formula1>Gebruiksfuncties_CPG_1.7</formula1>
    </dataValidation>
    <dataValidation type="list" allowBlank="1" showInputMessage="1" showErrorMessage="1" sqref="D12" xr:uid="{82F44B76-56DC-4E25-BC65-E650F9E92EDB}">
      <formula1>GPR_scope</formula1>
    </dataValidation>
  </dataValidations>
  <hyperlinks>
    <hyperlink ref="A1" location="'Overzicht GPR Hulpmiddelen'!A1" tooltip="naar startscherm" display="&lt;" xr:uid="{F74E60B4-18F0-4270-9D82-10AAF02C6FD4}"/>
  </hyperlinks>
  <pageMargins left="0.7" right="0.7" top="0.75" bottom="0.75" header="0.3" footer="0.3"/>
  <pageSetup paperSize="9" scale="45" orientation="landscape" horizontalDpi="4294967295" verticalDpi="4294967295"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FA02B-D1F0-43B0-BF19-A7ECC00ACB8F}">
  <sheetPr codeName="Blad15">
    <tabColor theme="5"/>
    <pageSetUpPr fitToPage="1"/>
  </sheetPr>
  <dimension ref="A1:P55"/>
  <sheetViews>
    <sheetView showGridLines="0" showRowColHeaders="0" zoomScaleNormal="100" workbookViewId="0">
      <pane xSplit="1" ySplit="3" topLeftCell="B4" activePane="bottomRight" state="frozen"/>
      <selection pane="topRight" activeCell="B1" sqref="B1"/>
      <selection pane="bottomLeft" activeCell="A4" sqref="A4"/>
      <selection pane="bottomRight" activeCell="J18" sqref="J18"/>
    </sheetView>
  </sheetViews>
  <sheetFormatPr defaultColWidth="9.1796875" defaultRowHeight="17.5"/>
  <cols>
    <col min="1" max="1" width="9.1796875" style="19"/>
    <col min="2" max="2" width="2.7265625" style="19" customWidth="1"/>
    <col min="3" max="3" width="15.54296875" style="516" customWidth="1"/>
    <col min="4" max="4" width="35.26953125" style="516" customWidth="1"/>
    <col min="5" max="6" width="9.7265625" style="523" customWidth="1"/>
    <col min="7" max="7" width="1.54296875" style="524" customWidth="1"/>
    <col min="8" max="8" width="9.7265625" style="525" customWidth="1"/>
    <col min="9" max="10" width="9.7265625" style="516" customWidth="1"/>
    <col min="11" max="11" width="9.7265625" style="526" customWidth="1"/>
    <col min="12" max="12" width="54.54296875" style="516" customWidth="1"/>
    <col min="13" max="13" width="2.7265625" style="516" customWidth="1"/>
    <col min="14" max="15" width="51.7265625" style="526" hidden="1" customWidth="1"/>
    <col min="16" max="16" width="2.7265625" style="516" customWidth="1"/>
    <col min="17" max="16384" width="9.1796875" style="516"/>
  </cols>
  <sheetData>
    <row r="1" spans="1:16" s="19" customFormat="1" ht="32.5">
      <c r="A1" s="512" t="s">
        <v>12</v>
      </c>
      <c r="B1" s="513"/>
      <c r="C1" s="514"/>
      <c r="D1" s="30"/>
      <c r="E1" s="37"/>
      <c r="F1" s="37"/>
      <c r="G1" s="30"/>
      <c r="H1" s="37"/>
      <c r="K1" s="37"/>
      <c r="L1" s="37"/>
      <c r="N1" s="30"/>
      <c r="O1" s="30"/>
    </row>
    <row r="2" spans="1:16" s="19" customFormat="1" ht="21">
      <c r="A2" s="28"/>
      <c r="B2" s="28" t="s">
        <v>1431</v>
      </c>
      <c r="C2" s="28"/>
      <c r="D2" s="28"/>
      <c r="E2" s="27"/>
      <c r="F2" s="27"/>
      <c r="G2" s="27"/>
      <c r="H2" s="27"/>
      <c r="I2" s="27"/>
      <c r="J2" s="27"/>
      <c r="K2" s="27"/>
      <c r="L2" s="27"/>
      <c r="M2" s="27"/>
      <c r="N2" s="463"/>
      <c r="O2" s="463"/>
      <c r="P2" s="28"/>
    </row>
    <row r="3" spans="1:16" s="29" customFormat="1">
      <c r="B3" s="1687">
        <v>45012</v>
      </c>
      <c r="C3" s="1688"/>
      <c r="D3" s="1713"/>
      <c r="F3" s="30"/>
      <c r="N3" s="30"/>
      <c r="O3" s="30"/>
    </row>
    <row r="4" spans="1:16" s="19" customFormat="1">
      <c r="B4" s="14"/>
      <c r="C4" s="67"/>
      <c r="D4" s="67"/>
      <c r="E4" s="67"/>
      <c r="F4" s="67"/>
      <c r="G4" s="14"/>
      <c r="H4" s="14"/>
      <c r="I4" s="14"/>
      <c r="J4" s="14"/>
      <c r="K4" s="14"/>
      <c r="L4" s="14"/>
      <c r="M4" s="14"/>
      <c r="N4" s="41"/>
      <c r="O4" s="41"/>
      <c r="P4" s="14"/>
    </row>
    <row r="5" spans="1:16" s="19" customFormat="1" ht="17.25" customHeight="1">
      <c r="B5" s="14"/>
      <c r="C5" s="68" t="s">
        <v>3</v>
      </c>
      <c r="D5" s="68"/>
      <c r="E5" s="68"/>
      <c r="F5" s="68"/>
      <c r="G5" s="14"/>
      <c r="H5" s="14"/>
      <c r="I5" s="185" t="s">
        <v>485</v>
      </c>
      <c r="J5" s="183"/>
      <c r="K5" s="183"/>
      <c r="L5" s="183"/>
      <c r="M5" s="14"/>
      <c r="N5" s="41"/>
      <c r="O5" s="41"/>
      <c r="P5" s="14"/>
    </row>
    <row r="6" spans="1:16" s="19" customFormat="1" ht="17.25" customHeight="1">
      <c r="B6" s="14"/>
      <c r="C6" s="22" t="s">
        <v>4</v>
      </c>
      <c r="D6" s="1691" t="str">
        <f>IF('Overzicht GPR Hulpmiddelen'!D6="","",'Overzicht GPR Hulpmiddelen'!D6)</f>
        <v/>
      </c>
      <c r="E6" s="1691"/>
      <c r="F6" s="1691"/>
      <c r="G6" s="14"/>
      <c r="H6" s="14"/>
      <c r="I6" s="14"/>
      <c r="J6" s="14"/>
      <c r="K6" s="14"/>
      <c r="L6" s="14"/>
      <c r="M6" s="14"/>
      <c r="N6" s="41"/>
      <c r="O6" s="41"/>
      <c r="P6" s="14"/>
    </row>
    <row r="7" spans="1:16" s="19" customFormat="1">
      <c r="B7" s="14"/>
      <c r="C7" s="22" t="s">
        <v>5</v>
      </c>
      <c r="D7" s="1691" t="str">
        <f>IF('Overzicht GPR Hulpmiddelen'!D7="","",'Overzicht GPR Hulpmiddelen'!D7)</f>
        <v/>
      </c>
      <c r="E7" s="1691"/>
      <c r="F7" s="1691"/>
      <c r="G7" s="14"/>
      <c r="H7" s="14"/>
      <c r="I7" s="14"/>
      <c r="J7" s="14"/>
      <c r="K7" s="14"/>
      <c r="L7" s="14"/>
      <c r="M7" s="14"/>
      <c r="N7" s="41"/>
      <c r="O7" s="41"/>
      <c r="P7" s="14"/>
    </row>
    <row r="8" spans="1:16" s="19" customFormat="1">
      <c r="B8" s="14"/>
      <c r="C8" s="22" t="s">
        <v>6</v>
      </c>
      <c r="D8" s="1691" t="str">
        <f>IF('Overzicht GPR Hulpmiddelen'!D8="","",'Overzicht GPR Hulpmiddelen'!D8)</f>
        <v/>
      </c>
      <c r="E8" s="1691"/>
      <c r="F8" s="1691"/>
      <c r="G8" s="14"/>
      <c r="H8" s="14"/>
      <c r="I8" s="14"/>
      <c r="J8" s="14"/>
      <c r="K8" s="14"/>
      <c r="L8" s="14"/>
      <c r="M8" s="14"/>
      <c r="N8" s="41"/>
      <c r="O8" s="41"/>
      <c r="P8" s="14"/>
    </row>
    <row r="9" spans="1:16" s="19" customFormat="1">
      <c r="B9" s="14"/>
      <c r="C9" s="22" t="s">
        <v>7</v>
      </c>
      <c r="D9" s="1699" t="str">
        <f>IF('Overzicht GPR Hulpmiddelen'!D9="","",'Overzicht GPR Hulpmiddelen'!D9)</f>
        <v/>
      </c>
      <c r="E9" s="1699"/>
      <c r="F9" s="1699"/>
      <c r="G9" s="14"/>
      <c r="H9" s="14"/>
      <c r="I9" s="14"/>
      <c r="J9" s="14"/>
      <c r="K9" s="14"/>
      <c r="L9" s="14"/>
      <c r="M9" s="14"/>
      <c r="N9" s="41"/>
      <c r="O9" s="41"/>
      <c r="P9" s="14"/>
    </row>
    <row r="10" spans="1:16" s="19" customFormat="1">
      <c r="B10" s="14"/>
      <c r="C10" s="22" t="s">
        <v>914</v>
      </c>
      <c r="D10" s="1685"/>
      <c r="E10" s="1685"/>
      <c r="F10" s="1685"/>
      <c r="G10" s="14"/>
      <c r="H10" s="14"/>
      <c r="I10" s="14"/>
      <c r="J10" s="14"/>
      <c r="K10" s="14"/>
      <c r="L10" s="14"/>
      <c r="M10" s="14"/>
      <c r="N10" s="41"/>
      <c r="O10" s="41"/>
      <c r="P10" s="14"/>
    </row>
    <row r="11" spans="1:16">
      <c r="B11" s="12"/>
      <c r="C11" s="90" t="s">
        <v>1276</v>
      </c>
      <c r="D11" s="1685" t="s">
        <v>142</v>
      </c>
      <c r="E11" s="1685"/>
      <c r="F11" s="1685"/>
      <c r="G11" s="515"/>
      <c r="H11" s="14"/>
      <c r="I11" s="14"/>
      <c r="J11" s="14"/>
      <c r="K11" s="14"/>
      <c r="L11" s="14"/>
      <c r="M11" s="14"/>
      <c r="N11" s="41"/>
      <c r="O11" s="41"/>
      <c r="P11" s="12"/>
    </row>
    <row r="12" spans="1:16">
      <c r="B12" s="12"/>
      <c r="C12" s="22" t="s">
        <v>1427</v>
      </c>
      <c r="D12" s="1699" t="s">
        <v>1389</v>
      </c>
      <c r="E12" s="1699"/>
      <c r="F12" s="1699"/>
      <c r="G12" s="515"/>
      <c r="H12" s="14"/>
      <c r="I12" s="14"/>
      <c r="J12" s="14"/>
      <c r="K12" s="14"/>
      <c r="L12" s="14"/>
      <c r="M12" s="14"/>
      <c r="N12" s="41"/>
      <c r="O12" s="41"/>
      <c r="P12" s="12"/>
    </row>
    <row r="13" spans="1:16">
      <c r="B13" s="12"/>
      <c r="C13" s="12"/>
      <c r="D13" s="12"/>
      <c r="E13" s="517"/>
      <c r="F13" s="517"/>
      <c r="G13" s="515"/>
      <c r="H13" s="518"/>
      <c r="I13" s="12"/>
      <c r="J13" s="12"/>
      <c r="K13" s="41"/>
      <c r="L13" s="12"/>
      <c r="M13" s="12"/>
      <c r="N13" s="41"/>
      <c r="O13" s="41"/>
      <c r="P13" s="12"/>
    </row>
    <row r="14" spans="1:16">
      <c r="B14" s="12"/>
      <c r="C14" s="12" t="s">
        <v>1277</v>
      </c>
      <c r="D14" s="12"/>
      <c r="E14" s="517"/>
      <c r="F14" s="517">
        <f>F17+F23+F30+F34+F42</f>
        <v>1</v>
      </c>
      <c r="G14" s="515"/>
      <c r="H14" s="10">
        <f ca="1">MIN(10,F17*H17+F23*H23+F30*H30+F34*H34+F42*H42)</f>
        <v>6.54</v>
      </c>
      <c r="I14" s="12"/>
      <c r="J14" s="15" t="s">
        <v>1429</v>
      </c>
      <c r="K14" s="43"/>
      <c r="L14" s="15"/>
      <c r="M14" s="12"/>
      <c r="N14" s="57" t="s">
        <v>1278</v>
      </c>
      <c r="O14" s="57" t="s">
        <v>1279</v>
      </c>
      <c r="P14" s="12"/>
    </row>
    <row r="15" spans="1:16">
      <c r="B15" s="12"/>
      <c r="C15" s="12"/>
      <c r="D15" s="12"/>
      <c r="E15" s="14"/>
      <c r="F15" s="14"/>
      <c r="G15" s="12"/>
      <c r="H15" s="12"/>
      <c r="I15" s="12"/>
      <c r="J15" s="12"/>
      <c r="K15" s="12"/>
      <c r="L15" s="12"/>
      <c r="M15" s="12"/>
      <c r="N15" s="41"/>
      <c r="O15" s="41"/>
      <c r="P15" s="12"/>
    </row>
    <row r="16" spans="1:16">
      <c r="B16" s="12"/>
      <c r="C16" s="12" t="s">
        <v>1280</v>
      </c>
      <c r="D16" s="12"/>
      <c r="E16" s="14"/>
      <c r="F16" s="14"/>
      <c r="G16" s="12"/>
      <c r="H16" s="12"/>
      <c r="I16" s="12"/>
      <c r="J16" s="12"/>
      <c r="K16" s="12"/>
      <c r="L16" s="12"/>
      <c r="M16" s="12"/>
      <c r="N16" s="41"/>
      <c r="O16" s="41"/>
      <c r="P16" s="12"/>
    </row>
    <row r="17" spans="2:16">
      <c r="B17" s="12"/>
      <c r="C17" s="233" t="s">
        <v>1281</v>
      </c>
      <c r="D17" s="233"/>
      <c r="E17" s="199">
        <f>SUM(E18:E20)</f>
        <v>1</v>
      </c>
      <c r="F17" s="199">
        <v>0.2</v>
      </c>
      <c r="G17" s="519"/>
      <c r="H17" s="70">
        <f ca="1">SUMPRODUCT(E18:E20,H18:H20)</f>
        <v>6</v>
      </c>
      <c r="I17" s="12"/>
      <c r="J17" s="26" t="s">
        <v>1282</v>
      </c>
      <c r="K17" s="57" t="s">
        <v>1283</v>
      </c>
      <c r="L17" s="233"/>
      <c r="M17" s="12"/>
      <c r="N17" s="41"/>
      <c r="O17" s="41"/>
      <c r="P17" s="12"/>
    </row>
    <row r="18" spans="2:16">
      <c r="B18" s="12"/>
      <c r="C18" s="90" t="s">
        <v>1284</v>
      </c>
      <c r="D18" s="90"/>
      <c r="E18" s="197">
        <v>0.3</v>
      </c>
      <c r="F18" s="197">
        <f>E18*F$17</f>
        <v>0.06</v>
      </c>
      <c r="G18" s="515"/>
      <c r="H18" s="69">
        <f ca="1">MIN(10,6+(10-6)*(J18/INDEX(tabel_CirculariteitsPrestatie_Gebouw_1.8_NIEUW,MATCH($N18,tabel_CPG_startkolom_1.8_NIEUW,0),MATCH($D$11,Gebruiksfuncties_CPG,0))))</f>
        <v>6</v>
      </c>
      <c r="I18" s="208" t="s">
        <v>396</v>
      </c>
      <c r="J18" s="201"/>
      <c r="K18" s="22" t="str">
        <f>INDEX(tabel_CirculariteitsPrestatie_Gebouw_1.8_NIEUW,MATCH($O18,tabel_CPG_startkolom_1.8_NIEUW,0),MATCH($D$11,Gebruiksfuncties_CPG,0))</f>
        <v>2.1.10</v>
      </c>
      <c r="L18" s="90" t="str">
        <f>tabellen!C67</f>
        <v>Extra maatregelen (handhaven casco en/of gevel)</v>
      </c>
      <c r="M18" s="12"/>
      <c r="N18" s="22" t="str">
        <f>L18&amp;"Maximum"</f>
        <v>Extra maatregelen (handhaven casco en/of gevel)Maximum</v>
      </c>
      <c r="O18" s="22" t="str">
        <f>L18&amp;"Itemcode"</f>
        <v>Extra maatregelen (handhaven casco en/of gevel)Itemcode</v>
      </c>
      <c r="P18" s="12"/>
    </row>
    <row r="19" spans="2:16">
      <c r="B19" s="12"/>
      <c r="C19" s="90" t="s">
        <v>1285</v>
      </c>
      <c r="D19" s="90"/>
      <c r="E19" s="197">
        <v>0.5</v>
      </c>
      <c r="F19" s="197">
        <f>E19*F$17</f>
        <v>0.1</v>
      </c>
      <c r="G19" s="515"/>
      <c r="H19" s="69">
        <f ca="1">MIN(10,6+(10-6)*(J19/INDEX(tabel_CirculariteitsPrestatie_Gebouw_1.8_NIEUW,MATCH($N19,tabel_CPG_startkolom_1.8_NIEUW,0),MATCH($D$11,Gebruiksfuncties_CPG,0))))</f>
        <v>6</v>
      </c>
      <c r="I19" s="208" t="s">
        <v>396</v>
      </c>
      <c r="J19" s="201"/>
      <c r="K19" s="22" t="str">
        <f ca="1">INDEX(tabel_CirculariteitsPrestatie_Gebouw_1.8_NIEUW,MATCH($O19,tabel_CPG_startkolom_1.8_NIEUW,0),MATCH($D$11,Gebruiksfuncties_CPG,0))</f>
        <v>2.1.3</v>
      </c>
      <c r="L19" s="90" t="str">
        <f>tabellen!C69</f>
        <v>Hergebruik producten</v>
      </c>
      <c r="M19" s="12"/>
      <c r="N19" s="22" t="str">
        <f t="shared" ref="N19:N20" si="0">L19&amp;"Maximum"</f>
        <v>Hergebruik productenMaximum</v>
      </c>
      <c r="O19" s="22" t="str">
        <f t="shared" ref="O19:O20" si="1">L19&amp;"Itemcode"</f>
        <v>Hergebruik productenItemcode</v>
      </c>
      <c r="P19" s="12"/>
    </row>
    <row r="20" spans="2:16">
      <c r="B20" s="12"/>
      <c r="C20" s="90" t="s">
        <v>1286</v>
      </c>
      <c r="D20" s="90"/>
      <c r="E20" s="197">
        <v>0.2</v>
      </c>
      <c r="F20" s="197">
        <f>E20*F$17</f>
        <v>4.0000000000000008E-2</v>
      </c>
      <c r="G20" s="515"/>
      <c r="H20" s="69">
        <f ca="1">MIN(10,6+(10-6)*(J20/INDEX(tabel_CirculariteitsPrestatie_Gebouw_1.8_NIEUW,MATCH($N20,tabel_CPG_startkolom_1.8_NIEUW,0),MATCH($D$11,Gebruiksfuncties_CPG,0))))</f>
        <v>6</v>
      </c>
      <c r="I20" s="208" t="s">
        <v>396</v>
      </c>
      <c r="J20" s="520"/>
      <c r="K20" s="22" t="str">
        <f ca="1">INDEX(tabel_CirculariteitsPrestatie_Gebouw_1.8_NIEUW,MATCH($O20,tabel_CPG_startkolom_1.8_NIEUW,0),MATCH($D$11,Gebruiksfuncties_CPG,0))</f>
        <v>2.1.4</v>
      </c>
      <c r="L20" s="90" t="str">
        <f>tabellen!C71</f>
        <v>Circulaire materialen ('secundair, extra')</v>
      </c>
      <c r="M20" s="12"/>
      <c r="N20" s="22" t="str">
        <f t="shared" si="0"/>
        <v>Circulaire materialen ('secundair, extra')Maximum</v>
      </c>
      <c r="O20" s="22" t="str">
        <f t="shared" si="1"/>
        <v>Circulaire materialen ('secundair, extra')Itemcode</v>
      </c>
      <c r="P20" s="12"/>
    </row>
    <row r="21" spans="2:16">
      <c r="B21" s="12"/>
      <c r="C21" s="12"/>
      <c r="D21" s="12"/>
      <c r="E21" s="14"/>
      <c r="F21" s="14"/>
      <c r="G21" s="515"/>
      <c r="H21" s="12"/>
      <c r="I21" s="12"/>
      <c r="J21" s="166"/>
      <c r="K21" s="12"/>
      <c r="L21" s="12"/>
      <c r="M21" s="12"/>
      <c r="N21" s="41"/>
      <c r="O21" s="41"/>
      <c r="P21" s="12"/>
    </row>
    <row r="22" spans="2:16">
      <c r="B22" s="12"/>
      <c r="C22" s="12" t="s">
        <v>1287</v>
      </c>
      <c r="D22" s="12"/>
      <c r="E22" s="517"/>
      <c r="F22" s="14"/>
      <c r="G22" s="515"/>
      <c r="H22" s="12"/>
      <c r="I22" s="12"/>
      <c r="J22" s="12"/>
      <c r="K22" s="12"/>
      <c r="L22" s="12"/>
      <c r="M22" s="12"/>
      <c r="N22" s="41"/>
      <c r="O22" s="41"/>
      <c r="P22" s="12"/>
    </row>
    <row r="23" spans="2:16">
      <c r="B23" s="12"/>
      <c r="C23" s="233" t="s">
        <v>1281</v>
      </c>
      <c r="D23" s="233"/>
      <c r="E23" s="199">
        <f>SUM(E24:E27)</f>
        <v>1</v>
      </c>
      <c r="F23" s="199">
        <v>0.2</v>
      </c>
      <c r="G23" s="519"/>
      <c r="H23" s="70">
        <f ca="1">SUMPRODUCT(E24:E27,H24:H27)</f>
        <v>5.7</v>
      </c>
      <c r="I23" s="12"/>
      <c r="J23" s="26" t="s">
        <v>1282</v>
      </c>
      <c r="K23" s="57" t="s">
        <v>1283</v>
      </c>
      <c r="L23" s="233"/>
      <c r="M23" s="12"/>
      <c r="N23" s="41"/>
      <c r="O23" s="41"/>
      <c r="P23" s="12"/>
    </row>
    <row r="24" spans="2:16">
      <c r="B24" s="12"/>
      <c r="C24" s="90" t="s">
        <v>1319</v>
      </c>
      <c r="D24" s="90"/>
      <c r="E24" s="197">
        <v>0.2</v>
      </c>
      <c r="F24" s="197">
        <f>E24*F$23</f>
        <v>4.0000000000000008E-2</v>
      </c>
      <c r="G24" s="515"/>
      <c r="H24" s="69">
        <f>IF(OR(J24&lt;0.01,J25&lt;=0),4.5,MIN(10,6+(10-6)*(J24/INDEX(tabel_CirculariteitsPrestatie_Gebouw_1.8_NIEUW,MATCH($N24,tabel_CPG_startkolom_1.8_NIEUW,0),MATCH($D$11,Gebruiksfuncties_CPG,0)))))</f>
        <v>4.5</v>
      </c>
      <c r="I24" s="208" t="s">
        <v>396</v>
      </c>
      <c r="J24" s="520"/>
      <c r="K24" s="22" t="str">
        <f ca="1">INDEX(tabel_CirculariteitsPrestatie_Gebouw_1.8_NIEUW,MATCH($O24,tabel_CPG_startkolom_1.8_NIEUW,0),MATCH($D$11,Gebruiksfuncties_CPG,0))</f>
        <v>2.1.4</v>
      </c>
      <c r="L24" s="90" t="str">
        <f>tabellen!C73</f>
        <v>Circulaire materialen ('biobased CO2-opslag'+'biobased overig')</v>
      </c>
      <c r="M24" s="12"/>
      <c r="N24" s="22" t="str">
        <f t="shared" ref="N24:N27" si="2">L24&amp;"Maximum"</f>
        <v>Circulaire materialen ('biobased CO2-opslag'+'biobased overig')Maximum</v>
      </c>
      <c r="O24" s="22" t="str">
        <f t="shared" ref="O24:O27" si="3">L24&amp;"Itemcode"</f>
        <v>Circulaire materialen ('biobased CO2-opslag'+'biobased overig')Itemcode</v>
      </c>
      <c r="P24" s="12"/>
    </row>
    <row r="25" spans="2:16">
      <c r="B25" s="12"/>
      <c r="C25" s="527" t="s">
        <v>1319</v>
      </c>
      <c r="D25" s="527"/>
      <c r="E25" s="197" t="s">
        <v>132</v>
      </c>
      <c r="F25" s="197" t="s">
        <v>132</v>
      </c>
      <c r="G25" s="515"/>
      <c r="H25" s="69" t="s">
        <v>132</v>
      </c>
      <c r="I25" s="208" t="s">
        <v>396</v>
      </c>
      <c r="J25" s="201"/>
      <c r="K25" s="22" t="str">
        <f ca="1">INDEX(tabel_CirculariteitsPrestatie_Gebouw_1.8_NIEUW,MATCH($O25,tabel_CPG_startkolom_1.8_NIEUW,0),MATCH($D$11,Gebruiksfuncties_CPG,0))</f>
        <v>2.1.5</v>
      </c>
      <c r="L25" s="90" t="str">
        <f>tabellen!C75</f>
        <v>Hout uit duurzaam beheerde bossen</v>
      </c>
      <c r="M25" s="12"/>
      <c r="N25" s="22" t="str">
        <f t="shared" si="2"/>
        <v>Hout uit duurzaam beheerde bossenMaximum</v>
      </c>
      <c r="O25" s="22" t="str">
        <f t="shared" si="3"/>
        <v>Hout uit duurzaam beheerde bossenItemcode</v>
      </c>
      <c r="P25" s="12"/>
    </row>
    <row r="26" spans="2:16">
      <c r="B26" s="12"/>
      <c r="C26" s="90" t="s">
        <v>1289</v>
      </c>
      <c r="D26" s="90"/>
      <c r="E26" s="197">
        <v>0.6</v>
      </c>
      <c r="F26" s="197">
        <f>E26*F$23</f>
        <v>0.12</v>
      </c>
      <c r="G26" s="515"/>
      <c r="H26" s="69">
        <f ca="1">MIN(10,6+(10-6)*(J26/INDEX(tabel_CirculariteitsPrestatie_Gebouw_1.8_NIEUW,MATCH($N26,tabel_CPG_startkolom_1.8_NIEUW,0),MATCH($D$11,Gebruiksfuncties_CPG,0))))</f>
        <v>6</v>
      </c>
      <c r="I26" s="208" t="s">
        <v>396</v>
      </c>
      <c r="J26" s="520"/>
      <c r="K26" s="22" t="str">
        <f ca="1">INDEX(tabel_CirculariteitsPrestatie_Gebouw_1.8_NIEUW,MATCH($O26,tabel_CPG_startkolom_1.8_NIEUW,0),MATCH($D$11,Gebruiksfuncties_CPG,0))</f>
        <v>1.1</v>
      </c>
      <c r="L26" s="90" t="str">
        <f>tabellen!C77</f>
        <v>BENG 3 - indicator</v>
      </c>
      <c r="M26" s="12"/>
      <c r="N26" s="22" t="str">
        <f t="shared" si="2"/>
        <v>BENG 3 - indicatorMaximum</v>
      </c>
      <c r="O26" s="22" t="str">
        <f t="shared" si="3"/>
        <v>BENG 3 - indicatorItemcode</v>
      </c>
      <c r="P26" s="12"/>
    </row>
    <row r="27" spans="2:16">
      <c r="B27" s="12"/>
      <c r="C27" s="90" t="s">
        <v>1290</v>
      </c>
      <c r="D27" s="90"/>
      <c r="E27" s="197">
        <v>0.2</v>
      </c>
      <c r="F27" s="197">
        <f>E27*F$23</f>
        <v>4.0000000000000008E-2</v>
      </c>
      <c r="G27" s="515"/>
      <c r="H27" s="69">
        <f ca="1">MIN(10,6+(10-6)*(J27/INDEX(tabel_CirculariteitsPrestatie_Gebouw_1.8_NIEUW,MATCH($N27,tabel_CPG_startkolom_1.8_NIEUW,0),MATCH($D$11,Gebruiksfuncties_CPG,0))))</f>
        <v>6</v>
      </c>
      <c r="I27" s="208" t="s">
        <v>396</v>
      </c>
      <c r="J27" s="201"/>
      <c r="K27" s="22" t="str">
        <f ca="1">INDEX(tabel_CirculariteitsPrestatie_Gebouw_1.8_NIEUW,MATCH($O27,tabel_CPG_startkolom_1.8_NIEUW,0),MATCH($D$11,Gebruiksfuncties_CPG,0))</f>
        <v>2.2.6</v>
      </c>
      <c r="L27" s="90" t="str">
        <f>tabellen!C79</f>
        <v>Circulair watergebruik</v>
      </c>
      <c r="M27" s="12"/>
      <c r="N27" s="22" t="str">
        <f t="shared" si="2"/>
        <v>Circulair watergebruikMaximum</v>
      </c>
      <c r="O27" s="22" t="str">
        <f t="shared" si="3"/>
        <v>Circulair watergebruikItemcode</v>
      </c>
      <c r="P27" s="12"/>
    </row>
    <row r="28" spans="2:16">
      <c r="B28" s="12"/>
      <c r="C28" s="12"/>
      <c r="D28" s="12"/>
      <c r="E28" s="14"/>
      <c r="F28" s="14"/>
      <c r="G28" s="515"/>
      <c r="H28" s="12"/>
      <c r="I28" s="12"/>
      <c r="J28" s="12"/>
      <c r="K28" s="12"/>
      <c r="L28" s="12"/>
      <c r="M28" s="12"/>
      <c r="N28" s="41"/>
      <c r="O28" s="41"/>
      <c r="P28" s="12"/>
    </row>
    <row r="29" spans="2:16">
      <c r="B29" s="12"/>
      <c r="C29" s="12" t="s">
        <v>1291</v>
      </c>
      <c r="D29" s="12"/>
      <c r="E29" s="517"/>
      <c r="F29" s="14"/>
      <c r="G29" s="515"/>
      <c r="H29" s="12"/>
      <c r="I29" s="12"/>
      <c r="J29" s="12"/>
      <c r="K29" s="12"/>
      <c r="L29" s="12"/>
      <c r="M29" s="12"/>
      <c r="N29" s="41"/>
      <c r="O29" s="41"/>
      <c r="P29" s="12"/>
    </row>
    <row r="30" spans="2:16">
      <c r="B30" s="12"/>
      <c r="C30" s="233" t="s">
        <v>1281</v>
      </c>
      <c r="D30" s="233"/>
      <c r="E30" s="199">
        <f>E31</f>
        <v>1</v>
      </c>
      <c r="F30" s="199">
        <v>0.15</v>
      </c>
      <c r="G30" s="519"/>
      <c r="H30" s="70">
        <f>SUMPRODUCT(E31,H31)</f>
        <v>10</v>
      </c>
      <c r="I30" s="12"/>
      <c r="J30" s="26" t="s">
        <v>1282</v>
      </c>
      <c r="K30" s="57" t="s">
        <v>1283</v>
      </c>
      <c r="L30" s="233"/>
      <c r="M30" s="12"/>
      <c r="N30" s="41"/>
      <c r="O30" s="41"/>
      <c r="P30" s="12"/>
    </row>
    <row r="31" spans="2:16">
      <c r="B31" s="12"/>
      <c r="C31" s="90" t="s">
        <v>1292</v>
      </c>
      <c r="D31" s="90"/>
      <c r="E31" s="197">
        <v>1</v>
      </c>
      <c r="F31" s="197">
        <f>E31*F$30</f>
        <v>0.15</v>
      </c>
      <c r="G31" s="515"/>
      <c r="H31" s="69">
        <f>MIN(10,IF($D$11=tabellen!$N$66,0.75*J31+0.25*J32,J31))</f>
        <v>10</v>
      </c>
      <c r="I31" s="208" t="s">
        <v>396</v>
      </c>
      <c r="J31" s="394"/>
      <c r="K31" s="22" t="str">
        <f ca="1">IF($D$11=tabellen!$N$66,"1.1",INDEX(tabel_CirculariteitsPrestatie_Gebouw_1.8_NIEUW,MATCH($O31,tabel_CPG_startkolom_1.8_NIEUW,0),MATCH($D$11,Gebruiksfuncties_CPG,0)))</f>
        <v>E&amp;M</v>
      </c>
      <c r="L31" s="90" t="str">
        <f>IF($D$11=tabellen!$N$66,"Energieprestatie",tabellen!C81)</f>
        <v>Duurzaamheidsprestatie (DPG)</v>
      </c>
      <c r="M31" s="12"/>
      <c r="N31" s="22" t="s">
        <v>1320</v>
      </c>
      <c r="O31" s="22" t="str">
        <f t="shared" ref="O31" si="4">L31&amp;"Itemcode"</f>
        <v>Duurzaamheidsprestatie (DPG)Itemcode</v>
      </c>
      <c r="P31" s="12"/>
    </row>
    <row r="32" spans="2:16">
      <c r="B32" s="12"/>
      <c r="C32" s="12"/>
      <c r="D32" s="12"/>
      <c r="E32" s="14"/>
      <c r="F32" s="14"/>
      <c r="G32" s="515"/>
      <c r="H32" s="12"/>
      <c r="I32" s="12"/>
      <c r="J32" s="394"/>
      <c r="K32" s="22" t="s">
        <v>1293</v>
      </c>
      <c r="L32" s="90" t="s">
        <v>432</v>
      </c>
      <c r="M32" s="12"/>
      <c r="N32" s="22" t="s">
        <v>1320</v>
      </c>
      <c r="O32" s="41"/>
      <c r="P32" s="12"/>
    </row>
    <row r="33" spans="2:16">
      <c r="B33" s="12"/>
      <c r="C33" s="12" t="s">
        <v>1295</v>
      </c>
      <c r="D33" s="12"/>
      <c r="E33" s="517"/>
      <c r="F33" s="14"/>
      <c r="G33" s="515"/>
      <c r="H33" s="12"/>
      <c r="I33" s="12"/>
      <c r="J33" s="12"/>
      <c r="K33" s="12"/>
      <c r="L33" s="12"/>
      <c r="M33" s="12"/>
      <c r="N33" s="41"/>
      <c r="O33" s="41"/>
      <c r="P33" s="12"/>
    </row>
    <row r="34" spans="2:16">
      <c r="B34" s="12"/>
      <c r="C34" s="233" t="s">
        <v>1281</v>
      </c>
      <c r="D34" s="233"/>
      <c r="E34" s="199">
        <f>SUM(E35:E39)</f>
        <v>1</v>
      </c>
      <c r="F34" s="199">
        <v>0.25</v>
      </c>
      <c r="G34" s="519"/>
      <c r="H34" s="70">
        <f ca="1">SUMPRODUCT(E35:E39,H35:H39)</f>
        <v>5.9999999999999991</v>
      </c>
      <c r="I34" s="12"/>
      <c r="J34" s="26" t="s">
        <v>1282</v>
      </c>
      <c r="K34" s="57" t="s">
        <v>1283</v>
      </c>
      <c r="L34" s="233"/>
      <c r="M34" s="12"/>
      <c r="N34" s="41"/>
      <c r="O34" s="41"/>
      <c r="P34" s="12"/>
    </row>
    <row r="35" spans="2:16">
      <c r="B35" s="12"/>
      <c r="C35" s="90" t="s">
        <v>1321</v>
      </c>
      <c r="D35" s="90"/>
      <c r="E35" s="197">
        <v>0.6</v>
      </c>
      <c r="F35" s="197">
        <f>E35*F$34</f>
        <v>0.15</v>
      </c>
      <c r="G35" s="515"/>
      <c r="H35" s="69">
        <f ca="1">MIN(10,6+(10-6)*(J35/INDEX(tabel_CirculariteitsPrestatie_Gebouw_1.8_NIEUW,MATCH($N35,tabel_CPG_startkolom_1.8_NIEUW,0),MATCH($D$11,Gebruiksfuncties_CPG,0))))</f>
        <v>6</v>
      </c>
      <c r="I35" s="208" t="s">
        <v>396</v>
      </c>
      <c r="J35" s="201"/>
      <c r="K35" s="22" t="str">
        <f ca="1">INDEX(tabel_CirculariteitsPrestatie_Gebouw_1.8_NIEUW,MATCH($O35,tabel_CPG_startkolom_1.8_NIEUW,0),MATCH($D$11,Gebruiksfuncties_CPG,0))</f>
        <v>2.1.7</v>
      </c>
      <c r="L35" s="90" t="str">
        <f>tabellen!C82</f>
        <v>Lange gebouwlevensduur</v>
      </c>
      <c r="M35" s="12"/>
      <c r="N35" s="22" t="str">
        <f t="shared" ref="N35:N39" si="5">L35&amp;"Maximum"</f>
        <v>Lange gebouwlevensduurMaximum</v>
      </c>
      <c r="O35" s="22" t="str">
        <f t="shared" ref="O35:O39" si="6">L35&amp;"Itemcode"</f>
        <v>Lange gebouwlevensduurItemcode</v>
      </c>
      <c r="P35" s="12"/>
    </row>
    <row r="36" spans="2:16">
      <c r="B36" s="12"/>
      <c r="C36" s="90" t="s">
        <v>1322</v>
      </c>
      <c r="D36" s="90"/>
      <c r="E36" s="197">
        <v>0.05</v>
      </c>
      <c r="F36" s="197">
        <f t="shared" ref="F36:F39" si="7">E36*F$34</f>
        <v>1.2500000000000001E-2</v>
      </c>
      <c r="G36" s="515"/>
      <c r="H36" s="69">
        <f ca="1">MIN(10,6+(10-6)*(J36/INDEX(tabel_CirculariteitsPrestatie_Gebouw_1.8_NIEUW,MATCH($N36,tabel_CPG_startkolom_1.8_NIEUW,0),MATCH($D$11,Gebruiksfuncties_CPG,0))))</f>
        <v>6</v>
      </c>
      <c r="I36" s="208" t="s">
        <v>396</v>
      </c>
      <c r="J36" s="521"/>
      <c r="K36" s="22" t="str">
        <f ca="1">INDEX(tabel_CirculariteitsPrestatie_Gebouw_1.8_NIEUW,MATCH($O36,tabel_CPG_startkolom_1.8_NIEUW,0),MATCH($D$11,Gebruiksfuncties_CPG,0))</f>
        <v>2.1.6</v>
      </c>
      <c r="L36" s="90" t="str">
        <f>tabellen!C84</f>
        <v>Robuuste uitvoering of detaillering bij gevoelige elementen</v>
      </c>
      <c r="M36" s="12"/>
      <c r="N36" s="22" t="str">
        <f t="shared" si="5"/>
        <v>Robuuste uitvoering of detaillering bij gevoelige elementenMaximum</v>
      </c>
      <c r="O36" s="22" t="str">
        <f t="shared" si="6"/>
        <v>Robuuste uitvoering of detaillering bij gevoelige elementenItemcode</v>
      </c>
      <c r="P36" s="12"/>
    </row>
    <row r="37" spans="2:16">
      <c r="B37" s="12"/>
      <c r="C37" s="527" t="s">
        <v>1322</v>
      </c>
      <c r="D37" s="527"/>
      <c r="E37" s="197">
        <v>0.05</v>
      </c>
      <c r="F37" s="197">
        <f t="shared" si="7"/>
        <v>1.2500000000000001E-2</v>
      </c>
      <c r="G37" s="515"/>
      <c r="H37" s="69">
        <f ca="1">MIN(10,6+(10-6)*(J37/INDEX(tabel_CirculariteitsPrestatie_Gebouw_1.8_NIEUW,MATCH($N37,tabel_CPG_startkolom_1.8_NIEUW,0),MATCH($D$11,Gebruiksfuncties_CPG,0))))</f>
        <v>6</v>
      </c>
      <c r="I37" s="208" t="s">
        <v>396</v>
      </c>
      <c r="J37" s="521"/>
      <c r="K37" s="22" t="str">
        <f ca="1">INDEX(tabel_CirculariteitsPrestatie_Gebouw_1.8_NIEUW,MATCH($O37,tabel_CPG_startkolom_1.8_NIEUW,0),MATCH($D$11,Gebruiksfuncties_CPG,0))</f>
        <v>2.1.6</v>
      </c>
      <c r="L37" s="90" t="str">
        <f>tabellen!C86</f>
        <v>Eenvoudig aanpasbare elementen</v>
      </c>
      <c r="M37" s="12"/>
      <c r="N37" s="22" t="str">
        <f t="shared" si="5"/>
        <v>Eenvoudig aanpasbare elementenMaximum</v>
      </c>
      <c r="O37" s="22" t="str">
        <f t="shared" si="6"/>
        <v>Eenvoudig aanpasbare elementenItemcode</v>
      </c>
      <c r="P37" s="12"/>
    </row>
    <row r="38" spans="2:16">
      <c r="B38" s="12"/>
      <c r="C38" s="527" t="s">
        <v>1322</v>
      </c>
      <c r="D38" s="527"/>
      <c r="E38" s="197">
        <v>0.1</v>
      </c>
      <c r="F38" s="197">
        <f t="shared" si="7"/>
        <v>2.5000000000000001E-2</v>
      </c>
      <c r="G38" s="515"/>
      <c r="H38" s="69">
        <f ca="1">MIN(10,6+(10-6)*(J38/INDEX(tabel_CirculariteitsPrestatie_Gebouw_1.8_NIEUW,MATCH($N38,tabel_CPG_startkolom_1.8_NIEUW,0),MATCH($D$11,Gebruiksfuncties_CPG,0))))</f>
        <v>6</v>
      </c>
      <c r="I38" s="208" t="s">
        <v>396</v>
      </c>
      <c r="J38" s="521"/>
      <c r="K38" s="22" t="str">
        <f ca="1">INDEX(tabel_CirculariteitsPrestatie_Gebouw_1.8_NIEUW,MATCH($O38,tabel_CPG_startkolom_1.8_NIEUW,0),MATCH($D$11,Gebruiksfuncties_CPG,0))</f>
        <v>2.1.8</v>
      </c>
      <c r="L38" s="90" t="str">
        <f>tabellen!C88</f>
        <v>Ontkoppeling lagen Brand (afwijkende levensduur)</v>
      </c>
      <c r="M38" s="12"/>
      <c r="N38" s="22" t="str">
        <f t="shared" si="5"/>
        <v>Ontkoppeling lagen Brand (afwijkende levensduur)Maximum</v>
      </c>
      <c r="O38" s="22" t="str">
        <f t="shared" si="6"/>
        <v>Ontkoppeling lagen Brand (afwijkende levensduur)Itemcode</v>
      </c>
      <c r="P38" s="12"/>
    </row>
    <row r="39" spans="2:16">
      <c r="B39" s="12"/>
      <c r="C39" s="90" t="s">
        <v>1323</v>
      </c>
      <c r="D39" s="90"/>
      <c r="E39" s="197">
        <v>0.2</v>
      </c>
      <c r="F39" s="197">
        <f t="shared" si="7"/>
        <v>0.05</v>
      </c>
      <c r="G39" s="515"/>
      <c r="H39" s="69">
        <f ca="1">MIN(10,6+(10-6)*(J39/INDEX(tabel_CirculariteitsPrestatie_Gebouw_1.8_NIEUW,MATCH($N39,tabel_CPG_startkolom_1.8_NIEUW,0),MATCH($D$11,Gebruiksfuncties_CPG,0))))</f>
        <v>6</v>
      </c>
      <c r="I39" s="208" t="s">
        <v>396</v>
      </c>
      <c r="J39" s="201"/>
      <c r="K39" s="22" t="str">
        <f ca="1">INDEX(tabel_CirculariteitsPrestatie_Gebouw_1.8_NIEUW,MATCH($O39,tabel_CPG_startkolom_1.8_NIEUW,0),MATCH($D$11,Gebruiksfuncties_CPG,0))</f>
        <v>5.3.2</v>
      </c>
      <c r="L39" s="90" t="str">
        <f>tabellen!C90</f>
        <v>Wateroverlast en droogte</v>
      </c>
      <c r="M39" s="12"/>
      <c r="N39" s="22" t="str">
        <f t="shared" si="5"/>
        <v>Wateroverlast en droogteMaximum</v>
      </c>
      <c r="O39" s="22" t="str">
        <f t="shared" si="6"/>
        <v>Wateroverlast en droogteItemcode</v>
      </c>
      <c r="P39" s="12"/>
    </row>
    <row r="40" spans="2:16">
      <c r="B40" s="12"/>
      <c r="C40" s="12"/>
      <c r="D40" s="12"/>
      <c r="E40" s="14"/>
      <c r="F40" s="14"/>
      <c r="G40" s="515"/>
      <c r="H40" s="12"/>
      <c r="I40" s="12"/>
      <c r="J40" s="12"/>
      <c r="K40" s="12"/>
      <c r="L40" s="12"/>
      <c r="M40" s="12"/>
      <c r="N40" s="41"/>
      <c r="O40" s="41"/>
      <c r="P40" s="12"/>
    </row>
    <row r="41" spans="2:16">
      <c r="B41" s="12"/>
      <c r="C41" s="12" t="s">
        <v>1305</v>
      </c>
      <c r="D41" s="12"/>
      <c r="E41" s="517"/>
      <c r="F41" s="14"/>
      <c r="G41" s="515"/>
      <c r="H41" s="12"/>
      <c r="I41" s="12"/>
      <c r="J41" s="12"/>
      <c r="K41" s="12"/>
      <c r="L41" s="12"/>
      <c r="M41" s="12"/>
      <c r="N41" s="41"/>
      <c r="O41" s="41"/>
      <c r="P41" s="12"/>
    </row>
    <row r="42" spans="2:16">
      <c r="B42" s="12"/>
      <c r="C42" s="233" t="s">
        <v>1281</v>
      </c>
      <c r="D42" s="233"/>
      <c r="E42" s="199">
        <f>SUM(E43:E45)</f>
        <v>1</v>
      </c>
      <c r="F42" s="199">
        <v>0.2</v>
      </c>
      <c r="G42" s="519"/>
      <c r="H42" s="70">
        <f ca="1">SUMPRODUCT(E43:E45,H43:H45)</f>
        <v>6</v>
      </c>
      <c r="I42" s="12"/>
      <c r="J42" s="26" t="s">
        <v>1282</v>
      </c>
      <c r="K42" s="57" t="s">
        <v>1283</v>
      </c>
      <c r="L42" s="233"/>
      <c r="M42" s="12"/>
      <c r="N42" s="41"/>
      <c r="O42" s="41"/>
      <c r="P42" s="12"/>
    </row>
    <row r="43" spans="2:16">
      <c r="B43" s="12"/>
      <c r="C43" s="90" t="s">
        <v>1324</v>
      </c>
      <c r="D43" s="90"/>
      <c r="E43" s="197">
        <v>0.1</v>
      </c>
      <c r="F43" s="197">
        <f>E43*F$42</f>
        <v>2.0000000000000004E-2</v>
      </c>
      <c r="G43" s="515"/>
      <c r="H43" s="69">
        <f ca="1">MIN(10,6+(10-6)*(J43/INDEX(tabel_CirculariteitsPrestatie_Gebouw_1.8_NIEUW,MATCH($N43,tabel_CPG_startkolom_1.8_NIEUW,0),MATCH($D$11,Gebruiksfuncties_CPG,0))))</f>
        <v>6</v>
      </c>
      <c r="I43" s="208" t="s">
        <v>396</v>
      </c>
      <c r="J43" s="201"/>
      <c r="K43" s="22" t="str">
        <f ca="1">INDEX(tabel_CirculariteitsPrestatie_Gebouw_1.8_NIEUW,MATCH($O43,tabel_CPG_startkolom_1.8_NIEUW,0),MATCH($D$11,Gebruiksfuncties_CPG,0))</f>
        <v>2.1.6</v>
      </c>
      <c r="L43" s="90" t="str">
        <f>tabellen!C92</f>
        <v>Prefab bouwsysteem</v>
      </c>
      <c r="M43" s="12"/>
      <c r="N43" s="22" t="str">
        <f t="shared" ref="N43:N45" si="8">L43&amp;"Maximum"</f>
        <v>Prefab bouwsysteemMaximum</v>
      </c>
      <c r="O43" s="22" t="str">
        <f t="shared" ref="O43:O45" si="9">L43&amp;"Itemcode"</f>
        <v>Prefab bouwsysteemItemcode</v>
      </c>
      <c r="P43" s="12"/>
    </row>
    <row r="44" spans="2:16">
      <c r="B44" s="12"/>
      <c r="C44" s="527" t="s">
        <v>1324</v>
      </c>
      <c r="D44" s="90"/>
      <c r="E44" s="197">
        <v>0.2</v>
      </c>
      <c r="F44" s="197">
        <f>E44*F$42</f>
        <v>4.0000000000000008E-2</v>
      </c>
      <c r="G44" s="515"/>
      <c r="H44" s="69">
        <f ca="1">MIN(10,6+(10-6)*(J44/INDEX(tabel_CirculariteitsPrestatie_Gebouw_1.8_NIEUW,MATCH($N44,tabel_CPG_startkolom_1.8_NIEUW,0),MATCH($D$11,Gebruiksfuncties_CPG,0))))</f>
        <v>6</v>
      </c>
      <c r="I44" s="208" t="s">
        <v>396</v>
      </c>
      <c r="J44" s="201"/>
      <c r="K44" s="22" t="str">
        <f ca="1">INDEX(tabel_CirculariteitsPrestatie_Gebouw_1.8_NIEUW,MATCH($O44,tabel_CPG_startkolom_1.8_NIEUW,0),MATCH($D$11,Gebruiksfuncties_CPG,0))</f>
        <v>2.1.8</v>
      </c>
      <c r="L44" s="90" t="str">
        <f>tabellen!C94</f>
        <v>Ontkoppeling lagen Brand (afwijkende levensduur)</v>
      </c>
      <c r="M44" s="12"/>
      <c r="N44" s="22" t="str">
        <f t="shared" si="8"/>
        <v>Ontkoppeling lagen Brand (afwijkende levensduur)Maximum</v>
      </c>
      <c r="O44" s="22" t="str">
        <f t="shared" si="9"/>
        <v>Ontkoppeling lagen Brand (afwijkende levensduur)Itemcode</v>
      </c>
      <c r="P44" s="12"/>
    </row>
    <row r="45" spans="2:16">
      <c r="B45" s="12"/>
      <c r="C45" s="527" t="s">
        <v>1324</v>
      </c>
      <c r="D45" s="90"/>
      <c r="E45" s="197">
        <v>0.7</v>
      </c>
      <c r="F45" s="197">
        <f>E45*F$42</f>
        <v>0.13999999999999999</v>
      </c>
      <c r="G45" s="515"/>
      <c r="H45" s="69">
        <f ca="1">MIN(10,6+(10-6)*(J45/INDEX(tabel_CirculariteitsPrestatie_Gebouw_1.8_NIEUW,MATCH($N45,tabel_CPG_startkolom_1.8_NIEUW,0),MATCH($D$11,Gebruiksfuncties_CPG,0))))</f>
        <v>6</v>
      </c>
      <c r="I45" s="208" t="s">
        <v>396</v>
      </c>
      <c r="J45" s="201"/>
      <c r="K45" s="22" t="str">
        <f ca="1">INDEX(tabel_CirculariteitsPrestatie_Gebouw_1.8_NIEUW,MATCH($O45,tabel_CPG_startkolom_1.8_NIEUW,0),MATCH($D$11,Gebruiksfuncties_CPG,0))</f>
        <v>2.1.9</v>
      </c>
      <c r="L45" s="90" t="str">
        <f>tabellen!C96</f>
        <v>Hergebruikspotentie</v>
      </c>
      <c r="M45" s="12"/>
      <c r="N45" s="22" t="str">
        <f t="shared" si="8"/>
        <v>HergebruikspotentieMaximum</v>
      </c>
      <c r="O45" s="22" t="str">
        <f t="shared" si="9"/>
        <v>HergebruikspotentieItemcode</v>
      </c>
      <c r="P45" s="12"/>
    </row>
    <row r="46" spans="2:16">
      <c r="B46" s="12"/>
      <c r="C46" s="12"/>
      <c r="D46" s="12"/>
      <c r="E46" s="517"/>
      <c r="F46" s="517"/>
      <c r="G46" s="515"/>
      <c r="H46" s="518"/>
      <c r="I46" s="12"/>
      <c r="J46" s="12"/>
      <c r="K46" s="41"/>
      <c r="L46" s="12"/>
      <c r="M46" s="12"/>
      <c r="N46" s="41"/>
      <c r="O46" s="41"/>
      <c r="P46" s="12"/>
    </row>
    <row r="47" spans="2:16">
      <c r="B47" s="12"/>
      <c r="C47" s="12" t="s">
        <v>1325</v>
      </c>
      <c r="D47" s="12"/>
      <c r="E47" s="517"/>
      <c r="F47" s="14"/>
      <c r="G47" s="515"/>
      <c r="H47" s="12"/>
      <c r="I47" s="12"/>
      <c r="J47" s="12"/>
      <c r="K47" s="41"/>
      <c r="L47" s="12"/>
      <c r="M47" s="12"/>
      <c r="N47" s="41"/>
      <c r="O47" s="41"/>
      <c r="P47" s="12"/>
    </row>
    <row r="48" spans="2:16">
      <c r="B48" s="12"/>
      <c r="C48" s="233" t="s">
        <v>1281</v>
      </c>
      <c r="D48" s="233"/>
      <c r="E48" s="199">
        <f>SUM(E49:E52)</f>
        <v>1</v>
      </c>
      <c r="F48" s="199">
        <v>1</v>
      </c>
      <c r="G48" s="519"/>
      <c r="H48" s="70">
        <f>SUMPRODUCT(E49:E52,H49:H52)</f>
        <v>6</v>
      </c>
      <c r="I48" s="12"/>
      <c r="J48" s="26" t="s">
        <v>1282</v>
      </c>
      <c r="K48" s="57" t="s">
        <v>1283</v>
      </c>
      <c r="L48" s="233"/>
      <c r="M48" s="12"/>
      <c r="N48" s="41"/>
      <c r="O48" s="41"/>
      <c r="P48" s="12"/>
    </row>
    <row r="49" spans="2:16">
      <c r="B49" s="12"/>
      <c r="C49" s="90" t="s">
        <v>1309</v>
      </c>
      <c r="D49" s="90"/>
      <c r="E49" s="197">
        <v>0.05</v>
      </c>
      <c r="F49" s="197">
        <f>E49*F$48</f>
        <v>0.05</v>
      </c>
      <c r="G49" s="515"/>
      <c r="H49" s="69">
        <f>IF(J49="ja",10,6)</f>
        <v>6</v>
      </c>
      <c r="I49" s="208" t="s">
        <v>396</v>
      </c>
      <c r="J49" s="201"/>
      <c r="K49" s="22" t="s">
        <v>1310</v>
      </c>
      <c r="L49" s="90" t="s">
        <v>1311</v>
      </c>
      <c r="M49" s="12"/>
      <c r="N49" s="41"/>
      <c r="O49" s="41"/>
      <c r="P49" s="12"/>
    </row>
    <row r="50" spans="2:16">
      <c r="B50" s="12"/>
      <c r="C50" s="90" t="s">
        <v>1312</v>
      </c>
      <c r="D50" s="90"/>
      <c r="E50" s="197">
        <v>0.15</v>
      </c>
      <c r="F50" s="197">
        <f>E50*F$48</f>
        <v>0.15</v>
      </c>
      <c r="G50" s="515"/>
      <c r="H50" s="69">
        <f>IF(J50="ja",10,6)</f>
        <v>6</v>
      </c>
      <c r="I50" s="208" t="s">
        <v>396</v>
      </c>
      <c r="J50" s="201"/>
      <c r="K50" s="22" t="s">
        <v>1310</v>
      </c>
      <c r="L50" s="90" t="s">
        <v>1313</v>
      </c>
      <c r="M50" s="12"/>
      <c r="N50" s="41"/>
      <c r="O50" s="41"/>
      <c r="P50" s="12"/>
    </row>
    <row r="51" spans="2:16">
      <c r="B51" s="12"/>
      <c r="C51" s="90" t="s">
        <v>1314</v>
      </c>
      <c r="D51" s="90"/>
      <c r="E51" s="197">
        <v>0.7</v>
      </c>
      <c r="F51" s="197">
        <f>E51*F$48</f>
        <v>0.7</v>
      </c>
      <c r="G51" s="515"/>
      <c r="H51" s="69">
        <f>IF(J51="ja",10,6)</f>
        <v>6</v>
      </c>
      <c r="I51" s="208" t="s">
        <v>396</v>
      </c>
      <c r="J51" s="201"/>
      <c r="K51" s="22" t="s">
        <v>1310</v>
      </c>
      <c r="L51" s="90" t="s">
        <v>1315</v>
      </c>
      <c r="M51" s="12"/>
      <c r="N51" s="41"/>
      <c r="O51" s="41"/>
      <c r="P51" s="12"/>
    </row>
    <row r="52" spans="2:16">
      <c r="B52" s="12"/>
      <c r="C52" s="90" t="s">
        <v>1316</v>
      </c>
      <c r="D52" s="90"/>
      <c r="E52" s="197">
        <v>0.10000000000000009</v>
      </c>
      <c r="F52" s="197">
        <f>E52*F$48</f>
        <v>0.10000000000000009</v>
      </c>
      <c r="G52" s="515"/>
      <c r="H52" s="69">
        <f>IF(J52="ja",10,6)</f>
        <v>6</v>
      </c>
      <c r="I52" s="208" t="s">
        <v>396</v>
      </c>
      <c r="J52" s="201"/>
      <c r="K52" s="22" t="s">
        <v>1310</v>
      </c>
      <c r="L52" s="90" t="s">
        <v>1317</v>
      </c>
      <c r="M52" s="12"/>
      <c r="N52" s="41"/>
      <c r="O52" s="41"/>
      <c r="P52" s="12"/>
    </row>
    <row r="53" spans="2:16">
      <c r="B53" s="12"/>
      <c r="C53" s="12"/>
      <c r="D53" s="12"/>
      <c r="E53" s="517"/>
      <c r="F53" s="517"/>
      <c r="G53" s="515"/>
      <c r="H53" s="518"/>
      <c r="I53" s="12"/>
      <c r="J53" s="12"/>
      <c r="K53" s="41"/>
      <c r="L53" s="12"/>
      <c r="M53" s="12"/>
      <c r="N53" s="41"/>
      <c r="O53" s="41"/>
      <c r="P53" s="12"/>
    </row>
    <row r="54" spans="2:16" ht="26.25" customHeight="1">
      <c r="B54" s="522"/>
      <c r="C54" s="1777" t="s">
        <v>1318</v>
      </c>
      <c r="D54" s="1777"/>
      <c r="E54" s="1777"/>
      <c r="F54" s="1777"/>
      <c r="G54" s="1777"/>
      <c r="H54" s="1777"/>
      <c r="I54" s="1777"/>
      <c r="J54" s="1777"/>
      <c r="K54" s="1777"/>
      <c r="L54" s="1777"/>
      <c r="M54" s="12"/>
      <c r="N54" s="41"/>
      <c r="O54" s="41"/>
      <c r="P54" s="12"/>
    </row>
    <row r="55" spans="2:16">
      <c r="B55" s="141" t="str">
        <f>"© W/E adviseurs, Utrecht/Eindhoven, versie rekenhulpmiddelen "&amp;TEXT(Wijzigingsblad!$B$3,"d mmmm jjjj")</f>
        <v>© W/E adviseurs, Utrecht/Eindhoven, versie rekenhulpmiddelen 17 april 2024</v>
      </c>
      <c r="E55" s="724"/>
      <c r="F55" s="724"/>
      <c r="G55" s="725"/>
    </row>
  </sheetData>
  <sheetProtection sheet="1" objects="1" scenarios="1"/>
  <mergeCells count="9">
    <mergeCell ref="D11:F11"/>
    <mergeCell ref="D12:F12"/>
    <mergeCell ref="C54:L54"/>
    <mergeCell ref="B3:D3"/>
    <mergeCell ref="D6:F6"/>
    <mergeCell ref="D7:F7"/>
    <mergeCell ref="D8:F8"/>
    <mergeCell ref="D9:F9"/>
    <mergeCell ref="D10:F10"/>
  </mergeCells>
  <conditionalFormatting sqref="D11">
    <cfRule type="expression" dxfId="19" priority="2">
      <formula>OR(D11="",AND(D11&lt;&gt;"",ISERROR(MATCH(D11,Gebruiksfuncties_CPG,0))=TRUE))</formula>
    </cfRule>
  </conditionalFormatting>
  <dataValidations count="26">
    <dataValidation type="list" allowBlank="1" showInputMessage="1" showErrorMessage="1" sqref="D12" xr:uid="{C19AA53A-3F44-4F9A-BF65-44FC00176735}">
      <formula1>GPR_scope</formula1>
    </dataValidation>
    <dataValidation type="decimal" operator="greaterThanOrEqual" allowBlank="1" showInputMessage="1" showErrorMessage="1" sqref="J35" xr:uid="{6C03C227-1203-4CD0-834E-889891C4358D}">
      <formula1>-1000</formula1>
    </dataValidation>
    <dataValidation allowBlank="1" showInputMessage="1" showErrorMessage="1" promptTitle="Hergebruik en recycling, item 1" prompt="De puntenscore van het item 2.1.6 Eenvoudig aanpasbare elementen overnemen." sqref="I43" xr:uid="{E38CB52D-3610-4387-99D4-0A49E9DEFCBD}"/>
    <dataValidation allowBlank="1" showInputMessage="1" showErrorMessage="1" promptTitle="Hergebruik en recycling, item 2" prompt="De puntenscore van het item 2.1.8 Ontkoppeling lage Brandt overnemen." sqref="I44" xr:uid="{F2CCB9CD-2815-4428-AD23-16C8F03012B6}"/>
    <dataValidation allowBlank="1" showInputMessage="1" showErrorMessage="1" promptTitle="Lange productlevvensduur, item 2" prompt="De puntenscore van het item 2.1.6 Eenvoudig aanpasbare elementen overnemen." sqref="I37" xr:uid="{2FBF7F88-BDDB-42F7-8767-32C1C15F2371}"/>
    <dataValidation allowBlank="1" showInputMessage="1" showErrorMessage="1" promptTitle="Lange productlevensduur, item 1" prompt="De puntenscore van het item 2.1.6 Robuuste uitvoering overnemen." sqref="I36" xr:uid="{0B4B3D66-04D1-4E42-80B8-4C727F6FA51A}"/>
    <dataValidation allowBlank="1" showInputMessage="1" showErrorMessage="1" promptTitle="Lange gebouwlevensduur" prompt="De puntenscore van het item 2.1.7 Lange gebouwlevensduur overnemen." sqref="I35" xr:uid="{7ECBDA69-93FB-466F-8772-A005319570A2}"/>
    <dataValidation allowBlank="1" showInputMessage="1" showErrorMessage="1" promptTitle="Biobased producten, item 1" prompt="Bepaal het percentage door herberkening met het GPR hulpmiddel 'Circulaire materialen', waarbij alleen de producten met de opties 'biobased CO2-opslag' en 'bioboased, overig' zijn ingevuld. Bij een percentage &lt;1% is de score bij strategie 2.1 altijd 4,5." sqref="I24" xr:uid="{B2BF9FDA-CC51-446B-8F3A-DC0D1522A352}"/>
    <dataValidation allowBlank="1" showInputMessage="1" showErrorMessage="1" promptTitle="Hergebruik en recycling, item 3" prompt="De puntenscore van het item 2.1.9 Hergebruikspotentie overnemen." sqref="I45" xr:uid="{6D2019BC-50D7-4744-B598-72F2E3903652}"/>
    <dataValidation type="whole" operator="greaterThanOrEqual" allowBlank="1" showInputMessage="1" showErrorMessage="1" sqref="J25" xr:uid="{0BED2232-7223-4480-BC4D-5B311CC15B59}">
      <formula1>-30</formula1>
    </dataValidation>
    <dataValidation type="decimal" operator="greaterThanOrEqual" allowBlank="1" showInputMessage="1" showErrorMessage="1" sqref="J18:J20 J43:J45 J26:J27 J24 J36:J39" xr:uid="{A22081AD-D784-4C32-93E7-CD8C9B840D1B}">
      <formula1>0</formula1>
    </dataValidation>
    <dataValidation allowBlank="1" showInputMessage="1" showErrorMessage="1" promptTitle="Behoud aanwezige gebouwelementen" prompt="Als er sprake is van handhaven van reeds bestaande elementen dan is dat in GPR Gebouw bij 2.1 Materialen onder 2.1.10 te waarderen (Extra maatregelen). Deze punten hier overnemen." sqref="I18" xr:uid="{BE15E366-D6F0-4805-8F9D-A1A5C6AAE4FD}"/>
    <dataValidation allowBlank="1" showInputMessage="1" showErrorMessage="1" promptTitle="Hergebruik producten" prompt="De puntenscore van het item 2.1.3 Hergebruik producten overnemen." sqref="I19" xr:uid="{1D1B04C4-C411-45D7-98B3-E0A28641AFCE}"/>
    <dataValidation allowBlank="1" showInputMessage="1" showErrorMessage="1" promptTitle="Secundaire grondstoffen" prompt="Bepaal het percentage door een herberkening met het GPR hulpmiddel 'Circulaire materialen', waarbij alleen de producten met de optie 'secundair, extra' zijn ingevuld." sqref="I20" xr:uid="{7D34BEC1-6000-4B96-B1F0-D432DBA2990A}"/>
    <dataValidation allowBlank="1" showInputMessage="1" showErrorMessage="1" promptTitle="Biobased producten, item 2" prompt="Er is alleen sprake van hernieuwbaarheid als de grondstoffen duurzaamd geteeld worden. Betreft het hout, dan betekent een score ≤ 0 bij 2.1.5 altijd een score van 4.5 bij strategie 2.1." sqref="I25" xr:uid="{8E52199E-6955-4376-A36C-5834C231D5C9}"/>
    <dataValidation allowBlank="1" showInputMessage="1" showErrorMessage="1" promptTitle="Hernieuwbare energie" prompt="De BENG3-indicator is de totale hoeveelheid duurzaam opgewekte primaire energie t.o.v. het totale primaire energiegebruik (NTA8800)._x000a_Is de BENG 3 indicator niet beschikbaar, bepaald dan de verhouding aan de hand van de resultaten van de NTA-berekening." sqref="I26" xr:uid="{263A1684-3DD1-4B4F-89F5-99BF1DC8D7EA}"/>
    <dataValidation allowBlank="1" showInputMessage="1" showErrorMessage="1" promptTitle="Grijs of hemelwater" prompt="De punten bij 2.2.6, 2.2.7 of 2.2.8 Circulair watergebruik bij elkaar optellen en hier invullen." sqref="I27" xr:uid="{5CC6AC22-FB63-4F40-9569-1568FEA6DA7E}"/>
    <dataValidation allowBlank="1" showInputMessage="1" showErrorMessage="1" promptTitle="Duurzaamheidsprestatie (DPG)" prompt="De in te vullen waarde is te vinden door op het loepje te klikken onder Energie&amp;Milieu bij Resultaten / Themascores. Het gaat om de bovenste van de 5 scores. Bij bedrijfsgebouwen de resultaten van subthema 1.1 en 2.1 optellen en overnemen. " sqref="I31" xr:uid="{3168C96C-9606-485B-89CB-3F702953FFB8}"/>
    <dataValidation allowBlank="1" showInputMessage="1" showErrorMessage="1" promptTitle="Zorgvuldige afvalscheiding" prompt="Ja, als op het tabblad Proceskwaliteit bij 4 Proceskwaliteit milieu het criterium 'zorgvuldige en vergaande afvalscheiding bij uitvoering' is aangevinkt." sqref="I52" xr:uid="{07BE1284-0CC8-4F20-A9F0-AEB810108F03}"/>
    <dataValidation allowBlank="1" showInputMessage="1" showErrorMessage="1" promptTitle="Sloopbestek meegeleverd" prompt="Ja, als op het tabblad Proceskwaliteit bij 4 Proceskwaliteit milieu het criterium 'sloopbestek meegeleverd bij oplevering' is aangevinkt." sqref="I51" xr:uid="{0409BD2C-6AF2-47BA-8C6B-248A7BD5DCEB}"/>
    <dataValidation allowBlank="1" showInputMessage="1" showErrorMessage="1" promptTitle="Duurzaam onderhoudsplan" prompt="Ja, als op het tabblad Proceskwaliteit bij 4 Proceskwaliteit milieu het criterium 'duurzaam onderhoudsplan' is aangevinkt." sqref="I50" xr:uid="{8896AC19-EE63-4752-8751-100DC4B7888F}"/>
    <dataValidation allowBlank="1" showInputMessage="1" showErrorMessage="1" promptTitle="Herbruikbare verpakkingen" prompt="Ja, als op het tabblad Proceskwaliteit bij 4 Proceskwaliteit milieu het criterium 'herbruikbare verpakkingen voor bouw- en onderhoudsproducten' is aangevinkt." sqref="I49" xr:uid="{D4AFC339-3696-44EC-B9D6-4EA024358BF4}"/>
    <dataValidation allowBlank="1" showInputMessage="1" showErrorMessage="1" promptTitle="Vasthouden water" prompt="De punten bij 5.3.2 Wateroverlast en droogte hier overnemen." sqref="I39" xr:uid="{88D91CB2-89FE-45E0-9D87-6051324F1151}"/>
    <dataValidation allowBlank="1" showInputMessage="1" showErrorMessage="1" promptTitle="Lange productlevensduur, item 3" prompt="De puntenscore van het item 2.1.8 Ontkoppeling lage Brandt overnemen." sqref="I38" xr:uid="{F60F379B-6148-4ABA-84B6-73309AC742C0}"/>
    <dataValidation type="list" allowBlank="1" showInputMessage="1" showErrorMessage="1" sqref="J49:J52" xr:uid="{701189C0-1DF4-4B60-818F-62F0EFCCB3A8}">
      <formula1>"ja,nee"</formula1>
    </dataValidation>
    <dataValidation type="list" allowBlank="1" showInputMessage="1" showErrorMessage="1" sqref="D11" xr:uid="{4AEE9196-2D41-4B98-9C89-E9234947BC37}">
      <formula1>Gebruiksfuncties_CPG</formula1>
    </dataValidation>
  </dataValidations>
  <hyperlinks>
    <hyperlink ref="A1" location="'Overzicht GPR Hulpmiddelen'!A1" tooltip="naar startscherm" display="&lt;" xr:uid="{8905CCB3-6F1F-4878-AEF0-2A43C0358493}"/>
  </hyperlinks>
  <pageMargins left="0.7" right="0.7" top="0.75" bottom="0.75" header="0.3" footer="0.3"/>
  <pageSetup paperSize="9" scale="44" orientation="landscape" horizontalDpi="4294967295" verticalDpi="4294967295" r:id="rId1"/>
  <drawing r:id="rId2"/>
  <extLst>
    <ext xmlns:x14="http://schemas.microsoft.com/office/spreadsheetml/2009/9/main" uri="{78C0D931-6437-407d-A8EE-F0AAD7539E65}">
      <x14:conditionalFormattings>
        <x14:conditionalFormatting xmlns:xm="http://schemas.microsoft.com/office/excel/2006/main">
          <x14:cfRule type="expression" priority="3" id="{6AE4C84C-7DBF-44EB-8099-2908FD0D00EE}">
            <xm:f>$D$11&lt;&gt;tabellen!$N$66</xm:f>
            <x14:dxf>
              <font>
                <color rgb="FFE4E9F4"/>
              </font>
              <fill>
                <patternFill>
                  <bgColor rgb="FFE4E9F4"/>
                </patternFill>
              </fill>
              <border>
                <bottom/>
              </border>
            </x14:dxf>
          </x14:cfRule>
          <xm:sqref>J32:L32</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5682D-179D-4046-B603-C88C6A0D4453}">
  <sheetPr codeName="Blad9">
    <tabColor theme="5"/>
    <pageSetUpPr fitToPage="1"/>
  </sheetPr>
  <dimension ref="A1:P55"/>
  <sheetViews>
    <sheetView showGridLines="0" showRowColHeaders="0" zoomScaleNormal="100" workbookViewId="0">
      <pane xSplit="1" ySplit="3" topLeftCell="B4" activePane="bottomRight" state="frozen"/>
      <selection pane="topRight" activeCell="B1" sqref="B1"/>
      <selection pane="bottomLeft" activeCell="A4" sqref="A4"/>
      <selection pane="bottomRight" activeCell="J18" sqref="J18"/>
    </sheetView>
  </sheetViews>
  <sheetFormatPr defaultColWidth="9.1796875" defaultRowHeight="17.5"/>
  <cols>
    <col min="1" max="1" width="9.1796875" style="19"/>
    <col min="2" max="2" width="2.7265625" style="19" customWidth="1"/>
    <col min="3" max="3" width="15.54296875" style="516" customWidth="1"/>
    <col min="4" max="4" width="35.26953125" style="516" customWidth="1"/>
    <col min="5" max="6" width="9.7265625" style="523" customWidth="1"/>
    <col min="7" max="7" width="1.54296875" style="524" customWidth="1"/>
    <col min="8" max="8" width="9.7265625" style="525" customWidth="1"/>
    <col min="9" max="10" width="9.7265625" style="516" customWidth="1"/>
    <col min="11" max="11" width="9.7265625" style="526" customWidth="1"/>
    <col min="12" max="12" width="54.54296875" style="516" customWidth="1"/>
    <col min="13" max="13" width="2.7265625" style="516" customWidth="1"/>
    <col min="14" max="15" width="51.7265625" style="526" hidden="1" customWidth="1"/>
    <col min="16" max="16" width="2.7265625" style="516" customWidth="1"/>
    <col min="17" max="16384" width="9.1796875" style="516"/>
  </cols>
  <sheetData>
    <row r="1" spans="1:16" s="19" customFormat="1" ht="32.5">
      <c r="A1" s="512" t="s">
        <v>12</v>
      </c>
      <c r="B1" s="513"/>
      <c r="C1" s="514"/>
      <c r="D1" s="30"/>
      <c r="E1" s="37"/>
      <c r="F1" s="37"/>
      <c r="G1" s="30"/>
      <c r="H1" s="37"/>
      <c r="K1" s="37"/>
      <c r="L1" s="37"/>
      <c r="N1" s="30"/>
      <c r="O1" s="30"/>
    </row>
    <row r="2" spans="1:16" s="19" customFormat="1" ht="21">
      <c r="A2" s="28"/>
      <c r="B2" s="28" t="s">
        <v>1430</v>
      </c>
      <c r="C2" s="28"/>
      <c r="D2" s="28"/>
      <c r="E2" s="27"/>
      <c r="F2" s="27"/>
      <c r="G2" s="27"/>
      <c r="H2" s="27"/>
      <c r="I2" s="27"/>
      <c r="J2" s="27"/>
      <c r="K2" s="27"/>
      <c r="L2" s="27"/>
      <c r="M2" s="27"/>
      <c r="N2" s="463"/>
      <c r="O2" s="463"/>
      <c r="P2" s="28"/>
    </row>
    <row r="3" spans="1:16" s="29" customFormat="1">
      <c r="B3" s="1687">
        <v>45096</v>
      </c>
      <c r="C3" s="1688"/>
      <c r="D3" s="1713"/>
      <c r="F3" s="30"/>
      <c r="N3" s="30"/>
      <c r="O3" s="30"/>
    </row>
    <row r="4" spans="1:16" s="19" customFormat="1">
      <c r="B4" s="14"/>
      <c r="C4" s="67"/>
      <c r="D4" s="67"/>
      <c r="E4" s="67"/>
      <c r="F4" s="67"/>
      <c r="G4" s="14"/>
      <c r="H4" s="14"/>
      <c r="I4" s="14"/>
      <c r="J4" s="14"/>
      <c r="K4" s="14"/>
      <c r="L4" s="14"/>
      <c r="M4" s="14"/>
      <c r="N4" s="41"/>
      <c r="O4" s="41"/>
      <c r="P4" s="14"/>
    </row>
    <row r="5" spans="1:16" s="19" customFormat="1" ht="17.25" customHeight="1">
      <c r="B5" s="14"/>
      <c r="C5" s="68" t="s">
        <v>3</v>
      </c>
      <c r="D5" s="68"/>
      <c r="E5" s="68"/>
      <c r="F5" s="68"/>
      <c r="G5" s="14"/>
      <c r="H5" s="14"/>
      <c r="I5" s="185" t="s">
        <v>485</v>
      </c>
      <c r="J5" s="183"/>
      <c r="K5" s="183"/>
      <c r="L5" s="183"/>
      <c r="M5" s="14"/>
      <c r="N5" s="41"/>
      <c r="O5" s="41"/>
      <c r="P5" s="14"/>
    </row>
    <row r="6" spans="1:16" s="19" customFormat="1" ht="17.25" customHeight="1">
      <c r="B6" s="14"/>
      <c r="C6" s="22" t="s">
        <v>4</v>
      </c>
      <c r="D6" s="1691" t="str">
        <f>IF('Overzicht GPR Hulpmiddelen'!D6="","",'Overzicht GPR Hulpmiddelen'!D6)</f>
        <v/>
      </c>
      <c r="E6" s="1691"/>
      <c r="F6" s="1691"/>
      <c r="G6" s="14"/>
      <c r="H6" s="14"/>
      <c r="I6" s="14"/>
      <c r="J6" s="14"/>
      <c r="K6" s="14"/>
      <c r="L6" s="14"/>
      <c r="M6" s="14"/>
      <c r="N6" s="41"/>
      <c r="O6" s="41"/>
      <c r="P6" s="14"/>
    </row>
    <row r="7" spans="1:16" s="19" customFormat="1">
      <c r="B7" s="14"/>
      <c r="C7" s="22" t="s">
        <v>5</v>
      </c>
      <c r="D7" s="1691" t="str">
        <f>IF('Overzicht GPR Hulpmiddelen'!D7="","",'Overzicht GPR Hulpmiddelen'!D7)</f>
        <v/>
      </c>
      <c r="E7" s="1691"/>
      <c r="F7" s="1691"/>
      <c r="G7" s="14"/>
      <c r="H7" s="14"/>
      <c r="I7" s="14"/>
      <c r="J7" s="14"/>
      <c r="K7" s="14"/>
      <c r="L7" s="14"/>
      <c r="M7" s="14"/>
      <c r="N7" s="41"/>
      <c r="O7" s="41"/>
      <c r="P7" s="14"/>
    </row>
    <row r="8" spans="1:16" s="19" customFormat="1">
      <c r="B8" s="14"/>
      <c r="C8" s="22" t="s">
        <v>6</v>
      </c>
      <c r="D8" s="1691" t="str">
        <f>IF('Overzicht GPR Hulpmiddelen'!D8="","",'Overzicht GPR Hulpmiddelen'!D8)</f>
        <v/>
      </c>
      <c r="E8" s="1691"/>
      <c r="F8" s="1691"/>
      <c r="G8" s="14"/>
      <c r="H8" s="14"/>
      <c r="I8" s="14"/>
      <c r="J8" s="14"/>
      <c r="K8" s="14"/>
      <c r="L8" s="14"/>
      <c r="M8" s="14"/>
      <c r="N8" s="41"/>
      <c r="O8" s="41"/>
      <c r="P8" s="14"/>
    </row>
    <row r="9" spans="1:16" s="19" customFormat="1">
      <c r="B9" s="14"/>
      <c r="C9" s="22" t="s">
        <v>7</v>
      </c>
      <c r="D9" s="1699" t="str">
        <f>IF('Overzicht GPR Hulpmiddelen'!D9="","",'Overzicht GPR Hulpmiddelen'!D9)</f>
        <v/>
      </c>
      <c r="E9" s="1699"/>
      <c r="F9" s="1699"/>
      <c r="G9" s="14"/>
      <c r="H9" s="14"/>
      <c r="I9" s="14"/>
      <c r="J9" s="14"/>
      <c r="K9" s="14"/>
      <c r="L9" s="14"/>
      <c r="M9" s="14"/>
      <c r="N9" s="41"/>
      <c r="O9" s="41"/>
      <c r="P9" s="14"/>
    </row>
    <row r="10" spans="1:16" s="19" customFormat="1">
      <c r="B10" s="14"/>
      <c r="C10" s="22" t="s">
        <v>914</v>
      </c>
      <c r="D10" s="1685"/>
      <c r="E10" s="1685"/>
      <c r="F10" s="1685"/>
      <c r="G10" s="14"/>
      <c r="H10" s="14"/>
      <c r="I10" s="14"/>
      <c r="J10" s="14"/>
      <c r="K10" s="14"/>
      <c r="L10" s="14"/>
      <c r="M10" s="14"/>
      <c r="N10" s="41"/>
      <c r="O10" s="41"/>
      <c r="P10" s="14"/>
    </row>
    <row r="11" spans="1:16">
      <c r="B11" s="12"/>
      <c r="C11" s="90" t="s">
        <v>1276</v>
      </c>
      <c r="D11" s="1685" t="s">
        <v>142</v>
      </c>
      <c r="E11" s="1685"/>
      <c r="F11" s="1685"/>
      <c r="G11" s="515"/>
      <c r="H11" s="14"/>
      <c r="I11" s="14"/>
      <c r="J11" s="14"/>
      <c r="K11" s="14"/>
      <c r="L11" s="14"/>
      <c r="M11" s="14"/>
      <c r="N11" s="41"/>
      <c r="O11" s="41"/>
      <c r="P11" s="12"/>
    </row>
    <row r="12" spans="1:16">
      <c r="B12" s="12"/>
      <c r="C12" s="22" t="s">
        <v>1427</v>
      </c>
      <c r="D12" s="1699" t="s">
        <v>1390</v>
      </c>
      <c r="E12" s="1699"/>
      <c r="F12" s="1699"/>
      <c r="G12" s="515"/>
      <c r="H12" s="14"/>
      <c r="I12" s="14"/>
      <c r="J12" s="14"/>
      <c r="K12" s="14"/>
      <c r="L12" s="14"/>
      <c r="M12" s="14"/>
      <c r="N12" s="41"/>
      <c r="O12" s="41"/>
      <c r="P12" s="12"/>
    </row>
    <row r="13" spans="1:16">
      <c r="B13" s="12"/>
      <c r="C13" s="12"/>
      <c r="D13" s="12"/>
      <c r="E13" s="517"/>
      <c r="F13" s="517"/>
      <c r="G13" s="515"/>
      <c r="H13" s="518"/>
      <c r="I13" s="12"/>
      <c r="J13" s="12"/>
      <c r="K13" s="41"/>
      <c r="L13" s="12"/>
      <c r="M13" s="12"/>
      <c r="N13" s="41"/>
      <c r="O13" s="41"/>
      <c r="P13" s="12"/>
    </row>
    <row r="14" spans="1:16">
      <c r="B14" s="12"/>
      <c r="C14" s="12" t="s">
        <v>1277</v>
      </c>
      <c r="D14" s="12"/>
      <c r="E14" s="517"/>
      <c r="F14" s="517">
        <f>F17+F23+F30+F34+F42</f>
        <v>1</v>
      </c>
      <c r="G14" s="515"/>
      <c r="H14" s="10">
        <f ca="1">MIN(10,F17*H17+F23*H23+F30*H30+F34*H34+F42*H42)</f>
        <v>6.54</v>
      </c>
      <c r="I14" s="12"/>
      <c r="J14" s="15" t="s">
        <v>1429</v>
      </c>
      <c r="K14" s="43"/>
      <c r="L14" s="15"/>
      <c r="M14" s="12"/>
      <c r="N14" s="57" t="s">
        <v>1278</v>
      </c>
      <c r="O14" s="57" t="s">
        <v>1279</v>
      </c>
      <c r="P14" s="12"/>
    </row>
    <row r="15" spans="1:16">
      <c r="B15" s="12"/>
      <c r="C15" s="12"/>
      <c r="D15" s="12"/>
      <c r="E15" s="14"/>
      <c r="F15" s="14"/>
      <c r="G15" s="12"/>
      <c r="H15" s="12"/>
      <c r="I15" s="12"/>
      <c r="J15" s="12"/>
      <c r="K15" s="12"/>
      <c r="L15" s="12"/>
      <c r="M15" s="12"/>
      <c r="N15" s="41"/>
      <c r="O15" s="41"/>
      <c r="P15" s="12"/>
    </row>
    <row r="16" spans="1:16">
      <c r="B16" s="12"/>
      <c r="C16" s="12" t="s">
        <v>1280</v>
      </c>
      <c r="D16" s="12"/>
      <c r="E16" s="14"/>
      <c r="F16" s="14"/>
      <c r="G16" s="12"/>
      <c r="H16" s="12"/>
      <c r="I16" s="12"/>
      <c r="J16" s="12"/>
      <c r="K16" s="12"/>
      <c r="L16" s="12"/>
      <c r="M16" s="12"/>
      <c r="N16" s="41"/>
      <c r="O16" s="41"/>
      <c r="P16" s="12"/>
    </row>
    <row r="17" spans="2:16">
      <c r="B17" s="12"/>
      <c r="C17" s="233" t="s">
        <v>1281</v>
      </c>
      <c r="D17" s="233"/>
      <c r="E17" s="199">
        <f>SUM(E18:E20)</f>
        <v>1</v>
      </c>
      <c r="F17" s="199">
        <v>0.2</v>
      </c>
      <c r="G17" s="519"/>
      <c r="H17" s="70">
        <f ca="1">SUMPRODUCT(E18:E20,H18:H20)</f>
        <v>6</v>
      </c>
      <c r="I17" s="12"/>
      <c r="J17" s="26" t="s">
        <v>1282</v>
      </c>
      <c r="K17" s="57" t="s">
        <v>1283</v>
      </c>
      <c r="L17" s="233"/>
      <c r="M17" s="12"/>
      <c r="N17" s="41"/>
      <c r="O17" s="41"/>
      <c r="P17" s="12"/>
    </row>
    <row r="18" spans="2:16">
      <c r="B18" s="12"/>
      <c r="C18" s="90" t="s">
        <v>1284</v>
      </c>
      <c r="D18" s="90"/>
      <c r="E18" s="197">
        <v>0.3</v>
      </c>
      <c r="F18" s="197">
        <f>E18*F$17</f>
        <v>0.06</v>
      </c>
      <c r="G18" s="515"/>
      <c r="H18" s="69">
        <f ca="1">MIN(10,6+(10-6)*(J18/INDEX(tabel_CirculariteitsPrestatie_Gebouw_1.8_BESTAAND,MATCH($N18,tabel_CPG_startkolom_1.8_BESTAAND,0),MATCH($D$11,Gebruiksfuncties_CPG,0))))</f>
        <v>6</v>
      </c>
      <c r="I18" s="208" t="s">
        <v>396</v>
      </c>
      <c r="J18" s="201"/>
      <c r="K18" s="22" t="str">
        <f>INDEX(tabel_CirculariteitsPrestatie_Gebouw_1.8_BESTAAND,MATCH($O18,tabel_CPG_startkolom_1.8_BESTAAND,0),MATCH($D$11,Gebruiksfuncties_CPG,0))</f>
        <v>2.1.11</v>
      </c>
      <c r="L18" s="90" t="str">
        <f>tabellen!C101</f>
        <v>Extra maatregelen (handhaven casco en/of gevel)</v>
      </c>
      <c r="M18" s="12"/>
      <c r="N18" s="22" t="str">
        <f>L18&amp;"Maximum"</f>
        <v>Extra maatregelen (handhaven casco en/of gevel)Maximum</v>
      </c>
      <c r="O18" s="22" t="str">
        <f>L18&amp;"Itemcode"</f>
        <v>Extra maatregelen (handhaven casco en/of gevel)Itemcode</v>
      </c>
      <c r="P18" s="12"/>
    </row>
    <row r="19" spans="2:16">
      <c r="B19" s="12"/>
      <c r="C19" s="90" t="s">
        <v>1285</v>
      </c>
      <c r="D19" s="90"/>
      <c r="E19" s="197">
        <v>0.5</v>
      </c>
      <c r="F19" s="197">
        <f>E19*F$17</f>
        <v>0.1</v>
      </c>
      <c r="G19" s="515"/>
      <c r="H19" s="69">
        <f ca="1">MIN(10,6+(10-6)*(J19/INDEX(tabel_CirculariteitsPrestatie_Gebouw_1.8_BESTAAND,MATCH($N19,tabel_CPG_startkolom_1.8_BESTAAND,0),MATCH($D$11,Gebruiksfuncties_CPG,0))))</f>
        <v>6</v>
      </c>
      <c r="I19" s="208" t="s">
        <v>396</v>
      </c>
      <c r="J19" s="201"/>
      <c r="K19" s="22" t="str">
        <f ca="1">INDEX(tabel_CirculariteitsPrestatie_Gebouw_1.8_BESTAAND,MATCH($O19,tabel_CPG_startkolom_1.8_BESTAAND,0),MATCH($D$11,Gebruiksfuncties_CPG,0))</f>
        <v>2.1.4</v>
      </c>
      <c r="L19" s="90" t="str">
        <f>tabellen!C103</f>
        <v>Hergebruik producten</v>
      </c>
      <c r="M19" s="12"/>
      <c r="N19" s="22" t="str">
        <f t="shared" ref="N19:N20" si="0">L19&amp;"Maximum"</f>
        <v>Hergebruik productenMaximum</v>
      </c>
      <c r="O19" s="22" t="str">
        <f t="shared" ref="O19:O20" si="1">L19&amp;"Itemcode"</f>
        <v>Hergebruik productenItemcode</v>
      </c>
      <c r="P19" s="12"/>
    </row>
    <row r="20" spans="2:16">
      <c r="B20" s="12"/>
      <c r="C20" s="90" t="s">
        <v>1286</v>
      </c>
      <c r="D20" s="90"/>
      <c r="E20" s="197">
        <v>0.2</v>
      </c>
      <c r="F20" s="197">
        <f>E20*F$17</f>
        <v>4.0000000000000008E-2</v>
      </c>
      <c r="G20" s="515"/>
      <c r="H20" s="69">
        <f ca="1">MIN(10,6+(10-6)*(J20/INDEX(tabel_CirculariteitsPrestatie_Gebouw_1.8_BESTAAND,MATCH($N20,tabel_CPG_startkolom_1.8_BESTAAND,0),MATCH($D$11,Gebruiksfuncties_CPG,0))))</f>
        <v>6</v>
      </c>
      <c r="I20" s="208" t="s">
        <v>396</v>
      </c>
      <c r="J20" s="520"/>
      <c r="K20" s="22" t="str">
        <f ca="1">INDEX(tabel_CirculariteitsPrestatie_Gebouw_1.8_BESTAAND,MATCH($O20,tabel_CPG_startkolom_1.8_BESTAAND,0),MATCH($D$11,Gebruiksfuncties_CPG,0))</f>
        <v>2.1.5</v>
      </c>
      <c r="L20" s="90" t="str">
        <f>tabellen!C105</f>
        <v>Circulaire materialen ('secundair, extra')</v>
      </c>
      <c r="M20" s="12"/>
      <c r="N20" s="22" t="str">
        <f t="shared" si="0"/>
        <v>Circulaire materialen ('secundair, extra')Maximum</v>
      </c>
      <c r="O20" s="22" t="str">
        <f t="shared" si="1"/>
        <v>Circulaire materialen ('secundair, extra')Itemcode</v>
      </c>
      <c r="P20" s="12"/>
    </row>
    <row r="21" spans="2:16">
      <c r="B21" s="12"/>
      <c r="C21" s="12"/>
      <c r="D21" s="12"/>
      <c r="E21" s="14"/>
      <c r="F21" s="14"/>
      <c r="G21" s="515"/>
      <c r="H21" s="12"/>
      <c r="I21" s="12"/>
      <c r="J21" s="166"/>
      <c r="K21" s="12"/>
      <c r="L21" s="12"/>
      <c r="M21" s="12"/>
      <c r="N21" s="41"/>
      <c r="O21" s="41"/>
      <c r="P21" s="12"/>
    </row>
    <row r="22" spans="2:16">
      <c r="B22" s="12"/>
      <c r="C22" s="12" t="s">
        <v>1432</v>
      </c>
      <c r="D22" s="12"/>
      <c r="E22" s="517"/>
      <c r="F22" s="14"/>
      <c r="G22" s="515"/>
      <c r="H22" s="12"/>
      <c r="I22" s="12"/>
      <c r="J22" s="12"/>
      <c r="K22" s="12"/>
      <c r="L22" s="12"/>
      <c r="M22" s="12"/>
      <c r="N22" s="41"/>
      <c r="O22" s="41"/>
      <c r="P22" s="12"/>
    </row>
    <row r="23" spans="2:16">
      <c r="B23" s="12"/>
      <c r="C23" s="233" t="s">
        <v>1281</v>
      </c>
      <c r="D23" s="233"/>
      <c r="E23" s="199">
        <f>SUM(E24:E27)</f>
        <v>1</v>
      </c>
      <c r="F23" s="199">
        <v>0.2</v>
      </c>
      <c r="G23" s="519"/>
      <c r="H23" s="70">
        <f ca="1">SUMPRODUCT(E24:E27,H24:H27)</f>
        <v>5.7</v>
      </c>
      <c r="I23" s="12"/>
      <c r="J23" s="26" t="s">
        <v>1282</v>
      </c>
      <c r="K23" s="57" t="s">
        <v>1283</v>
      </c>
      <c r="L23" s="233"/>
      <c r="M23" s="12"/>
      <c r="N23" s="41"/>
      <c r="O23" s="41"/>
      <c r="P23" s="12"/>
    </row>
    <row r="24" spans="2:16">
      <c r="B24" s="12"/>
      <c r="C24" s="90" t="s">
        <v>1319</v>
      </c>
      <c r="D24" s="90"/>
      <c r="E24" s="197">
        <v>0.2</v>
      </c>
      <c r="F24" s="197">
        <f>E24*F$23</f>
        <v>4.0000000000000008E-2</v>
      </c>
      <c r="G24" s="515"/>
      <c r="H24" s="69">
        <f>IF(OR(J24&lt;0.01,J25&lt;=0),4.5,MIN(10,6+(10-6)*(J24/INDEX(tabel_CirculariteitsPrestatie_Gebouw_1.8_BESTAAND,MATCH($N24,tabel_CPG_startkolom_1.8_BESTAAND,0),MATCH($D$11,Gebruiksfuncties_CPG,0)))))</f>
        <v>4.5</v>
      </c>
      <c r="I24" s="208" t="s">
        <v>396</v>
      </c>
      <c r="J24" s="520"/>
      <c r="K24" s="22" t="str">
        <f ca="1">INDEX(tabel_CirculariteitsPrestatie_Gebouw_1.8_BESTAAND,MATCH($O24,tabel_CPG_startkolom_1.8_BESTAAND,0),MATCH($D$11,Gebruiksfuncties_CPG,0))</f>
        <v>2.1.5</v>
      </c>
      <c r="L24" s="90" t="str">
        <f>tabellen!C107</f>
        <v>Circulaire materialen ('biobased CO2-opslag'+'biobased overig')</v>
      </c>
      <c r="M24" s="12"/>
      <c r="N24" s="22" t="str">
        <f t="shared" ref="N24:N27" si="2">L24&amp;"Maximum"</f>
        <v>Circulaire materialen ('biobased CO2-opslag'+'biobased overig')Maximum</v>
      </c>
      <c r="O24" s="22" t="str">
        <f t="shared" ref="O24:O27" si="3">L24&amp;"Itemcode"</f>
        <v>Circulaire materialen ('biobased CO2-opslag'+'biobased overig')Itemcode</v>
      </c>
      <c r="P24" s="12"/>
    </row>
    <row r="25" spans="2:16">
      <c r="B25" s="12"/>
      <c r="C25" s="527" t="s">
        <v>1319</v>
      </c>
      <c r="D25" s="527"/>
      <c r="E25" s="197" t="s">
        <v>132</v>
      </c>
      <c r="F25" s="197" t="s">
        <v>132</v>
      </c>
      <c r="G25" s="515"/>
      <c r="H25" s="69" t="s">
        <v>132</v>
      </c>
      <c r="I25" s="208" t="s">
        <v>396</v>
      </c>
      <c r="J25" s="201"/>
      <c r="K25" s="22" t="str">
        <f ca="1">INDEX(tabel_CirculariteitsPrestatie_Gebouw_1.8_BESTAAND,MATCH($O25,tabel_CPG_startkolom_1.8_BESTAAND,0),MATCH($D$11,Gebruiksfuncties_CPG,0))</f>
        <v>2.1.6</v>
      </c>
      <c r="L25" s="90" t="str">
        <f>tabellen!C109</f>
        <v>Hout uit duurzaam beheerde bossen</v>
      </c>
      <c r="M25" s="12"/>
      <c r="N25" s="22" t="str">
        <f t="shared" si="2"/>
        <v>Hout uit duurzaam beheerde bossenMaximum</v>
      </c>
      <c r="O25" s="22" t="str">
        <f t="shared" si="3"/>
        <v>Hout uit duurzaam beheerde bossenItemcode</v>
      </c>
      <c r="P25" s="12"/>
    </row>
    <row r="26" spans="2:16">
      <c r="B26" s="12"/>
      <c r="C26" s="90" t="s">
        <v>1289</v>
      </c>
      <c r="D26" s="90"/>
      <c r="E26" s="197">
        <v>0.6</v>
      </c>
      <c r="F26" s="197">
        <f>E26*F$23</f>
        <v>0.12</v>
      </c>
      <c r="G26" s="515"/>
      <c r="H26" s="69">
        <f ca="1">MIN(10,6+(10-6)*(J26/INDEX(tabel_CirculariteitsPrestatie_Gebouw_1.8_BESTAAND,MATCH($N26,tabel_CPG_startkolom_1.8_BESTAAND,0),MATCH($D$11,Gebruiksfuncties_CPG,0))))</f>
        <v>6</v>
      </c>
      <c r="I26" s="208" t="s">
        <v>396</v>
      </c>
      <c r="J26" s="520"/>
      <c r="K26" s="22" t="str">
        <f ca="1">INDEX(tabel_CirculariteitsPrestatie_Gebouw_1.8_BESTAAND,MATCH($O26,tabel_CPG_startkolom_1.8_BESTAAND,0),MATCH($D$11,Gebruiksfuncties_CPG,0))</f>
        <v>1.1</v>
      </c>
      <c r="L26" s="90" t="str">
        <f>tabellen!C111</f>
        <v>BENG 3 - indicator</v>
      </c>
      <c r="M26" s="12"/>
      <c r="N26" s="22" t="str">
        <f t="shared" si="2"/>
        <v>BENG 3 - indicatorMaximum</v>
      </c>
      <c r="O26" s="22" t="str">
        <f t="shared" si="3"/>
        <v>BENG 3 - indicatorItemcode</v>
      </c>
      <c r="P26" s="12"/>
    </row>
    <row r="27" spans="2:16">
      <c r="B27" s="12"/>
      <c r="C27" s="90" t="s">
        <v>1290</v>
      </c>
      <c r="D27" s="90"/>
      <c r="E27" s="197">
        <v>0.2</v>
      </c>
      <c r="F27" s="197">
        <f>E27*F$23</f>
        <v>4.0000000000000008E-2</v>
      </c>
      <c r="G27" s="515"/>
      <c r="H27" s="69">
        <f ca="1">MIN(10,6+(10-6)*(J27/INDEX(tabel_CirculariteitsPrestatie_Gebouw_1.8_BESTAAND,MATCH($N27,tabel_CPG_startkolom_1.8_BESTAAND,0),MATCH($D$11,Gebruiksfuncties_CPG,0))))</f>
        <v>6</v>
      </c>
      <c r="I27" s="208" t="s">
        <v>396</v>
      </c>
      <c r="J27" s="201"/>
      <c r="K27" s="22" t="str">
        <f ca="1">INDEX(tabel_CirculariteitsPrestatie_Gebouw_1.8_BESTAAND,MATCH($O27,tabel_CPG_startkolom_1.8_BESTAAND,0),MATCH($D$11,Gebruiksfuncties_CPG,0))</f>
        <v>2.2.6</v>
      </c>
      <c r="L27" s="90" t="str">
        <f>tabellen!C113</f>
        <v>Circulair watergebruik</v>
      </c>
      <c r="M27" s="12"/>
      <c r="N27" s="22" t="str">
        <f t="shared" si="2"/>
        <v>Circulair watergebruikMaximum</v>
      </c>
      <c r="O27" s="22" t="str">
        <f t="shared" si="3"/>
        <v>Circulair watergebruikItemcode</v>
      </c>
      <c r="P27" s="12"/>
    </row>
    <row r="28" spans="2:16">
      <c r="B28" s="12"/>
      <c r="C28" s="12"/>
      <c r="D28" s="12"/>
      <c r="E28" s="14"/>
      <c r="F28" s="14"/>
      <c r="G28" s="515"/>
      <c r="H28" s="12"/>
      <c r="I28" s="12"/>
      <c r="J28" s="12"/>
      <c r="K28" s="12"/>
      <c r="L28" s="12"/>
      <c r="M28" s="12"/>
      <c r="N28" s="41"/>
      <c r="O28" s="41"/>
      <c r="P28" s="12"/>
    </row>
    <row r="29" spans="2:16">
      <c r="B29" s="12"/>
      <c r="C29" s="12" t="s">
        <v>1291</v>
      </c>
      <c r="D29" s="12"/>
      <c r="E29" s="517"/>
      <c r="F29" s="14"/>
      <c r="G29" s="515"/>
      <c r="H29" s="12"/>
      <c r="I29" s="12"/>
      <c r="J29" s="12"/>
      <c r="K29" s="12"/>
      <c r="L29" s="12"/>
      <c r="M29" s="12"/>
      <c r="N29" s="41"/>
      <c r="O29" s="41"/>
      <c r="P29" s="12"/>
    </row>
    <row r="30" spans="2:16">
      <c r="B30" s="12"/>
      <c r="C30" s="233" t="s">
        <v>1281</v>
      </c>
      <c r="D30" s="233"/>
      <c r="E30" s="199">
        <f>E31</f>
        <v>1</v>
      </c>
      <c r="F30" s="199">
        <v>0.15</v>
      </c>
      <c r="G30" s="519"/>
      <c r="H30" s="70">
        <f>SUMPRODUCT(E31,H31)</f>
        <v>10</v>
      </c>
      <c r="I30" s="12"/>
      <c r="J30" s="26" t="s">
        <v>1282</v>
      </c>
      <c r="K30" s="57" t="s">
        <v>1283</v>
      </c>
      <c r="L30" s="233"/>
      <c r="M30" s="12"/>
      <c r="N30" s="41"/>
      <c r="O30" s="41"/>
      <c r="P30" s="12"/>
    </row>
    <row r="31" spans="2:16">
      <c r="B31" s="12"/>
      <c r="C31" s="90" t="s">
        <v>1292</v>
      </c>
      <c r="D31" s="90"/>
      <c r="E31" s="197">
        <v>1</v>
      </c>
      <c r="F31" s="197">
        <f>E31*F$30</f>
        <v>0.15</v>
      </c>
      <c r="G31" s="515"/>
      <c r="H31" s="69">
        <f>MIN(10,IF($D$11=tabellen!$N$66,0.75*J31+0.25*J32,J31))</f>
        <v>10</v>
      </c>
      <c r="I31" s="208" t="s">
        <v>396</v>
      </c>
      <c r="J31" s="394"/>
      <c r="K31" s="22" t="str">
        <f ca="1">IF($D$11=tabellen!$N$66,"1.1",INDEX(tabel_CirculariteitsPrestatie_Gebouw_1.8_BESTAAND,MATCH($O31,tabel_CPG_startkolom_1.8_BESTAAND,0),MATCH($D$11,Gebruiksfuncties_CPG,0)))</f>
        <v>E&amp;M</v>
      </c>
      <c r="L31" s="90" t="str">
        <f>IF($D$11=tabellen!$N$100,"Energieprestatie",tabellen!C115)</f>
        <v>Duurzaamheidsprestatie (DPG)</v>
      </c>
      <c r="M31" s="12"/>
      <c r="N31" s="22" t="s">
        <v>1320</v>
      </c>
      <c r="O31" s="22" t="str">
        <f t="shared" ref="O31" si="4">L31&amp;"Itemcode"</f>
        <v>Duurzaamheidsprestatie (DPG)Itemcode</v>
      </c>
      <c r="P31" s="12"/>
    </row>
    <row r="32" spans="2:16">
      <c r="B32" s="12"/>
      <c r="C32" s="12"/>
      <c r="D32" s="12"/>
      <c r="E32" s="14"/>
      <c r="F32" s="14"/>
      <c r="G32" s="515"/>
      <c r="H32" s="12"/>
      <c r="I32" s="12"/>
      <c r="J32" s="394"/>
      <c r="K32" s="22" t="s">
        <v>1293</v>
      </c>
      <c r="L32" s="90" t="s">
        <v>432</v>
      </c>
      <c r="M32" s="12"/>
      <c r="N32" s="22" t="s">
        <v>1320</v>
      </c>
      <c r="O32" s="41"/>
      <c r="P32" s="12"/>
    </row>
    <row r="33" spans="2:16">
      <c r="B33" s="12"/>
      <c r="C33" s="12" t="s">
        <v>1295</v>
      </c>
      <c r="D33" s="12"/>
      <c r="E33" s="517"/>
      <c r="F33" s="14"/>
      <c r="G33" s="515"/>
      <c r="H33" s="12"/>
      <c r="I33" s="12"/>
      <c r="J33" s="12"/>
      <c r="K33" s="12"/>
      <c r="L33" s="12"/>
      <c r="M33" s="12"/>
      <c r="N33" s="41"/>
      <c r="O33" s="41"/>
      <c r="P33" s="12"/>
    </row>
    <row r="34" spans="2:16">
      <c r="B34" s="12"/>
      <c r="C34" s="233" t="s">
        <v>1281</v>
      </c>
      <c r="D34" s="233"/>
      <c r="E34" s="199">
        <f>SUM(E35:E39)</f>
        <v>1</v>
      </c>
      <c r="F34" s="199">
        <v>0.25</v>
      </c>
      <c r="G34" s="519"/>
      <c r="H34" s="70">
        <f ca="1">SUMPRODUCT(E35:E39,H35:H39)</f>
        <v>5.9999999999999991</v>
      </c>
      <c r="I34" s="12"/>
      <c r="J34" s="26" t="s">
        <v>1282</v>
      </c>
      <c r="K34" s="57" t="s">
        <v>1283</v>
      </c>
      <c r="L34" s="233"/>
      <c r="M34" s="12"/>
      <c r="N34" s="41"/>
      <c r="O34" s="41"/>
      <c r="P34" s="12"/>
    </row>
    <row r="35" spans="2:16">
      <c r="B35" s="12"/>
      <c r="C35" s="90" t="s">
        <v>1321</v>
      </c>
      <c r="D35" s="90"/>
      <c r="E35" s="197">
        <v>0.6</v>
      </c>
      <c r="F35" s="197">
        <f>E35*F$34</f>
        <v>0.15</v>
      </c>
      <c r="G35" s="515"/>
      <c r="H35" s="69">
        <f ca="1">MIN(10,6+(10-6)*(J35/INDEX(tabel_CirculariteitsPrestatie_Gebouw_1.8_BESTAAND,MATCH($N35,tabel_CPG_startkolom_1.8_BESTAAND,0),MATCH($D$11,Gebruiksfuncties_CPG,0))))</f>
        <v>6</v>
      </c>
      <c r="I35" s="208" t="s">
        <v>396</v>
      </c>
      <c r="J35" s="201"/>
      <c r="K35" s="22" t="str">
        <f ca="1">INDEX(tabel_CirculariteitsPrestatie_Gebouw_1.8_BESTAAND,MATCH($O35,tabel_CPG_startkolom_1.8_BESTAAND,0),MATCH($D$11,Gebruiksfuncties_CPG,0))</f>
        <v>2.1.8</v>
      </c>
      <c r="L35" s="90" t="str">
        <f>tabellen!C116</f>
        <v>Lange gebouwlevensduur</v>
      </c>
      <c r="M35" s="12"/>
      <c r="N35" s="22" t="str">
        <f t="shared" ref="N35:N39" si="5">L35&amp;"Maximum"</f>
        <v>Lange gebouwlevensduurMaximum</v>
      </c>
      <c r="O35" s="22" t="str">
        <f t="shared" ref="O35:O39" si="6">L35&amp;"Itemcode"</f>
        <v>Lange gebouwlevensduurItemcode</v>
      </c>
      <c r="P35" s="12"/>
    </row>
    <row r="36" spans="2:16">
      <c r="B36" s="12"/>
      <c r="C36" s="90" t="s">
        <v>1322</v>
      </c>
      <c r="D36" s="90"/>
      <c r="E36" s="197">
        <v>0.05</v>
      </c>
      <c r="F36" s="197">
        <f t="shared" ref="F36:F39" si="7">E36*F$34</f>
        <v>1.2500000000000001E-2</v>
      </c>
      <c r="G36" s="515"/>
      <c r="H36" s="69">
        <f ca="1">MIN(10,6+(10-6)*(J36/INDEX(tabel_CirculariteitsPrestatie_Gebouw_1.8_BESTAAND,MATCH($N36,tabel_CPG_startkolom_1.8_BESTAAND,0),MATCH($D$11,Gebruiksfuncties_CPG,0))))</f>
        <v>6</v>
      </c>
      <c r="I36" s="208" t="s">
        <v>396</v>
      </c>
      <c r="J36" s="521"/>
      <c r="K36" s="22" t="str">
        <f ca="1">INDEX(tabel_CirculariteitsPrestatie_Gebouw_1.8_BESTAAND,MATCH($O36,tabel_CPG_startkolom_1.8_BESTAAND,0),MATCH($D$11,Gebruiksfuncties_CPG,0))</f>
        <v>2.1.7</v>
      </c>
      <c r="L36" s="90" t="str">
        <f>tabellen!C118</f>
        <v>Robuuste uitvoering of detaillering bij gevoelige elementen</v>
      </c>
      <c r="M36" s="12"/>
      <c r="N36" s="22" t="str">
        <f t="shared" si="5"/>
        <v>Robuuste uitvoering of detaillering bij gevoelige elementenMaximum</v>
      </c>
      <c r="O36" s="22" t="str">
        <f t="shared" si="6"/>
        <v>Robuuste uitvoering of detaillering bij gevoelige elementenItemcode</v>
      </c>
      <c r="P36" s="12"/>
    </row>
    <row r="37" spans="2:16">
      <c r="B37" s="12"/>
      <c r="C37" s="527" t="s">
        <v>1322</v>
      </c>
      <c r="D37" s="527"/>
      <c r="E37" s="197">
        <v>0.05</v>
      </c>
      <c r="F37" s="197">
        <f t="shared" si="7"/>
        <v>1.2500000000000001E-2</v>
      </c>
      <c r="G37" s="515"/>
      <c r="H37" s="69">
        <f ca="1">MIN(10,6+(10-6)*(J37/INDEX(tabel_CirculariteitsPrestatie_Gebouw_1.8_BESTAAND,MATCH($N37,tabel_CPG_startkolom_1.8_BESTAAND,0),MATCH($D$11,Gebruiksfuncties_CPG,0))))</f>
        <v>6</v>
      </c>
      <c r="I37" s="208" t="s">
        <v>396</v>
      </c>
      <c r="J37" s="521"/>
      <c r="K37" s="22" t="str">
        <f ca="1">INDEX(tabel_CirculariteitsPrestatie_Gebouw_1.8_BESTAAND,MATCH($O37,tabel_CPG_startkolom_1.8_BESTAAND,0),MATCH($D$11,Gebruiksfuncties_CPG,0))</f>
        <v>2.1.7</v>
      </c>
      <c r="L37" s="90" t="str">
        <f>tabellen!C120</f>
        <v>Eenvoudig aanpasbare elementen</v>
      </c>
      <c r="M37" s="12"/>
      <c r="N37" s="22" t="str">
        <f t="shared" si="5"/>
        <v>Eenvoudig aanpasbare elementenMaximum</v>
      </c>
      <c r="O37" s="22" t="str">
        <f t="shared" si="6"/>
        <v>Eenvoudig aanpasbare elementenItemcode</v>
      </c>
      <c r="P37" s="12"/>
    </row>
    <row r="38" spans="2:16">
      <c r="B38" s="12"/>
      <c r="C38" s="527" t="s">
        <v>1322</v>
      </c>
      <c r="D38" s="527"/>
      <c r="E38" s="197">
        <v>0.1</v>
      </c>
      <c r="F38" s="197">
        <f t="shared" si="7"/>
        <v>2.5000000000000001E-2</v>
      </c>
      <c r="G38" s="515"/>
      <c r="H38" s="69">
        <f ca="1">MIN(10,6+(10-6)*(J38/INDEX(tabel_CirculariteitsPrestatie_Gebouw_1.8_BESTAAND,MATCH($N38,tabel_CPG_startkolom_1.8_BESTAAND,0),MATCH($D$11,Gebruiksfuncties_CPG,0))))</f>
        <v>6</v>
      </c>
      <c r="I38" s="208" t="s">
        <v>396</v>
      </c>
      <c r="J38" s="521"/>
      <c r="K38" s="22" t="str">
        <f ca="1">INDEX(tabel_CirculariteitsPrestatie_Gebouw_1.8_BESTAAND,MATCH($O38,tabel_CPG_startkolom_1.8_BESTAAND,0),MATCH($D$11,Gebruiksfuncties_CPG,0))</f>
        <v>2.1.9</v>
      </c>
      <c r="L38" s="90" t="str">
        <f>tabellen!C122</f>
        <v>Ontkoppeling lagen Brand (afwijkende levensduur)</v>
      </c>
      <c r="M38" s="12"/>
      <c r="N38" s="22" t="str">
        <f t="shared" si="5"/>
        <v>Ontkoppeling lagen Brand (afwijkende levensduur)Maximum</v>
      </c>
      <c r="O38" s="22" t="str">
        <f t="shared" si="6"/>
        <v>Ontkoppeling lagen Brand (afwijkende levensduur)Itemcode</v>
      </c>
      <c r="P38" s="12"/>
    </row>
    <row r="39" spans="2:16">
      <c r="B39" s="12"/>
      <c r="C39" s="90" t="s">
        <v>1323</v>
      </c>
      <c r="D39" s="90"/>
      <c r="E39" s="197">
        <v>0.2</v>
      </c>
      <c r="F39" s="197">
        <f t="shared" si="7"/>
        <v>0.05</v>
      </c>
      <c r="G39" s="515"/>
      <c r="H39" s="69">
        <f ca="1">MIN(10,6+(10-6)*(J39/INDEX(tabel_CirculariteitsPrestatie_Gebouw_1.8_BESTAAND,MATCH($N39,tabel_CPG_startkolom_1.8_BESTAAND,0),MATCH($D$11,Gebruiksfuncties_CPG,0))))</f>
        <v>6</v>
      </c>
      <c r="I39" s="208" t="s">
        <v>396</v>
      </c>
      <c r="J39" s="201"/>
      <c r="K39" s="22" t="str">
        <f ca="1">INDEX(tabel_CirculariteitsPrestatie_Gebouw_1.8_BESTAAND,MATCH($O39,tabel_CPG_startkolom_1.8_BESTAAND,0),MATCH($D$11,Gebruiksfuncties_CPG,0))</f>
        <v>5.3.2</v>
      </c>
      <c r="L39" s="90" t="str">
        <f>tabellen!C124</f>
        <v>Wateroverlast en droogte</v>
      </c>
      <c r="M39" s="12"/>
      <c r="N39" s="22" t="str">
        <f t="shared" si="5"/>
        <v>Wateroverlast en droogteMaximum</v>
      </c>
      <c r="O39" s="22" t="str">
        <f t="shared" si="6"/>
        <v>Wateroverlast en droogteItemcode</v>
      </c>
      <c r="P39" s="12"/>
    </row>
    <row r="40" spans="2:16">
      <c r="B40" s="12"/>
      <c r="C40" s="12"/>
      <c r="D40" s="12"/>
      <c r="E40" s="14"/>
      <c r="F40" s="14"/>
      <c r="G40" s="515"/>
      <c r="H40" s="12"/>
      <c r="I40" s="12"/>
      <c r="J40" s="12"/>
      <c r="K40" s="12"/>
      <c r="L40" s="12"/>
      <c r="M40" s="12"/>
      <c r="N40" s="41"/>
      <c r="O40" s="41"/>
      <c r="P40" s="12"/>
    </row>
    <row r="41" spans="2:16">
      <c r="B41" s="12"/>
      <c r="C41" s="12" t="s">
        <v>1305</v>
      </c>
      <c r="D41" s="12"/>
      <c r="E41" s="517"/>
      <c r="F41" s="14"/>
      <c r="G41" s="515"/>
      <c r="H41" s="12"/>
      <c r="I41" s="12"/>
      <c r="J41" s="12"/>
      <c r="K41" s="12"/>
      <c r="L41" s="12"/>
      <c r="M41" s="12"/>
      <c r="N41" s="41"/>
      <c r="O41" s="41"/>
      <c r="P41" s="12"/>
    </row>
    <row r="42" spans="2:16">
      <c r="B42" s="12"/>
      <c r="C42" s="233" t="s">
        <v>1281</v>
      </c>
      <c r="D42" s="233"/>
      <c r="E42" s="199">
        <f>SUM(E43:E45)</f>
        <v>1</v>
      </c>
      <c r="F42" s="199">
        <v>0.2</v>
      </c>
      <c r="G42" s="519"/>
      <c r="H42" s="70">
        <f ca="1">SUMPRODUCT(E43:E45,H43:H45)</f>
        <v>6</v>
      </c>
      <c r="I42" s="12"/>
      <c r="J42" s="26" t="s">
        <v>1282</v>
      </c>
      <c r="K42" s="57" t="s">
        <v>1283</v>
      </c>
      <c r="L42" s="233"/>
      <c r="M42" s="12"/>
      <c r="N42" s="41"/>
      <c r="O42" s="41"/>
      <c r="P42" s="12"/>
    </row>
    <row r="43" spans="2:16">
      <c r="B43" s="12"/>
      <c r="C43" s="90" t="s">
        <v>1324</v>
      </c>
      <c r="D43" s="90"/>
      <c r="E43" s="197">
        <v>0.1</v>
      </c>
      <c r="F43" s="197">
        <f>E43*F$42</f>
        <v>2.0000000000000004E-2</v>
      </c>
      <c r="G43" s="515"/>
      <c r="H43" s="69">
        <f ca="1">MIN(10,6+(10-6)*(J43/INDEX(tabel_CirculariteitsPrestatie_Gebouw_1.8_BESTAAND,MATCH($N43,tabel_CPG_startkolom_1.8_BESTAAND,0),MATCH($D$11,Gebruiksfuncties_CPG,0))))</f>
        <v>6</v>
      </c>
      <c r="I43" s="208" t="s">
        <v>396</v>
      </c>
      <c r="J43" s="201"/>
      <c r="K43" s="22" t="str">
        <f ca="1">INDEX(tabel_CirculariteitsPrestatie_Gebouw_1.8_BESTAAND,MATCH($O43,tabel_CPG_startkolom_1.8_BESTAAND,0),MATCH($D$11,Gebruiksfuncties_CPG,0))</f>
        <v>2.1.7</v>
      </c>
      <c r="L43" s="90" t="str">
        <f>tabellen!C126</f>
        <v>Prefab bouwsysteem</v>
      </c>
      <c r="M43" s="12"/>
      <c r="N43" s="22" t="str">
        <f t="shared" ref="N43:N45" si="8">L43&amp;"Maximum"</f>
        <v>Prefab bouwsysteemMaximum</v>
      </c>
      <c r="O43" s="22" t="str">
        <f t="shared" ref="O43:O45" si="9">L43&amp;"Itemcode"</f>
        <v>Prefab bouwsysteemItemcode</v>
      </c>
      <c r="P43" s="12"/>
    </row>
    <row r="44" spans="2:16">
      <c r="B44" s="12"/>
      <c r="C44" s="527" t="s">
        <v>1324</v>
      </c>
      <c r="D44" s="90"/>
      <c r="E44" s="197">
        <v>0.2</v>
      </c>
      <c r="F44" s="197">
        <f>E44*F$42</f>
        <v>4.0000000000000008E-2</v>
      </c>
      <c r="G44" s="515"/>
      <c r="H44" s="69">
        <f ca="1">MIN(10,6+(10-6)*(J44/INDEX(tabel_CirculariteitsPrestatie_Gebouw_1.8_BESTAAND,MATCH($N44,tabel_CPG_startkolom_1.8_BESTAAND,0),MATCH($D$11,Gebruiksfuncties_CPG,0))))</f>
        <v>6</v>
      </c>
      <c r="I44" s="208" t="s">
        <v>396</v>
      </c>
      <c r="J44" s="201"/>
      <c r="K44" s="22" t="str">
        <f ca="1">INDEX(tabel_CirculariteitsPrestatie_Gebouw_1.8_BESTAAND,MATCH($O44,tabel_CPG_startkolom_1.8_BESTAAND,0),MATCH($D$11,Gebruiksfuncties_CPG,0))</f>
        <v>2.1.9</v>
      </c>
      <c r="L44" s="90" t="str">
        <f>tabellen!C128</f>
        <v>Ontkoppeling lagen Brand (afwijkende levensduur)</v>
      </c>
      <c r="M44" s="12"/>
      <c r="N44" s="22" t="str">
        <f t="shared" si="8"/>
        <v>Ontkoppeling lagen Brand (afwijkende levensduur)Maximum</v>
      </c>
      <c r="O44" s="22" t="str">
        <f t="shared" si="9"/>
        <v>Ontkoppeling lagen Brand (afwijkende levensduur)Itemcode</v>
      </c>
      <c r="P44" s="12"/>
    </row>
    <row r="45" spans="2:16">
      <c r="B45" s="12"/>
      <c r="C45" s="527" t="s">
        <v>1324</v>
      </c>
      <c r="D45" s="90"/>
      <c r="E45" s="197">
        <v>0.7</v>
      </c>
      <c r="F45" s="197">
        <f>E45*F$42</f>
        <v>0.13999999999999999</v>
      </c>
      <c r="G45" s="515"/>
      <c r="H45" s="69">
        <f ca="1">MIN(10,6+(10-6)*(J45/INDEX(tabel_CirculariteitsPrestatie_Gebouw_1.8_BESTAAND,MATCH($N45,tabel_CPG_startkolom_1.8_BESTAAND,0),MATCH($D$11,Gebruiksfuncties_CPG,0))))</f>
        <v>6</v>
      </c>
      <c r="I45" s="208" t="s">
        <v>396</v>
      </c>
      <c r="J45" s="201"/>
      <c r="K45" s="22" t="str">
        <f ca="1">INDEX(tabel_CirculariteitsPrestatie_Gebouw_1.8_BESTAAND,MATCH($O45,tabel_CPG_startkolom_1.8_BESTAAND,0),MATCH($D$11,Gebruiksfuncties_CPG,0))</f>
        <v>2.1.10</v>
      </c>
      <c r="L45" s="90" t="str">
        <f>tabellen!C130</f>
        <v>Hergebruikspotentie</v>
      </c>
      <c r="M45" s="12"/>
      <c r="N45" s="22" t="str">
        <f t="shared" si="8"/>
        <v>HergebruikspotentieMaximum</v>
      </c>
      <c r="O45" s="22" t="str">
        <f t="shared" si="9"/>
        <v>HergebruikspotentieItemcode</v>
      </c>
      <c r="P45" s="12"/>
    </row>
    <row r="46" spans="2:16">
      <c r="B46" s="12"/>
      <c r="C46" s="12"/>
      <c r="D46" s="12"/>
      <c r="E46" s="517"/>
      <c r="F46" s="517"/>
      <c r="G46" s="515"/>
      <c r="H46" s="518"/>
      <c r="I46" s="12"/>
      <c r="J46" s="12"/>
      <c r="K46" s="41"/>
      <c r="L46" s="12"/>
      <c r="M46" s="12"/>
      <c r="N46" s="41"/>
      <c r="O46" s="41"/>
      <c r="P46" s="12"/>
    </row>
    <row r="47" spans="2:16">
      <c r="B47" s="12"/>
      <c r="C47" s="12" t="s">
        <v>1325</v>
      </c>
      <c r="D47" s="12"/>
      <c r="E47" s="517"/>
      <c r="F47" s="14"/>
      <c r="G47" s="515"/>
      <c r="H47" s="12"/>
      <c r="I47" s="12"/>
      <c r="J47" s="12"/>
      <c r="K47" s="41"/>
      <c r="L47" s="12"/>
      <c r="M47" s="12"/>
      <c r="N47" s="41"/>
      <c r="O47" s="41"/>
      <c r="P47" s="12"/>
    </row>
    <row r="48" spans="2:16">
      <c r="B48" s="12"/>
      <c r="C48" s="233" t="s">
        <v>1281</v>
      </c>
      <c r="D48" s="233"/>
      <c r="E48" s="199">
        <f>SUM(E49:E52)</f>
        <v>1</v>
      </c>
      <c r="F48" s="199">
        <v>1</v>
      </c>
      <c r="G48" s="519"/>
      <c r="H48" s="70">
        <f>SUMPRODUCT(E49:E52,H49:H52)</f>
        <v>6</v>
      </c>
      <c r="I48" s="12"/>
      <c r="J48" s="26" t="s">
        <v>1282</v>
      </c>
      <c r="K48" s="57" t="s">
        <v>1283</v>
      </c>
      <c r="L48" s="233"/>
      <c r="M48" s="12"/>
      <c r="N48" s="41"/>
      <c r="O48" s="41"/>
      <c r="P48" s="12"/>
    </row>
    <row r="49" spans="2:16">
      <c r="B49" s="12"/>
      <c r="C49" s="90" t="s">
        <v>1309</v>
      </c>
      <c r="D49" s="90"/>
      <c r="E49" s="197">
        <v>0.05</v>
      </c>
      <c r="F49" s="197">
        <f>E49*F$48</f>
        <v>0.05</v>
      </c>
      <c r="G49" s="515"/>
      <c r="H49" s="69">
        <f>IF(J49="ja",10,6)</f>
        <v>6</v>
      </c>
      <c r="I49" s="208" t="s">
        <v>396</v>
      </c>
      <c r="J49" s="201"/>
      <c r="K49" s="22" t="s">
        <v>1310</v>
      </c>
      <c r="L49" s="90" t="s">
        <v>1311</v>
      </c>
      <c r="M49" s="12"/>
      <c r="N49" s="41"/>
      <c r="O49" s="41"/>
      <c r="P49" s="12"/>
    </row>
    <row r="50" spans="2:16">
      <c r="B50" s="12"/>
      <c r="C50" s="90" t="s">
        <v>1312</v>
      </c>
      <c r="D50" s="90"/>
      <c r="E50" s="197">
        <v>0.15</v>
      </c>
      <c r="F50" s="197">
        <f>E50*F$48</f>
        <v>0.15</v>
      </c>
      <c r="G50" s="515"/>
      <c r="H50" s="69">
        <f>IF(J50="ja",10,6)</f>
        <v>6</v>
      </c>
      <c r="I50" s="208" t="s">
        <v>396</v>
      </c>
      <c r="J50" s="201"/>
      <c r="K50" s="22" t="s">
        <v>1310</v>
      </c>
      <c r="L50" s="90" t="s">
        <v>1313</v>
      </c>
      <c r="M50" s="12"/>
      <c r="N50" s="41"/>
      <c r="O50" s="41"/>
      <c r="P50" s="12"/>
    </row>
    <row r="51" spans="2:16">
      <c r="B51" s="12"/>
      <c r="C51" s="90" t="s">
        <v>1314</v>
      </c>
      <c r="D51" s="90"/>
      <c r="E51" s="197">
        <v>0.7</v>
      </c>
      <c r="F51" s="197">
        <f>E51*F$48</f>
        <v>0.7</v>
      </c>
      <c r="G51" s="515"/>
      <c r="H51" s="69">
        <f>IF(J51="ja",10,6)</f>
        <v>6</v>
      </c>
      <c r="I51" s="208" t="s">
        <v>396</v>
      </c>
      <c r="J51" s="201"/>
      <c r="K51" s="22" t="s">
        <v>1310</v>
      </c>
      <c r="L51" s="90" t="s">
        <v>1315</v>
      </c>
      <c r="M51" s="12"/>
      <c r="N51" s="41"/>
      <c r="O51" s="41"/>
      <c r="P51" s="12"/>
    </row>
    <row r="52" spans="2:16">
      <c r="B52" s="12"/>
      <c r="C52" s="90" t="s">
        <v>1316</v>
      </c>
      <c r="D52" s="90"/>
      <c r="E52" s="197">
        <v>0.10000000000000009</v>
      </c>
      <c r="F52" s="197">
        <f>E52*F$48</f>
        <v>0.10000000000000009</v>
      </c>
      <c r="G52" s="515"/>
      <c r="H52" s="69">
        <f>IF(J52="ja",10,6)</f>
        <v>6</v>
      </c>
      <c r="I52" s="208" t="s">
        <v>396</v>
      </c>
      <c r="J52" s="201"/>
      <c r="K52" s="22" t="s">
        <v>1310</v>
      </c>
      <c r="L52" s="90" t="s">
        <v>1317</v>
      </c>
      <c r="M52" s="12"/>
      <c r="N52" s="41"/>
      <c r="O52" s="41"/>
      <c r="P52" s="12"/>
    </row>
    <row r="53" spans="2:16">
      <c r="B53" s="12"/>
      <c r="C53" s="12"/>
      <c r="D53" s="12"/>
      <c r="E53" s="517"/>
      <c r="F53" s="517"/>
      <c r="G53" s="515"/>
      <c r="H53" s="518"/>
      <c r="I53" s="12"/>
      <c r="J53" s="12"/>
      <c r="K53" s="41"/>
      <c r="L53" s="12"/>
      <c r="M53" s="12"/>
      <c r="N53" s="41"/>
      <c r="O53" s="41"/>
      <c r="P53" s="12"/>
    </row>
    <row r="54" spans="2:16" ht="26.25" customHeight="1">
      <c r="B54" s="522"/>
      <c r="C54" s="1777" t="s">
        <v>1318</v>
      </c>
      <c r="D54" s="1777"/>
      <c r="E54" s="1777"/>
      <c r="F54" s="1777"/>
      <c r="G54" s="1777"/>
      <c r="H54" s="1777"/>
      <c r="I54" s="1777"/>
      <c r="J54" s="1777"/>
      <c r="K54" s="1777"/>
      <c r="L54" s="1777"/>
      <c r="M54" s="12"/>
      <c r="N54" s="41"/>
      <c r="O54" s="41"/>
      <c r="P54" s="12"/>
    </row>
    <row r="55" spans="2:16">
      <c r="B55" s="141" t="str">
        <f>"© W/E adviseurs, Utrecht/Eindhoven, versie rekenhulpmiddelen "&amp;TEXT(Wijzigingsblad!$B$3,"d mmmm jjjj")</f>
        <v>© W/E adviseurs, Utrecht/Eindhoven, versie rekenhulpmiddelen 17 april 2024</v>
      </c>
      <c r="E55" s="724"/>
      <c r="F55" s="724"/>
      <c r="G55" s="725"/>
    </row>
  </sheetData>
  <sheetProtection sheet="1" objects="1" scenarios="1"/>
  <mergeCells count="9">
    <mergeCell ref="B3:D3"/>
    <mergeCell ref="C54:L54"/>
    <mergeCell ref="D6:F6"/>
    <mergeCell ref="D7:F7"/>
    <mergeCell ref="D8:F8"/>
    <mergeCell ref="D10:F10"/>
    <mergeCell ref="D9:F9"/>
    <mergeCell ref="D11:F11"/>
    <mergeCell ref="D12:F12"/>
  </mergeCells>
  <conditionalFormatting sqref="D11">
    <cfRule type="expression" dxfId="17" priority="3">
      <formula>OR(D11="",AND(D11&lt;&gt;"",ISERROR(MATCH(D11,Gebruiksfuncties_CPG,0))=TRUE))</formula>
    </cfRule>
  </conditionalFormatting>
  <dataValidations xWindow="418" yWindow="341" count="26">
    <dataValidation type="list" allowBlank="1" showInputMessage="1" showErrorMessage="1" sqref="D11" xr:uid="{195D7C22-CDF4-4A13-A5E4-491432ADECEE}">
      <formula1>Gebruiksfuncties_CPG</formula1>
    </dataValidation>
    <dataValidation type="list" allowBlank="1" showInputMessage="1" showErrorMessage="1" sqref="J49:J52" xr:uid="{47CDB56B-9B10-4C01-B324-6EEECDF4C0FC}">
      <formula1>"ja,nee"</formula1>
    </dataValidation>
    <dataValidation allowBlank="1" showInputMessage="1" showErrorMessage="1" promptTitle="Lange productlevensduur, item 3" prompt="De puntenscore van het item 2.1.8 Ontkoppeling lage Brandt overnemen." sqref="I38" xr:uid="{AE26770D-888F-4C3F-A71C-482D0DCB285C}"/>
    <dataValidation allowBlank="1" showInputMessage="1" showErrorMessage="1" promptTitle="Vasthouden water" prompt="De punten bij 5.3.2 Wateroverlast en droogte hier overnemen." sqref="I39" xr:uid="{9664D57D-BA5D-4C0F-9B7C-3C14992561E5}"/>
    <dataValidation allowBlank="1" showInputMessage="1" showErrorMessage="1" promptTitle="Herbruikbare verpakkingen" prompt="Ja, als op het tabblad Proceskwaliteit bij 4 Proceskwaliteit milieu het criterium 'herbruikbare verpakkingen voor bouw- en onderhoudsproducten' is aangevinkt." sqref="I49" xr:uid="{BC3F7F61-2647-4146-9D08-5F3961A7ECAE}"/>
    <dataValidation allowBlank="1" showInputMessage="1" showErrorMessage="1" promptTitle="Duurzaam onderhoudsplan" prompt="Ja, als op het tabblad Proceskwaliteit bij 4 Proceskwaliteit milieu het criterium 'duurzaam onderhoudsplan' is aangevinkt." sqref="I50" xr:uid="{03D0A9BB-FCF1-4D12-A5CE-3542C51E11E1}"/>
    <dataValidation allowBlank="1" showInputMessage="1" showErrorMessage="1" promptTitle="Sloopbestek meegeleverd" prompt="Ja, als op het tabblad Proceskwaliteit bij 4 Proceskwaliteit milieu het criterium 'sloopbestek meegeleverd bij oplevering' is aangevinkt." sqref="I51" xr:uid="{EC2C8B29-A8D4-4ED6-8223-60E853DB2E47}"/>
    <dataValidation allowBlank="1" showInputMessage="1" showErrorMessage="1" promptTitle="Zorgvuldige afvalscheiding" prompt="Ja, als op het tabblad Proceskwaliteit bij 4 Proceskwaliteit milieu het criterium 'zorgvuldige en vergaande afvalscheiding bij uitvoering' is aangevinkt." sqref="I52" xr:uid="{0391F143-D372-41D6-80E5-6757DEEA7122}"/>
    <dataValidation allowBlank="1" showInputMessage="1" showErrorMessage="1" promptTitle="Duurzaamheidsprestatie (DPG)" prompt="De in te vullen waarde is te vinden door op het loepje te klikken onder Energie&amp;Milieu bij Resultaten / Themascores. Het gaat om de bovenste van de 5 scores. Bij bedrijfsgebouwen de resultaten van subthema 1.1 en 2.1 optellen en overnemen. " sqref="I31" xr:uid="{8C9EB8D8-5C33-4241-845D-A1B64849EE4F}"/>
    <dataValidation allowBlank="1" showInputMessage="1" showErrorMessage="1" promptTitle="Grijs of hemelwater" prompt="De punten bij 2.2.6, 2.2.7 of 2.2.8 Circulair watergebruik bij elkaar optellen en hier invullen." sqref="I27" xr:uid="{07979CC1-01BF-4A3F-8288-0D6E1EAF0D49}"/>
    <dataValidation allowBlank="1" showInputMessage="1" showErrorMessage="1" promptTitle="Hernieuwbare energie" prompt="De BENG3-indicator is de totale hoeveelheid duurzaam opgewekte primaire energie t.o.v. het totale primaire energiegebruik (NTA8800)." sqref="I26" xr:uid="{5DC5D9AC-E250-4FBA-BE5D-3353FF943EB3}"/>
    <dataValidation allowBlank="1" showInputMessage="1" showErrorMessage="1" promptTitle="Biobased producten, item 2" prompt="Er is alleen sprake van hernieuwbaarheid als de grondstoffen duurzaamd geteeld worden. Betreft het hout, dan betekent een score ≤ 0 bij 2.1.5 altijd een score van 4.5 bij strategie 2.1." sqref="I25" xr:uid="{CBD6ECAF-7FF7-4AC7-8A74-2D968425AF2C}"/>
    <dataValidation allowBlank="1" showInputMessage="1" showErrorMessage="1" promptTitle="Secundaire grondstoffen" prompt="Bepaal het percentage door een herberkening met het GPR hulpmiddel 'Circulaire materialen', waarbij alleen de producten met de optie 'secundair, extra' zijn ingevuld." sqref="I20" xr:uid="{ED8F2E02-4019-412A-917C-69EA0C228485}"/>
    <dataValidation allowBlank="1" showInputMessage="1" showErrorMessage="1" promptTitle="Hergebruik producten" prompt="De puntenscore van het item 2.1.3 Hergebruik producten overnemen." sqref="I19" xr:uid="{59E2A8A7-1628-4046-94C1-E0157FB6D7D0}"/>
    <dataValidation allowBlank="1" showInputMessage="1" showErrorMessage="1" promptTitle="Behoud aanwezige gebouwelementen" prompt="Als er sprake is van handhaven van reeds bestaande elementen dan is dat in GPR Gebouw bij 2.1 Materialen onder 2.1.10 te waarderen (Extra maatregelen). Deze punten hier overnemen." sqref="I18" xr:uid="{D86070DC-9501-4A2F-BA1C-3A1C65469CC9}"/>
    <dataValidation type="decimal" operator="greaterThanOrEqual" allowBlank="1" showInputMessage="1" showErrorMessage="1" sqref="J18:J20 J43:J45 J26:J27 J24 J36:J39" xr:uid="{88668883-BF0A-4F8B-B97F-F54724AB5FEB}">
      <formula1>0</formula1>
    </dataValidation>
    <dataValidation type="whole" operator="greaterThanOrEqual" allowBlank="1" showInputMessage="1" showErrorMessage="1" sqref="J25" xr:uid="{741A324F-E553-490D-92E1-E3963AF7E188}">
      <formula1>-30</formula1>
    </dataValidation>
    <dataValidation allowBlank="1" showInputMessage="1" showErrorMessage="1" promptTitle="Hergebruik en recycling, item 3" prompt="De puntenscore van het item 2.1.9 Hergebruikspotentie overnemen." sqref="I45" xr:uid="{4426BCEE-36C9-49FB-951A-7F76050B55C7}"/>
    <dataValidation allowBlank="1" showInputMessage="1" showErrorMessage="1" promptTitle="Biobased producten, item 1" prompt="Bepaal het percentage door herberkening met het GPR hulpmiddel 'Circulaire materialen', waarbij alleen de producten met de opties 'biobased CO2-opslag' en 'bioboased, overig' zijn ingevuld. Bij een percentage &lt;1% is de score bij strategie 2.1 altijd 4,5." sqref="I24" xr:uid="{F65AE0BF-94AE-4ACF-8F46-4061D14125FB}"/>
    <dataValidation allowBlank="1" showInputMessage="1" showErrorMessage="1" promptTitle="Lange gebouwlevensduur" prompt="De puntenscore van het item 2.1.7 Lange gebouwlevensduur overnemen." sqref="I35" xr:uid="{BFE7980C-72A2-4271-9468-5A82D323B31C}"/>
    <dataValidation allowBlank="1" showInputMessage="1" showErrorMessage="1" promptTitle="Lange productlevensduur, item 1" prompt="De puntenscore van het item 2.1.6 Robuuste uitvoering overnemen." sqref="I36" xr:uid="{90AE1AE7-81BC-4933-A698-E7F3930F5E50}"/>
    <dataValidation allowBlank="1" showInputMessage="1" showErrorMessage="1" promptTitle="Lange productlevvensduur, item 2" prompt="De puntenscore van het item 2.1.6 Eenvoudig aanpasbare elementen overnemen." sqref="I37" xr:uid="{D21C33B1-1BCD-4AEE-A708-22E6CFD1A509}"/>
    <dataValidation allowBlank="1" showInputMessage="1" showErrorMessage="1" promptTitle="Hergebruik en recycling, item 2" prompt="De puntenscore van het item 2.1.8 Ontkoppeling lage Brandt overnemen." sqref="I44" xr:uid="{51A24A79-B906-4BB1-8707-130CC8D317AB}"/>
    <dataValidation allowBlank="1" showInputMessage="1" showErrorMessage="1" promptTitle="Hergebruik en recycling, item 1" prompt="De puntenscore van het item 2.1.6 Eenvoudig aanpasbare elementen overnemen." sqref="I43" xr:uid="{AFF077F2-54AD-4C59-B69C-D45393E37944}"/>
    <dataValidation type="decimal" operator="greaterThanOrEqual" allowBlank="1" showInputMessage="1" showErrorMessage="1" sqref="J35" xr:uid="{774E8DC7-9985-4993-B451-562CD295D4FC}">
      <formula1>-1000</formula1>
    </dataValidation>
    <dataValidation type="list" allowBlank="1" showInputMessage="1" showErrorMessage="1" sqref="D12" xr:uid="{F26CF07E-F577-4E3B-A130-EE00B51C1D49}">
      <formula1>GPR_scope</formula1>
    </dataValidation>
  </dataValidations>
  <hyperlinks>
    <hyperlink ref="A1" location="'Overzicht GPR Hulpmiddelen'!A1" tooltip="naar startscherm" display="&lt;" xr:uid="{072B4A6B-BD0B-4DFD-AA2A-5C3A62DFF2FC}"/>
  </hyperlinks>
  <pageMargins left="0.7" right="0.7" top="0.75" bottom="0.75" header="0.3" footer="0.3"/>
  <pageSetup paperSize="9" scale="44" orientation="landscape" horizontalDpi="4294967295" verticalDpi="4294967295" r:id="rId1"/>
  <drawing r:id="rId2"/>
  <extLst>
    <ext xmlns:x14="http://schemas.microsoft.com/office/spreadsheetml/2009/9/main" uri="{78C0D931-6437-407d-A8EE-F0AAD7539E65}">
      <x14:conditionalFormattings>
        <x14:conditionalFormatting xmlns:xm="http://schemas.microsoft.com/office/excel/2006/main">
          <x14:cfRule type="expression" priority="143" id="{41EF2972-0002-4493-8D5C-EA3818584D51}">
            <xm:f>$D$11&lt;&gt;tabellen!$N$66</xm:f>
            <x14:dxf>
              <font>
                <color rgb="FFE4E9F4"/>
              </font>
              <fill>
                <patternFill>
                  <bgColor rgb="FFE4E9F4"/>
                </patternFill>
              </fill>
              <border>
                <bottom/>
              </border>
            </x14:dxf>
          </x14:cfRule>
          <xm:sqref>J32:L32</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17350-7466-4D0F-A8DE-51DEAA8B80CC}">
  <sheetPr codeName="Blad111">
    <tabColor theme="0"/>
  </sheetPr>
  <dimension ref="A1:CO322"/>
  <sheetViews>
    <sheetView zoomScale="85" zoomScaleNormal="85" workbookViewId="0">
      <selection sqref="A1:XFD1048576"/>
    </sheetView>
  </sheetViews>
  <sheetFormatPr defaultColWidth="20.7265625" defaultRowHeight="17.5"/>
  <cols>
    <col min="1" max="1" width="10.7265625" style="18" customWidth="1"/>
    <col min="2" max="2" width="11" style="9" bestFit="1" customWidth="1"/>
    <col min="3" max="3" width="56.1796875" style="2" customWidth="1"/>
    <col min="4" max="4" width="1.453125" style="2" customWidth="1"/>
    <col min="5" max="5" width="20.7265625" style="2" customWidth="1"/>
    <col min="6" max="6" width="56.453125" style="2" customWidth="1"/>
    <col min="7" max="7" width="14.453125" style="2" bestFit="1" customWidth="1"/>
    <col min="8" max="8" width="17.26953125" style="2" bestFit="1" customWidth="1"/>
    <col min="9" max="9" width="24" style="2" bestFit="1" customWidth="1"/>
    <col min="10" max="10" width="18.453125" style="2" bestFit="1" customWidth="1"/>
    <col min="11" max="11" width="16.81640625" style="18" bestFit="1" customWidth="1"/>
    <col min="12" max="12" width="18.7265625" style="2" bestFit="1" customWidth="1"/>
    <col min="13" max="13" width="15" style="2" bestFit="1" customWidth="1"/>
    <col min="14" max="19" width="20.7265625" style="2" customWidth="1"/>
    <col min="20" max="16384" width="20.7265625" style="2"/>
  </cols>
  <sheetData>
    <row r="1" spans="1:16" s="18" customFormat="1" ht="32.5">
      <c r="A1" s="176" t="s">
        <v>12</v>
      </c>
      <c r="B1" s="174"/>
      <c r="C1" s="175"/>
      <c r="D1" s="31"/>
      <c r="E1" s="31"/>
      <c r="F1" s="31"/>
      <c r="G1" s="31"/>
      <c r="H1" s="31"/>
      <c r="I1" s="21"/>
      <c r="J1" s="21"/>
      <c r="M1" s="21"/>
      <c r="N1" s="21"/>
    </row>
    <row r="2" spans="1:16" s="178" customFormat="1" ht="21">
      <c r="A2" s="33"/>
      <c r="B2" s="33" t="s">
        <v>78</v>
      </c>
      <c r="C2" s="33"/>
      <c r="D2" s="33"/>
      <c r="E2" s="216"/>
      <c r="F2" s="217"/>
      <c r="G2" s="217"/>
      <c r="H2" s="217"/>
      <c r="I2" s="33"/>
      <c r="J2" s="33"/>
      <c r="K2" s="33"/>
      <c r="L2" s="33"/>
      <c r="M2" s="33"/>
      <c r="N2" s="33"/>
      <c r="O2" s="33"/>
      <c r="P2" s="33"/>
    </row>
    <row r="3" spans="1:16" s="18" customFormat="1">
      <c r="C3" s="1687">
        <v>44414</v>
      </c>
      <c r="D3" s="1688"/>
      <c r="F3" s="1738"/>
      <c r="G3" s="1713"/>
    </row>
    <row r="4" spans="1:16">
      <c r="A4" s="179"/>
      <c r="B4" s="88">
        <f ca="1">MAX(tabellen!$B$1:OFFSET(B4,-1,0))+1</f>
        <v>1</v>
      </c>
      <c r="C4" s="89" t="s">
        <v>79</v>
      </c>
      <c r="D4" s="89"/>
      <c r="E4" s="89">
        <f ca="1">OFFSET(E4,0,-1)+1</f>
        <v>1</v>
      </c>
      <c r="F4" s="89">
        <f ca="1">OFFSET(F4,0,-1)+1</f>
        <v>2</v>
      </c>
      <c r="G4" s="89"/>
      <c r="H4" s="89"/>
      <c r="I4" s="18"/>
      <c r="J4" s="18"/>
      <c r="L4" s="18"/>
      <c r="M4" s="703"/>
      <c r="N4" s="703"/>
      <c r="O4" s="703"/>
      <c r="P4" s="703"/>
    </row>
    <row r="5" spans="1:16">
      <c r="A5" s="871" t="s">
        <v>1366</v>
      </c>
      <c r="B5" s="21"/>
      <c r="C5" s="269" t="s">
        <v>80</v>
      </c>
      <c r="D5" s="64"/>
      <c r="E5" s="234" t="s">
        <v>81</v>
      </c>
      <c r="F5" s="234" t="s">
        <v>82</v>
      </c>
      <c r="G5" s="64"/>
      <c r="H5" s="64"/>
      <c r="I5" s="18"/>
      <c r="J5" s="18"/>
      <c r="L5" s="18"/>
      <c r="M5" s="703"/>
      <c r="N5" s="703"/>
      <c r="O5" s="703"/>
      <c r="P5" s="703"/>
    </row>
    <row r="6" spans="1:16" s="8" customFormat="1">
      <c r="A6" s="871" t="s">
        <v>1367</v>
      </c>
      <c r="B6" s="21"/>
      <c r="C6" s="305"/>
      <c r="D6" s="23"/>
      <c r="E6" s="760"/>
      <c r="F6" s="760"/>
      <c r="G6" s="23"/>
      <c r="H6" s="23"/>
      <c r="I6" s="18"/>
      <c r="J6" s="18"/>
      <c r="K6" s="18"/>
      <c r="L6" s="18"/>
    </row>
    <row r="7" spans="1:16">
      <c r="A7" s="871" t="s">
        <v>1368</v>
      </c>
      <c r="B7" s="21"/>
      <c r="C7" s="758" t="s">
        <v>83</v>
      </c>
      <c r="D7" s="92"/>
      <c r="E7" s="785">
        <v>1</v>
      </c>
      <c r="F7" s="761" t="s">
        <v>84</v>
      </c>
      <c r="G7" s="23"/>
      <c r="H7" s="23"/>
      <c r="I7" s="18"/>
      <c r="J7" s="18"/>
      <c r="L7" s="18"/>
      <c r="M7" s="703"/>
      <c r="N7" s="703"/>
      <c r="O7" s="703"/>
      <c r="P7" s="703"/>
    </row>
    <row r="8" spans="1:16">
      <c r="B8" s="21"/>
      <c r="C8" s="758" t="s">
        <v>85</v>
      </c>
      <c r="D8" s="92"/>
      <c r="E8" s="785">
        <v>0.8</v>
      </c>
      <c r="F8" s="761" t="s">
        <v>86</v>
      </c>
      <c r="G8" s="23"/>
      <c r="H8" s="23"/>
      <c r="I8" s="18"/>
      <c r="J8" s="18"/>
      <c r="L8" s="18"/>
      <c r="M8" s="703"/>
      <c r="N8" s="703"/>
      <c r="O8" s="703"/>
      <c r="P8" s="703"/>
    </row>
    <row r="9" spans="1:16">
      <c r="B9" s="21"/>
      <c r="C9" s="758" t="s">
        <v>87</v>
      </c>
      <c r="D9" s="92"/>
      <c r="E9" s="785">
        <v>0.6</v>
      </c>
      <c r="F9" s="761" t="s">
        <v>88</v>
      </c>
      <c r="G9" s="23"/>
      <c r="H9" s="23"/>
      <c r="I9" s="18"/>
      <c r="J9" s="18"/>
      <c r="L9" s="18"/>
      <c r="M9" s="703"/>
      <c r="N9" s="703"/>
      <c r="O9" s="703"/>
      <c r="P9" s="703"/>
    </row>
    <row r="10" spans="1:16">
      <c r="B10" s="21"/>
      <c r="C10" s="758" t="s">
        <v>89</v>
      </c>
      <c r="D10" s="92"/>
      <c r="E10" s="785">
        <v>0.2</v>
      </c>
      <c r="F10" s="761" t="s">
        <v>90</v>
      </c>
      <c r="G10" s="23"/>
      <c r="H10" s="23"/>
      <c r="I10" s="18"/>
      <c r="J10" s="18"/>
      <c r="L10" s="18"/>
      <c r="M10" s="703"/>
      <c r="N10" s="703"/>
      <c r="O10" s="703"/>
      <c r="P10" s="703"/>
    </row>
    <row r="11" spans="1:16" ht="32">
      <c r="B11" s="21"/>
      <c r="C11" s="758" t="s">
        <v>91</v>
      </c>
      <c r="D11" s="92"/>
      <c r="E11" s="785">
        <v>0.1</v>
      </c>
      <c r="F11" s="761" t="s">
        <v>92</v>
      </c>
      <c r="G11" s="23"/>
      <c r="H11" s="23"/>
      <c r="I11" s="18"/>
      <c r="J11" s="18"/>
      <c r="L11" s="18"/>
      <c r="M11" s="703"/>
      <c r="N11" s="703"/>
      <c r="O11" s="703"/>
      <c r="P11" s="703"/>
    </row>
    <row r="12" spans="1:16" s="8" customFormat="1">
      <c r="A12" s="18"/>
      <c r="B12" s="21"/>
      <c r="C12" s="306"/>
      <c r="D12" s="23"/>
      <c r="E12" s="762"/>
      <c r="F12" s="762"/>
      <c r="G12" s="23"/>
      <c r="H12" s="23"/>
      <c r="I12" s="18"/>
      <c r="J12" s="18"/>
      <c r="K12" s="18"/>
      <c r="L12" s="18"/>
    </row>
    <row r="13" spans="1:16">
      <c r="B13" s="21"/>
      <c r="C13" s="18"/>
      <c r="D13" s="18"/>
      <c r="E13" s="18"/>
      <c r="F13" s="18"/>
      <c r="G13" s="18"/>
      <c r="H13" s="18"/>
      <c r="I13" s="18"/>
      <c r="J13" s="18"/>
      <c r="L13" s="18"/>
      <c r="M13" s="703"/>
      <c r="N13" s="703"/>
      <c r="O13" s="703"/>
      <c r="P13" s="703"/>
    </row>
    <row r="14" spans="1:16">
      <c r="B14" s="88">
        <f ca="1">MAX(tabellen!$B$1:OFFSET(B14,-1,0))+1</f>
        <v>2</v>
      </c>
      <c r="C14" s="89" t="s">
        <v>93</v>
      </c>
      <c r="D14" s="89"/>
      <c r="E14" s="89">
        <f ca="1">OFFSET(E14,0,-1)+1</f>
        <v>1</v>
      </c>
      <c r="F14" s="89">
        <f ca="1">OFFSET(F14,0,-1)+1</f>
        <v>2</v>
      </c>
      <c r="G14" s="89"/>
      <c r="H14" s="89"/>
      <c r="I14" s="18"/>
      <c r="J14" s="18"/>
      <c r="L14" s="18"/>
      <c r="M14" s="703"/>
      <c r="N14" s="703"/>
      <c r="O14" s="703"/>
      <c r="P14" s="703"/>
    </row>
    <row r="15" spans="1:16">
      <c r="A15" s="871" t="s">
        <v>1366</v>
      </c>
      <c r="B15" s="21"/>
      <c r="C15" s="269" t="s">
        <v>80</v>
      </c>
      <c r="D15" s="64"/>
      <c r="E15" s="234" t="s">
        <v>81</v>
      </c>
      <c r="F15" s="234" t="s">
        <v>82</v>
      </c>
      <c r="G15" s="64"/>
      <c r="H15" s="64"/>
      <c r="I15" s="18"/>
      <c r="J15" s="18"/>
      <c r="L15" s="18"/>
      <c r="M15" s="703"/>
      <c r="N15" s="703"/>
      <c r="O15" s="703"/>
      <c r="P15" s="703"/>
    </row>
    <row r="16" spans="1:16" s="8" customFormat="1">
      <c r="A16" s="871" t="s">
        <v>1367</v>
      </c>
      <c r="B16" s="21"/>
      <c r="C16" s="305"/>
      <c r="D16" s="23"/>
      <c r="E16" s="760"/>
      <c r="F16" s="760"/>
      <c r="G16" s="23"/>
      <c r="H16" s="23"/>
      <c r="I16" s="18"/>
      <c r="J16" s="18"/>
      <c r="K16" s="18"/>
    </row>
    <row r="17" spans="1:11">
      <c r="A17" s="871" t="s">
        <v>1368</v>
      </c>
      <c r="B17" s="21"/>
      <c r="C17" s="758" t="s">
        <v>94</v>
      </c>
      <c r="D17" s="92"/>
      <c r="E17" s="785">
        <v>1</v>
      </c>
      <c r="F17" s="761" t="s">
        <v>95</v>
      </c>
      <c r="G17" s="23"/>
      <c r="H17" s="23"/>
      <c r="I17" s="18"/>
      <c r="J17" s="703"/>
    </row>
    <row r="18" spans="1:11" ht="32">
      <c r="B18" s="21"/>
      <c r="C18" s="758" t="s">
        <v>96</v>
      </c>
      <c r="D18" s="92"/>
      <c r="E18" s="785">
        <v>0.8</v>
      </c>
      <c r="F18" s="761" t="s">
        <v>97</v>
      </c>
      <c r="G18" s="23"/>
      <c r="H18" s="23"/>
      <c r="I18" s="18"/>
      <c r="J18" s="703"/>
    </row>
    <row r="19" spans="1:11" ht="32">
      <c r="B19" s="21"/>
      <c r="C19" s="758" t="s">
        <v>98</v>
      </c>
      <c r="D19" s="92"/>
      <c r="E19" s="785">
        <v>0.6</v>
      </c>
      <c r="F19" s="761" t="s">
        <v>99</v>
      </c>
      <c r="G19" s="23"/>
      <c r="H19" s="23"/>
      <c r="I19" s="18"/>
      <c r="J19" s="703"/>
    </row>
    <row r="20" spans="1:11" ht="32">
      <c r="B20" s="21"/>
      <c r="C20" s="759" t="s">
        <v>100</v>
      </c>
      <c r="D20" s="92"/>
      <c r="E20" s="785">
        <v>0.4</v>
      </c>
      <c r="F20" s="761" t="s">
        <v>101</v>
      </c>
      <c r="G20" s="23"/>
      <c r="H20" s="23"/>
      <c r="I20" s="18"/>
      <c r="J20" s="18"/>
    </row>
    <row r="21" spans="1:11" ht="32">
      <c r="B21" s="21"/>
      <c r="C21" s="759" t="s">
        <v>102</v>
      </c>
      <c r="D21" s="92"/>
      <c r="E21" s="785">
        <v>0.1</v>
      </c>
      <c r="F21" s="761" t="s">
        <v>102</v>
      </c>
      <c r="G21" s="23"/>
      <c r="H21" s="23"/>
      <c r="I21" s="18"/>
      <c r="J21" s="18"/>
    </row>
    <row r="22" spans="1:11" s="8" customFormat="1">
      <c r="A22" s="18"/>
      <c r="B22" s="21"/>
      <c r="C22" s="306"/>
      <c r="D22" s="23"/>
      <c r="E22" s="762"/>
      <c r="F22" s="762"/>
      <c r="G22" s="23"/>
      <c r="H22" s="23"/>
      <c r="I22" s="18"/>
      <c r="J22" s="18"/>
      <c r="K22" s="18"/>
    </row>
    <row r="23" spans="1:11">
      <c r="B23" s="21"/>
      <c r="C23" s="18"/>
      <c r="D23" s="18"/>
      <c r="E23" s="18"/>
      <c r="F23" s="18"/>
      <c r="G23" s="18"/>
      <c r="H23" s="18"/>
      <c r="I23" s="18"/>
      <c r="J23" s="18"/>
    </row>
    <row r="24" spans="1:11">
      <c r="B24" s="88">
        <f ca="1">MAX(tabellen!$B$1:OFFSET(B24,-1,0))+1</f>
        <v>3</v>
      </c>
      <c r="C24" s="89" t="s">
        <v>103</v>
      </c>
      <c r="D24" s="89"/>
      <c r="E24" s="89">
        <f ca="1">OFFSET(E24,0,-1)+1</f>
        <v>1</v>
      </c>
      <c r="F24" s="89">
        <f ca="1">OFFSET(F24,0,-1)+1</f>
        <v>2</v>
      </c>
      <c r="G24" s="89"/>
      <c r="H24" s="89"/>
      <c r="I24" s="18"/>
      <c r="J24" s="18"/>
    </row>
    <row r="25" spans="1:11">
      <c r="A25" s="871" t="s">
        <v>1366</v>
      </c>
      <c r="B25" s="21"/>
      <c r="C25" s="269" t="s">
        <v>80</v>
      </c>
      <c r="D25" s="64"/>
      <c r="E25" s="234" t="s">
        <v>81</v>
      </c>
      <c r="F25" s="234" t="s">
        <v>82</v>
      </c>
      <c r="G25" s="64"/>
      <c r="H25" s="64"/>
      <c r="I25" s="18"/>
      <c r="J25" s="18"/>
    </row>
    <row r="26" spans="1:11" s="8" customFormat="1">
      <c r="A26" s="871" t="s">
        <v>1367</v>
      </c>
      <c r="B26" s="21"/>
      <c r="C26" s="305"/>
      <c r="D26" s="23"/>
      <c r="E26" s="760"/>
      <c r="F26" s="760"/>
      <c r="G26" s="23"/>
      <c r="H26" s="23"/>
      <c r="I26" s="18"/>
      <c r="J26" s="18"/>
      <c r="K26" s="18"/>
    </row>
    <row r="27" spans="1:11">
      <c r="A27" s="871" t="s">
        <v>1368</v>
      </c>
      <c r="B27" s="21"/>
      <c r="C27" s="758" t="s">
        <v>104</v>
      </c>
      <c r="D27" s="92"/>
      <c r="E27" s="785">
        <v>1</v>
      </c>
      <c r="F27" s="761" t="s">
        <v>105</v>
      </c>
      <c r="G27" s="23"/>
      <c r="H27" s="23"/>
      <c r="I27" s="18"/>
      <c r="J27" s="18"/>
    </row>
    <row r="28" spans="1:11">
      <c r="B28" s="21"/>
      <c r="C28" s="758" t="s">
        <v>106</v>
      </c>
      <c r="D28" s="92"/>
      <c r="E28" s="785">
        <v>0.4</v>
      </c>
      <c r="F28" s="761" t="s">
        <v>107</v>
      </c>
      <c r="G28" s="23"/>
      <c r="H28" s="23"/>
      <c r="I28" s="18"/>
      <c r="J28" s="18"/>
    </row>
    <row r="29" spans="1:11">
      <c r="B29" s="21"/>
      <c r="C29" s="758" t="s">
        <v>108</v>
      </c>
      <c r="D29" s="92"/>
      <c r="E29" s="785">
        <v>0.1</v>
      </c>
      <c r="F29" s="761" t="s">
        <v>109</v>
      </c>
      <c r="G29" s="23"/>
      <c r="H29" s="23"/>
      <c r="I29" s="18"/>
      <c r="J29" s="18"/>
    </row>
    <row r="30" spans="1:11" s="8" customFormat="1">
      <c r="A30" s="18"/>
      <c r="B30" s="21"/>
      <c r="C30" s="306"/>
      <c r="D30" s="23"/>
      <c r="E30" s="762"/>
      <c r="F30" s="762"/>
      <c r="G30" s="23"/>
      <c r="H30" s="23"/>
      <c r="I30" s="18"/>
      <c r="J30" s="18"/>
      <c r="K30" s="18"/>
    </row>
    <row r="31" spans="1:11">
      <c r="B31" s="21"/>
      <c r="C31" s="18"/>
      <c r="D31" s="18"/>
      <c r="E31" s="18"/>
      <c r="F31" s="18"/>
      <c r="G31" s="18"/>
      <c r="H31" s="18"/>
      <c r="I31" s="18"/>
      <c r="J31" s="18"/>
    </row>
    <row r="32" spans="1:11">
      <c r="B32" s="88">
        <f ca="1">MAX(tabellen!$B$1:OFFSET(B32,-1,0))+1</f>
        <v>4</v>
      </c>
      <c r="C32" s="89" t="s">
        <v>110</v>
      </c>
      <c r="D32" s="89"/>
      <c r="E32" s="89">
        <f ca="1">OFFSET(E32,0,-1)+1</f>
        <v>1</v>
      </c>
      <c r="F32" s="89">
        <f ca="1">OFFSET(F32,0,-1)+1</f>
        <v>2</v>
      </c>
      <c r="G32" s="89"/>
      <c r="H32" s="89"/>
      <c r="I32" s="18"/>
      <c r="J32" s="18"/>
    </row>
    <row r="33" spans="1:11">
      <c r="A33" s="871" t="s">
        <v>1366</v>
      </c>
      <c r="B33" s="21"/>
      <c r="C33" s="269" t="s">
        <v>80</v>
      </c>
      <c r="D33" s="64"/>
      <c r="E33" s="234" t="s">
        <v>81</v>
      </c>
      <c r="F33" s="234" t="s">
        <v>82</v>
      </c>
      <c r="G33" s="64"/>
      <c r="H33" s="64"/>
      <c r="I33" s="18"/>
      <c r="J33" s="18"/>
    </row>
    <row r="34" spans="1:11" s="8" customFormat="1">
      <c r="A34" s="871" t="s">
        <v>1367</v>
      </c>
      <c r="B34" s="21"/>
      <c r="C34" s="305"/>
      <c r="D34" s="23"/>
      <c r="E34" s="760"/>
      <c r="F34" s="760"/>
      <c r="G34" s="23"/>
      <c r="H34" s="23"/>
      <c r="I34" s="18"/>
      <c r="J34" s="18"/>
      <c r="K34" s="18"/>
    </row>
    <row r="35" spans="1:11" ht="32">
      <c r="A35" s="871" t="s">
        <v>1368</v>
      </c>
      <c r="B35" s="21"/>
      <c r="C35" s="758" t="s">
        <v>111</v>
      </c>
      <c r="D35" s="92"/>
      <c r="E35" s="785">
        <v>1</v>
      </c>
      <c r="F35" s="761" t="s">
        <v>112</v>
      </c>
      <c r="G35" s="23"/>
      <c r="H35" s="23"/>
      <c r="I35" s="18"/>
      <c r="J35" s="18"/>
    </row>
    <row r="36" spans="1:11" ht="32">
      <c r="B36" s="21"/>
      <c r="C36" s="758" t="s">
        <v>113</v>
      </c>
      <c r="D36" s="92"/>
      <c r="E36" s="785">
        <v>0.4</v>
      </c>
      <c r="F36" s="761" t="s">
        <v>114</v>
      </c>
      <c r="G36" s="23"/>
      <c r="H36" s="23"/>
      <c r="I36" s="18"/>
      <c r="J36" s="18"/>
    </row>
    <row r="37" spans="1:11" ht="32">
      <c r="B37" s="21"/>
      <c r="C37" s="758" t="s">
        <v>115</v>
      </c>
      <c r="D37" s="92"/>
      <c r="E37" s="785">
        <v>0.1</v>
      </c>
      <c r="F37" s="761" t="s">
        <v>116</v>
      </c>
      <c r="G37" s="23"/>
      <c r="H37" s="23"/>
      <c r="I37" s="18"/>
      <c r="J37" s="18"/>
    </row>
    <row r="38" spans="1:11" s="8" customFormat="1">
      <c r="A38" s="18"/>
      <c r="B38" s="21"/>
      <c r="C38" s="306"/>
      <c r="D38" s="23"/>
      <c r="E38" s="762"/>
      <c r="F38" s="762"/>
      <c r="G38" s="23"/>
      <c r="H38" s="23"/>
      <c r="I38" s="18"/>
      <c r="J38" s="18"/>
      <c r="K38" s="18"/>
    </row>
    <row r="39" spans="1:11">
      <c r="B39" s="21"/>
      <c r="C39" s="18"/>
      <c r="D39" s="18"/>
      <c r="E39" s="18"/>
      <c r="F39" s="18"/>
      <c r="G39" s="18"/>
      <c r="H39" s="18"/>
      <c r="I39" s="18"/>
      <c r="J39" s="18"/>
    </row>
    <row r="40" spans="1:11">
      <c r="B40" s="88">
        <f ca="1">MAX(tabellen!$B$1:OFFSET(B40,-1,0))+1</f>
        <v>5</v>
      </c>
      <c r="C40" s="89" t="s">
        <v>117</v>
      </c>
      <c r="D40" s="89"/>
      <c r="E40" s="89">
        <f ca="1">OFFSET(E40,0,-1)+1</f>
        <v>1</v>
      </c>
      <c r="F40" s="89">
        <f ca="1">OFFSET(F40,0,-1)+1</f>
        <v>2</v>
      </c>
      <c r="G40" s="89"/>
      <c r="H40" s="89"/>
      <c r="I40" s="18"/>
      <c r="J40" s="18"/>
    </row>
    <row r="41" spans="1:11">
      <c r="A41" s="871" t="s">
        <v>1366</v>
      </c>
      <c r="B41" s="21"/>
      <c r="C41" s="3" t="s">
        <v>80</v>
      </c>
      <c r="D41" s="4"/>
      <c r="E41" s="7" t="s">
        <v>81</v>
      </c>
      <c r="F41" s="7" t="s">
        <v>82</v>
      </c>
      <c r="G41" s="7"/>
      <c r="H41" s="7"/>
      <c r="I41" s="18"/>
      <c r="J41" s="18"/>
    </row>
    <row r="42" spans="1:11" s="8" customFormat="1">
      <c r="A42" s="871" t="s">
        <v>1367</v>
      </c>
      <c r="B42" s="21"/>
      <c r="C42" s="305"/>
      <c r="D42" s="23"/>
      <c r="E42" s="760"/>
      <c r="F42" s="760"/>
      <c r="G42" s="23"/>
      <c r="H42" s="23"/>
      <c r="I42" s="18"/>
      <c r="J42" s="18"/>
      <c r="K42" s="18"/>
    </row>
    <row r="43" spans="1:11">
      <c r="A43" s="871" t="s">
        <v>1368</v>
      </c>
      <c r="B43" s="21"/>
      <c r="C43" s="758" t="s">
        <v>118</v>
      </c>
      <c r="D43" s="92"/>
      <c r="E43" s="785">
        <v>1</v>
      </c>
      <c r="F43" s="761" t="s">
        <v>119</v>
      </c>
      <c r="G43" s="23"/>
      <c r="H43" s="23"/>
      <c r="I43" s="18"/>
      <c r="J43" s="18"/>
    </row>
    <row r="44" spans="1:11">
      <c r="B44" s="21"/>
      <c r="C44" s="758" t="s">
        <v>120</v>
      </c>
      <c r="D44" s="92"/>
      <c r="E44" s="785">
        <v>0.5</v>
      </c>
      <c r="F44" s="761" t="s">
        <v>121</v>
      </c>
      <c r="G44" s="23"/>
      <c r="H44" s="23"/>
      <c r="I44" s="18"/>
      <c r="J44" s="18"/>
    </row>
    <row r="45" spans="1:11">
      <c r="B45" s="21"/>
      <c r="C45" s="758" t="s">
        <v>122</v>
      </c>
      <c r="D45" s="92"/>
      <c r="E45" s="785">
        <v>0</v>
      </c>
      <c r="F45" s="761" t="s">
        <v>123</v>
      </c>
      <c r="G45" s="23"/>
      <c r="H45" s="23"/>
      <c r="I45" s="18"/>
      <c r="J45" s="18"/>
    </row>
    <row r="46" spans="1:11" s="8" customFormat="1">
      <c r="A46" s="18"/>
      <c r="B46" s="21"/>
      <c r="C46" s="306"/>
      <c r="D46" s="23"/>
      <c r="E46" s="762"/>
      <c r="F46" s="762"/>
      <c r="G46" s="23"/>
      <c r="H46" s="23"/>
      <c r="I46" s="18"/>
      <c r="J46" s="18"/>
      <c r="K46" s="18"/>
    </row>
    <row r="47" spans="1:11">
      <c r="B47" s="21"/>
      <c r="C47" s="18"/>
      <c r="D47" s="18"/>
      <c r="E47" s="18"/>
      <c r="F47" s="18"/>
      <c r="G47" s="18"/>
      <c r="H47" s="18"/>
      <c r="I47" s="18"/>
      <c r="J47" s="18"/>
    </row>
    <row r="48" spans="1:11">
      <c r="B48" s="88">
        <f ca="1">MAX(tabellen!$B$1:OFFSET(B48,-1,0))+1</f>
        <v>6</v>
      </c>
      <c r="C48" s="89" t="s">
        <v>124</v>
      </c>
      <c r="D48" s="89"/>
      <c r="E48" s="89">
        <f ca="1">OFFSET(E48,0,-1)+1</f>
        <v>1</v>
      </c>
      <c r="F48" s="89">
        <f ca="1">OFFSET(F48,0,-1)+1</f>
        <v>2</v>
      </c>
      <c r="G48" s="89"/>
      <c r="H48" s="89"/>
      <c r="I48" s="18"/>
      <c r="J48" s="18"/>
    </row>
    <row r="49" spans="1:11">
      <c r="A49" s="871" t="s">
        <v>1366</v>
      </c>
      <c r="B49" s="21"/>
      <c r="C49" s="269" t="s">
        <v>80</v>
      </c>
      <c r="D49" s="64"/>
      <c r="E49" s="234" t="s">
        <v>81</v>
      </c>
      <c r="F49" s="234" t="s">
        <v>82</v>
      </c>
      <c r="G49" s="64"/>
      <c r="H49" s="64"/>
      <c r="I49" s="18"/>
      <c r="J49" s="18"/>
    </row>
    <row r="50" spans="1:11" s="8" customFormat="1">
      <c r="A50" s="871" t="s">
        <v>1367</v>
      </c>
      <c r="B50" s="21"/>
      <c r="C50" s="305"/>
      <c r="D50" s="23"/>
      <c r="E50" s="760"/>
      <c r="F50" s="760"/>
      <c r="G50" s="23"/>
      <c r="H50" s="23"/>
      <c r="I50" s="18"/>
      <c r="J50" s="18"/>
      <c r="K50" s="18"/>
    </row>
    <row r="51" spans="1:11">
      <c r="A51" s="871" t="s">
        <v>1368</v>
      </c>
      <c r="B51" s="21"/>
      <c r="C51" s="758" t="s">
        <v>125</v>
      </c>
      <c r="D51" s="92"/>
      <c r="E51" s="785">
        <v>0.9</v>
      </c>
      <c r="F51" s="761" t="s">
        <v>126</v>
      </c>
      <c r="G51" s="23"/>
      <c r="H51" s="23"/>
      <c r="I51" s="18"/>
      <c r="J51" s="18"/>
    </row>
    <row r="52" spans="1:11">
      <c r="B52" s="21"/>
      <c r="C52" s="758" t="s">
        <v>127</v>
      </c>
      <c r="D52" s="92"/>
      <c r="E52" s="785">
        <v>0.75</v>
      </c>
      <c r="F52" s="761" t="s">
        <v>128</v>
      </c>
      <c r="G52" s="23"/>
      <c r="H52" s="23"/>
      <c r="I52" s="18"/>
      <c r="J52" s="18"/>
    </row>
    <row r="53" spans="1:11">
      <c r="B53" s="21"/>
      <c r="C53" s="758" t="s">
        <v>129</v>
      </c>
      <c r="D53" s="92"/>
      <c r="E53" s="785">
        <v>0.5</v>
      </c>
      <c r="F53" s="761" t="s">
        <v>130</v>
      </c>
      <c r="G53" s="23"/>
      <c r="H53" s="23"/>
      <c r="I53" s="18"/>
      <c r="J53" s="18"/>
    </row>
    <row r="54" spans="1:11">
      <c r="B54" s="21"/>
      <c r="C54" s="758" t="s">
        <v>131</v>
      </c>
      <c r="D54" s="92"/>
      <c r="E54" s="785">
        <v>0</v>
      </c>
      <c r="F54" s="761" t="s">
        <v>132</v>
      </c>
      <c r="G54" s="23"/>
      <c r="H54" s="23"/>
      <c r="I54" s="18"/>
      <c r="J54" s="18"/>
    </row>
    <row r="55" spans="1:11" s="8" customFormat="1">
      <c r="A55" s="18"/>
      <c r="B55" s="21"/>
      <c r="C55" s="306"/>
      <c r="D55" s="23"/>
      <c r="E55" s="762"/>
      <c r="F55" s="762"/>
      <c r="G55" s="23"/>
      <c r="H55" s="23"/>
      <c r="I55" s="18"/>
      <c r="J55" s="18"/>
      <c r="K55" s="18"/>
    </row>
    <row r="56" spans="1:11">
      <c r="B56" s="21"/>
      <c r="C56" s="18"/>
      <c r="D56" s="18"/>
      <c r="E56" s="18"/>
      <c r="F56" s="18"/>
      <c r="G56" s="18"/>
      <c r="H56" s="18"/>
      <c r="I56" s="18"/>
      <c r="J56" s="18"/>
    </row>
    <row r="57" spans="1:11">
      <c r="B57" s="88">
        <f ca="1">MAX(tabellen!$B$1:OFFSET(B57,-1,0))+1</f>
        <v>7</v>
      </c>
      <c r="C57" s="89" t="s">
        <v>133</v>
      </c>
      <c r="D57" s="89"/>
      <c r="E57" s="89">
        <f ca="1">OFFSET(E57,0,-1)+1</f>
        <v>1</v>
      </c>
      <c r="F57" s="89">
        <f ca="1">OFFSET(F57,0,-1)+1</f>
        <v>2</v>
      </c>
      <c r="G57" s="89"/>
      <c r="H57" s="89"/>
      <c r="I57" s="18"/>
      <c r="J57" s="18"/>
    </row>
    <row r="58" spans="1:11">
      <c r="A58" s="871" t="s">
        <v>1366</v>
      </c>
      <c r="B58" s="21"/>
      <c r="C58" s="269" t="s">
        <v>80</v>
      </c>
      <c r="D58" s="64"/>
      <c r="E58" s="64" t="s">
        <v>81</v>
      </c>
      <c r="F58" s="64" t="s">
        <v>82</v>
      </c>
      <c r="G58" s="64"/>
      <c r="H58" s="64"/>
      <c r="I58" s="18"/>
      <c r="J58" s="18"/>
    </row>
    <row r="59" spans="1:11" s="8" customFormat="1">
      <c r="A59" s="871" t="s">
        <v>1367</v>
      </c>
      <c r="B59" s="21"/>
      <c r="C59" s="305"/>
      <c r="D59" s="23"/>
      <c r="E59" s="23"/>
      <c r="F59" s="23"/>
      <c r="G59" s="23"/>
      <c r="H59" s="23"/>
      <c r="I59" s="18"/>
      <c r="J59" s="18"/>
      <c r="K59" s="18"/>
    </row>
    <row r="60" spans="1:11">
      <c r="A60" s="871" t="s">
        <v>1368</v>
      </c>
      <c r="B60" s="21"/>
      <c r="C60" s="758" t="s">
        <v>134</v>
      </c>
      <c r="D60" s="92"/>
      <c r="E60" s="93">
        <v>2</v>
      </c>
      <c r="F60" s="94" t="s">
        <v>135</v>
      </c>
      <c r="G60" s="23"/>
      <c r="H60" s="23"/>
      <c r="I60" s="18"/>
      <c r="J60" s="18"/>
    </row>
    <row r="61" spans="1:11">
      <c r="B61" s="21"/>
      <c r="C61" s="758" t="s">
        <v>136</v>
      </c>
      <c r="D61" s="92"/>
      <c r="E61" s="93">
        <v>4</v>
      </c>
      <c r="F61" s="94" t="s">
        <v>137</v>
      </c>
      <c r="G61" s="23"/>
      <c r="H61" s="23"/>
      <c r="I61" s="18"/>
      <c r="J61" s="18"/>
    </row>
    <row r="62" spans="1:11">
      <c r="B62" s="21"/>
      <c r="C62" s="758" t="s">
        <v>138</v>
      </c>
      <c r="D62" s="92"/>
      <c r="E62" s="93">
        <v>1</v>
      </c>
      <c r="F62" s="94" t="s">
        <v>139</v>
      </c>
      <c r="G62" s="23"/>
      <c r="H62" s="23"/>
      <c r="I62" s="18"/>
      <c r="J62" s="18"/>
    </row>
    <row r="63" spans="1:11" s="8" customFormat="1">
      <c r="A63" s="18"/>
      <c r="B63" s="21"/>
      <c r="C63" s="306"/>
      <c r="D63" s="23"/>
      <c r="E63" s="23"/>
      <c r="F63" s="23"/>
      <c r="G63" s="23"/>
      <c r="H63" s="23"/>
      <c r="I63" s="18"/>
      <c r="J63" s="18"/>
      <c r="K63" s="18"/>
    </row>
    <row r="64" spans="1:11">
      <c r="B64" s="21"/>
      <c r="C64" s="18"/>
      <c r="D64" s="18"/>
      <c r="E64" s="18"/>
      <c r="F64" s="18"/>
      <c r="G64" s="18"/>
      <c r="H64" s="18"/>
      <c r="I64" s="18"/>
      <c r="J64" s="18"/>
    </row>
    <row r="65" spans="1:18">
      <c r="B65" s="88">
        <f ca="1">MAX(tabellen!$B$1:OFFSET(B65,-1,0))+1</f>
        <v>8</v>
      </c>
      <c r="C65" s="89" t="s">
        <v>1425</v>
      </c>
      <c r="D65" s="89"/>
      <c r="E65" s="89"/>
      <c r="F65" s="122"/>
      <c r="G65" s="123">
        <f t="shared" ref="G65:L65" ca="1" si="0">OFFSET(G65,0,-1)+1</f>
        <v>1</v>
      </c>
      <c r="H65" s="123">
        <f t="shared" ca="1" si="0"/>
        <v>2</v>
      </c>
      <c r="I65" s="123">
        <f t="shared" ca="1" si="0"/>
        <v>3</v>
      </c>
      <c r="J65" s="123">
        <f t="shared" ca="1" si="0"/>
        <v>4</v>
      </c>
      <c r="K65" s="123">
        <f t="shared" ca="1" si="0"/>
        <v>5</v>
      </c>
      <c r="L65" s="123">
        <f t="shared" ca="1" si="0"/>
        <v>6</v>
      </c>
      <c r="M65" s="123">
        <f t="shared" ref="M65" ca="1" si="1">OFFSET(M65,0,-1)+1</f>
        <v>7</v>
      </c>
      <c r="N65" s="123">
        <f ca="1">OFFSET(N65,0,-1)+1</f>
        <v>8</v>
      </c>
      <c r="O65" s="15"/>
      <c r="P65" s="703"/>
      <c r="Q65" s="123">
        <f ca="1">OFFSET(Q65,0,-1)+1</f>
        <v>1</v>
      </c>
      <c r="R65" s="123">
        <f ca="1">OFFSET(R65,0,-1)+1</f>
        <v>2</v>
      </c>
    </row>
    <row r="66" spans="1:18" s="119" customFormat="1" ht="32">
      <c r="A66" s="116"/>
      <c r="B66" s="117"/>
      <c r="C66" s="118" t="s">
        <v>140</v>
      </c>
      <c r="D66" s="118"/>
      <c r="E66" s="118" t="s">
        <v>141</v>
      </c>
      <c r="F66" s="130"/>
      <c r="G66" s="128" t="s">
        <v>142</v>
      </c>
      <c r="H66" s="128" t="s">
        <v>143</v>
      </c>
      <c r="I66" s="128" t="s">
        <v>144</v>
      </c>
      <c r="J66" s="128" t="s">
        <v>145</v>
      </c>
      <c r="K66" s="128" t="s">
        <v>146</v>
      </c>
      <c r="L66" s="128" t="s">
        <v>147</v>
      </c>
      <c r="M66" s="128" t="s">
        <v>148</v>
      </c>
      <c r="N66" s="128" t="s">
        <v>149</v>
      </c>
      <c r="O66" s="129"/>
      <c r="P66" s="704"/>
      <c r="Q66" s="128" t="s">
        <v>150</v>
      </c>
      <c r="R66" s="128" t="s">
        <v>151</v>
      </c>
    </row>
    <row r="67" spans="1:18" s="5" customFormat="1">
      <c r="A67" s="19"/>
      <c r="B67" s="120"/>
      <c r="C67" s="90" t="s">
        <v>152</v>
      </c>
      <c r="D67" s="90"/>
      <c r="E67" s="90" t="s">
        <v>153</v>
      </c>
      <c r="F67" s="131" t="str">
        <f>C67&amp;E67</f>
        <v>Extra maatregelen (handhaven casco en/of gevel)Itemcode</v>
      </c>
      <c r="G67" s="127" t="s">
        <v>154</v>
      </c>
      <c r="H67" s="127" t="s">
        <v>154</v>
      </c>
      <c r="I67" s="127" t="s">
        <v>154</v>
      </c>
      <c r="J67" s="127" t="s">
        <v>154</v>
      </c>
      <c r="K67" s="127" t="s">
        <v>154</v>
      </c>
      <c r="L67" s="127" t="s">
        <v>154</v>
      </c>
      <c r="M67" s="127" t="s">
        <v>154</v>
      </c>
      <c r="N67" s="481" t="s">
        <v>154</v>
      </c>
      <c r="O67" s="124"/>
      <c r="P67" s="705"/>
      <c r="Q67" s="456" t="s">
        <v>154</v>
      </c>
      <c r="R67" s="456" t="s">
        <v>154</v>
      </c>
    </row>
    <row r="68" spans="1:18" s="5" customFormat="1">
      <c r="A68" s="19"/>
      <c r="B68" s="120"/>
      <c r="C68" s="462" t="str">
        <f ca="1">OFFSET(C68,-1,0)</f>
        <v>Extra maatregelen (handhaven casco en/of gevel)</v>
      </c>
      <c r="D68" s="90"/>
      <c r="E68" s="90" t="s">
        <v>155</v>
      </c>
      <c r="F68" s="132" t="str">
        <f t="shared" ref="F68:F97" ca="1" si="2">C68&amp;E68</f>
        <v>Extra maatregelen (handhaven casco en/of gevel)Maximum</v>
      </c>
      <c r="G68" s="121">
        <f t="shared" ref="G68:L68" si="3">G70</f>
        <v>21</v>
      </c>
      <c r="H68" s="121">
        <f t="shared" si="3"/>
        <v>21</v>
      </c>
      <c r="I68" s="121">
        <f t="shared" si="3"/>
        <v>21</v>
      </c>
      <c r="J68" s="121">
        <f t="shared" si="3"/>
        <v>21</v>
      </c>
      <c r="K68" s="121">
        <f t="shared" si="3"/>
        <v>21</v>
      </c>
      <c r="L68" s="121">
        <f t="shared" si="3"/>
        <v>21</v>
      </c>
      <c r="M68" s="121">
        <f t="shared" ref="M68" si="4">M70</f>
        <v>21</v>
      </c>
      <c r="N68" s="477">
        <v>21</v>
      </c>
      <c r="O68" s="124"/>
      <c r="P68" s="705"/>
      <c r="Q68" s="457">
        <f>Q70</f>
        <v>21</v>
      </c>
      <c r="R68" s="457">
        <f>R70</f>
        <v>21</v>
      </c>
    </row>
    <row r="69" spans="1:18" s="5" customFormat="1">
      <c r="A69" s="19"/>
      <c r="B69" s="120"/>
      <c r="C69" s="90" t="s">
        <v>156</v>
      </c>
      <c r="D69" s="90"/>
      <c r="E69" s="90" t="s">
        <v>153</v>
      </c>
      <c r="F69" s="132" t="str">
        <f t="shared" si="2"/>
        <v>Hergebruik productenItemcode</v>
      </c>
      <c r="G69" s="121" t="s">
        <v>157</v>
      </c>
      <c r="H69" s="121" t="s">
        <v>157</v>
      </c>
      <c r="I69" s="121" t="s">
        <v>157</v>
      </c>
      <c r="J69" s="121" t="s">
        <v>157</v>
      </c>
      <c r="K69" s="121" t="s">
        <v>157</v>
      </c>
      <c r="L69" s="121" t="s">
        <v>157</v>
      </c>
      <c r="M69" s="121" t="s">
        <v>157</v>
      </c>
      <c r="N69" s="477" t="s">
        <v>157</v>
      </c>
      <c r="O69" s="124"/>
      <c r="P69" s="705"/>
      <c r="Q69" s="457" t="s">
        <v>157</v>
      </c>
      <c r="R69" s="457" t="s">
        <v>157</v>
      </c>
    </row>
    <row r="70" spans="1:18" s="5" customFormat="1">
      <c r="A70" s="19"/>
      <c r="B70" s="120"/>
      <c r="C70" s="462" t="str">
        <f ca="1">OFFSET(C70,-1,0)</f>
        <v>Hergebruik producten</v>
      </c>
      <c r="D70" s="90"/>
      <c r="E70" s="90" t="s">
        <v>155</v>
      </c>
      <c r="F70" s="132" t="str">
        <f t="shared" ca="1" si="2"/>
        <v>Hergebruik productenMaximum</v>
      </c>
      <c r="G70" s="121">
        <v>21</v>
      </c>
      <c r="H70" s="121">
        <v>21</v>
      </c>
      <c r="I70" s="121">
        <v>21</v>
      </c>
      <c r="J70" s="121">
        <v>21</v>
      </c>
      <c r="K70" s="121">
        <v>21</v>
      </c>
      <c r="L70" s="121">
        <v>21</v>
      </c>
      <c r="M70" s="121">
        <v>21</v>
      </c>
      <c r="N70" s="477">
        <v>21</v>
      </c>
      <c r="O70" s="124"/>
      <c r="P70" s="705"/>
      <c r="Q70" s="457">
        <v>21</v>
      </c>
      <c r="R70" s="457">
        <v>21</v>
      </c>
    </row>
    <row r="71" spans="1:18" s="5" customFormat="1">
      <c r="A71" s="19"/>
      <c r="B71" s="120"/>
      <c r="C71" s="90" t="s">
        <v>158</v>
      </c>
      <c r="D71" s="90"/>
      <c r="E71" s="90" t="s">
        <v>153</v>
      </c>
      <c r="F71" s="132" t="str">
        <f t="shared" ref="F71:F72" si="5">C71&amp;E71</f>
        <v>Circulaire materialen ('secundair, extra')Itemcode</v>
      </c>
      <c r="G71" s="121" t="s">
        <v>159</v>
      </c>
      <c r="H71" s="121" t="s">
        <v>159</v>
      </c>
      <c r="I71" s="121" t="s">
        <v>159</v>
      </c>
      <c r="J71" s="121" t="s">
        <v>159</v>
      </c>
      <c r="K71" s="121" t="s">
        <v>159</v>
      </c>
      <c r="L71" s="121" t="s">
        <v>159</v>
      </c>
      <c r="M71" s="121" t="s">
        <v>159</v>
      </c>
      <c r="N71" s="477" t="s">
        <v>159</v>
      </c>
      <c r="O71" s="124"/>
      <c r="P71" s="705"/>
      <c r="Q71" s="457" t="s">
        <v>159</v>
      </c>
      <c r="R71" s="457" t="s">
        <v>159</v>
      </c>
    </row>
    <row r="72" spans="1:18" s="5" customFormat="1">
      <c r="A72" s="19"/>
      <c r="B72" s="120"/>
      <c r="C72" s="90" t="str">
        <f ca="1">OFFSET(C72,-1,0)</f>
        <v>Circulaire materialen ('secundair, extra')</v>
      </c>
      <c r="D72" s="90"/>
      <c r="E72" s="90" t="s">
        <v>155</v>
      </c>
      <c r="F72" s="132" t="str">
        <f t="shared" ca="1" si="5"/>
        <v>Circulaire materialen ('secundair, extra')Maximum</v>
      </c>
      <c r="G72" s="459">
        <f t="shared" ref="G72:R72" si="6">0.15*1/(1+4+2)</f>
        <v>2.1428571428571429E-2</v>
      </c>
      <c r="H72" s="459">
        <f t="shared" si="6"/>
        <v>2.1428571428571429E-2</v>
      </c>
      <c r="I72" s="459">
        <f t="shared" si="6"/>
        <v>2.1428571428571429E-2</v>
      </c>
      <c r="J72" s="459">
        <f t="shared" si="6"/>
        <v>2.1428571428571429E-2</v>
      </c>
      <c r="K72" s="459">
        <f t="shared" si="6"/>
        <v>2.1428571428571429E-2</v>
      </c>
      <c r="L72" s="459">
        <f t="shared" si="6"/>
        <v>2.1428571428571429E-2</v>
      </c>
      <c r="M72" s="459">
        <f t="shared" si="6"/>
        <v>2.1428571428571429E-2</v>
      </c>
      <c r="N72" s="478">
        <f t="shared" si="6"/>
        <v>2.1428571428571429E-2</v>
      </c>
      <c r="O72" s="124"/>
      <c r="P72" s="705"/>
      <c r="Q72" s="464">
        <f t="shared" si="6"/>
        <v>2.1428571428571429E-2</v>
      </c>
      <c r="R72" s="464">
        <f t="shared" si="6"/>
        <v>2.1428571428571429E-2</v>
      </c>
    </row>
    <row r="73" spans="1:18" s="5" customFormat="1" ht="32">
      <c r="A73" s="19"/>
      <c r="B73" s="120"/>
      <c r="C73" s="460" t="s">
        <v>160</v>
      </c>
      <c r="D73" s="90"/>
      <c r="E73" s="90" t="s">
        <v>153</v>
      </c>
      <c r="F73" s="132" t="str">
        <f t="shared" si="2"/>
        <v>Circulaire materialen ('biobased CO2-opslag'+'biobased overig')Itemcode</v>
      </c>
      <c r="G73" s="121" t="s">
        <v>159</v>
      </c>
      <c r="H73" s="121" t="s">
        <v>159</v>
      </c>
      <c r="I73" s="121" t="s">
        <v>159</v>
      </c>
      <c r="J73" s="121" t="s">
        <v>159</v>
      </c>
      <c r="K73" s="121" t="s">
        <v>159</v>
      </c>
      <c r="L73" s="121" t="s">
        <v>159</v>
      </c>
      <c r="M73" s="121" t="s">
        <v>159</v>
      </c>
      <c r="N73" s="477" t="s">
        <v>159</v>
      </c>
      <c r="O73" s="124"/>
      <c r="P73" s="705"/>
      <c r="Q73" s="457" t="s">
        <v>159</v>
      </c>
      <c r="R73" s="457" t="s">
        <v>159</v>
      </c>
    </row>
    <row r="74" spans="1:18" s="5" customFormat="1" ht="32">
      <c r="A74" s="19"/>
      <c r="B74" s="120"/>
      <c r="C74" s="462" t="str">
        <f ca="1">OFFSET(C74,-1,0)</f>
        <v>Circulaire materialen ('biobased CO2-opslag'+'biobased overig')</v>
      </c>
      <c r="D74" s="90"/>
      <c r="E74" s="90" t="s">
        <v>155</v>
      </c>
      <c r="F74" s="132" t="str">
        <f t="shared" ca="1" si="2"/>
        <v>Circulaire materialen ('biobased CO2-opslag'+'biobased overig')Maximum</v>
      </c>
      <c r="G74" s="459">
        <f t="shared" ref="G74:R74" si="7">0.15*6/(1+4+2)</f>
        <v>0.12857142857142856</v>
      </c>
      <c r="H74" s="459">
        <f t="shared" si="7"/>
        <v>0.12857142857142856</v>
      </c>
      <c r="I74" s="459">
        <f t="shared" si="7"/>
        <v>0.12857142857142856</v>
      </c>
      <c r="J74" s="459">
        <f t="shared" si="7"/>
        <v>0.12857142857142856</v>
      </c>
      <c r="K74" s="459">
        <f t="shared" si="7"/>
        <v>0.12857142857142856</v>
      </c>
      <c r="L74" s="459">
        <f t="shared" si="7"/>
        <v>0.12857142857142856</v>
      </c>
      <c r="M74" s="459">
        <f t="shared" si="7"/>
        <v>0.12857142857142856</v>
      </c>
      <c r="N74" s="478">
        <f t="shared" si="7"/>
        <v>0.12857142857142856</v>
      </c>
      <c r="O74" s="124"/>
      <c r="P74" s="705"/>
      <c r="Q74" s="464">
        <f t="shared" si="7"/>
        <v>0.12857142857142856</v>
      </c>
      <c r="R74" s="464">
        <f t="shared" si="7"/>
        <v>0.12857142857142856</v>
      </c>
    </row>
    <row r="75" spans="1:18" s="5" customFormat="1">
      <c r="A75" s="19"/>
      <c r="B75" s="120"/>
      <c r="C75" s="460" t="s">
        <v>161</v>
      </c>
      <c r="D75" s="90"/>
      <c r="E75" s="90" t="s">
        <v>153</v>
      </c>
      <c r="F75" s="132" t="str">
        <f t="shared" ref="F75:F76" si="8">C75&amp;E75</f>
        <v>Hout uit duurzaam beheerde bossenItemcode</v>
      </c>
      <c r="G75" s="121" t="s">
        <v>162</v>
      </c>
      <c r="H75" s="121" t="s">
        <v>162</v>
      </c>
      <c r="I75" s="121" t="s">
        <v>162</v>
      </c>
      <c r="J75" s="121" t="s">
        <v>162</v>
      </c>
      <c r="K75" s="121" t="s">
        <v>162</v>
      </c>
      <c r="L75" s="121" t="s">
        <v>162</v>
      </c>
      <c r="M75" s="121" t="s">
        <v>162</v>
      </c>
      <c r="N75" s="477" t="s">
        <v>162</v>
      </c>
      <c r="O75" s="124"/>
      <c r="P75" s="705"/>
      <c r="Q75" s="457" t="s">
        <v>162</v>
      </c>
      <c r="R75" s="457" t="s">
        <v>162</v>
      </c>
    </row>
    <row r="76" spans="1:18" s="5" customFormat="1">
      <c r="A76" s="19"/>
      <c r="B76" s="120"/>
      <c r="C76" s="90" t="str">
        <f ca="1">OFFSET(C76,-1,0)</f>
        <v>Hout uit duurzaam beheerde bossen</v>
      </c>
      <c r="D76" s="90"/>
      <c r="E76" s="90" t="s">
        <v>155</v>
      </c>
      <c r="F76" s="132" t="str">
        <f t="shared" ca="1" si="8"/>
        <v>Hout uit duurzaam beheerde bossenMaximum</v>
      </c>
      <c r="G76" s="461">
        <v>14</v>
      </c>
      <c r="H76" s="461">
        <v>14</v>
      </c>
      <c r="I76" s="461">
        <v>14</v>
      </c>
      <c r="J76" s="461">
        <v>14</v>
      </c>
      <c r="K76" s="461">
        <v>14</v>
      </c>
      <c r="L76" s="461">
        <v>14</v>
      </c>
      <c r="M76" s="461">
        <v>14</v>
      </c>
      <c r="N76" s="479">
        <v>14</v>
      </c>
      <c r="O76" s="124"/>
      <c r="P76" s="705"/>
      <c r="Q76" s="465">
        <v>14</v>
      </c>
      <c r="R76" s="465">
        <v>14</v>
      </c>
    </row>
    <row r="77" spans="1:18" s="5" customFormat="1">
      <c r="A77" s="19"/>
      <c r="B77" s="120"/>
      <c r="C77" s="90" t="s">
        <v>163</v>
      </c>
      <c r="D77" s="90"/>
      <c r="E77" s="90" t="s">
        <v>153</v>
      </c>
      <c r="F77" s="132" t="str">
        <f t="shared" si="2"/>
        <v>BENG 3 - indicatorItemcode</v>
      </c>
      <c r="G77" s="121" t="s">
        <v>164</v>
      </c>
      <c r="H77" s="121" t="s">
        <v>164</v>
      </c>
      <c r="I77" s="121" t="s">
        <v>164</v>
      </c>
      <c r="J77" s="121" t="s">
        <v>164</v>
      </c>
      <c r="K77" s="121" t="s">
        <v>164</v>
      </c>
      <c r="L77" s="121" t="s">
        <v>164</v>
      </c>
      <c r="M77" s="121" t="s">
        <v>164</v>
      </c>
      <c r="N77" s="477" t="s">
        <v>164</v>
      </c>
      <c r="O77" s="124"/>
      <c r="P77" s="705"/>
      <c r="Q77" s="457" t="s">
        <v>164</v>
      </c>
      <c r="R77" s="457" t="s">
        <v>164</v>
      </c>
    </row>
    <row r="78" spans="1:18" s="5" customFormat="1">
      <c r="A78" s="19"/>
      <c r="B78" s="120"/>
      <c r="C78" s="462" t="str">
        <f ca="1">OFFSET(C78,-1,0)</f>
        <v>BENG 3 - indicator</v>
      </c>
      <c r="D78" s="90"/>
      <c r="E78" s="90" t="s">
        <v>155</v>
      </c>
      <c r="F78" s="132" t="str">
        <f t="shared" ca="1" si="2"/>
        <v>BENG 3 - indicatorMaximum</v>
      </c>
      <c r="G78" s="221">
        <v>1</v>
      </c>
      <c r="H78" s="221">
        <v>1</v>
      </c>
      <c r="I78" s="221">
        <v>1</v>
      </c>
      <c r="J78" s="221">
        <v>1</v>
      </c>
      <c r="K78" s="221">
        <v>1</v>
      </c>
      <c r="L78" s="221">
        <v>1</v>
      </c>
      <c r="M78" s="221">
        <v>1</v>
      </c>
      <c r="N78" s="482">
        <v>1</v>
      </c>
      <c r="O78" s="124"/>
      <c r="P78" s="705"/>
      <c r="Q78" s="466">
        <v>1</v>
      </c>
      <c r="R78" s="466">
        <v>1</v>
      </c>
    </row>
    <row r="79" spans="1:18" s="5" customFormat="1">
      <c r="A79" s="19"/>
      <c r="B79" s="120"/>
      <c r="C79" s="90" t="s">
        <v>165</v>
      </c>
      <c r="D79" s="90"/>
      <c r="E79" s="90" t="s">
        <v>153</v>
      </c>
      <c r="F79" s="132" t="str">
        <f t="shared" si="2"/>
        <v>Circulair watergebruikItemcode</v>
      </c>
      <c r="G79" s="121" t="s">
        <v>166</v>
      </c>
      <c r="H79" s="121" t="s">
        <v>167</v>
      </c>
      <c r="I79" s="121" t="s">
        <v>167</v>
      </c>
      <c r="J79" s="121" t="s">
        <v>167</v>
      </c>
      <c r="K79" s="121" t="s">
        <v>167</v>
      </c>
      <c r="L79" s="121" t="s">
        <v>168</v>
      </c>
      <c r="M79" s="121" t="s">
        <v>167</v>
      </c>
      <c r="N79" s="477" t="s">
        <v>167</v>
      </c>
      <c r="O79" s="124"/>
      <c r="P79" s="705"/>
      <c r="Q79" s="457" t="s">
        <v>167</v>
      </c>
      <c r="R79" s="457" t="s">
        <v>167</v>
      </c>
    </row>
    <row r="80" spans="1:18" s="5" customFormat="1">
      <c r="A80" s="19"/>
      <c r="B80" s="120"/>
      <c r="C80" s="462" t="str">
        <f ca="1">OFFSET(C80,-1,0)</f>
        <v>Circulair watergebruik</v>
      </c>
      <c r="D80" s="90"/>
      <c r="E80" s="90" t="s">
        <v>155</v>
      </c>
      <c r="F80" s="132" t="str">
        <f t="shared" ca="1" si="2"/>
        <v>Circulair watergebruikMaximum</v>
      </c>
      <c r="G80" s="121">
        <v>18</v>
      </c>
      <c r="H80" s="121">
        <v>7</v>
      </c>
      <c r="I80" s="121">
        <v>10</v>
      </c>
      <c r="J80" s="121">
        <v>10</v>
      </c>
      <c r="K80" s="121">
        <v>10</v>
      </c>
      <c r="L80" s="121">
        <v>7</v>
      </c>
      <c r="M80" s="121">
        <v>8</v>
      </c>
      <c r="N80" s="477">
        <v>8</v>
      </c>
      <c r="O80" s="124"/>
      <c r="P80" s="705"/>
      <c r="Q80" s="457">
        <v>10</v>
      </c>
      <c r="R80" s="457">
        <v>10</v>
      </c>
    </row>
    <row r="81" spans="1:22" s="5" customFormat="1">
      <c r="A81" s="19"/>
      <c r="B81" s="120"/>
      <c r="C81" s="90" t="s">
        <v>169</v>
      </c>
      <c r="D81" s="90"/>
      <c r="E81" s="90" t="s">
        <v>153</v>
      </c>
      <c r="F81" s="132" t="str">
        <f t="shared" si="2"/>
        <v>Duurzaamheidsprestatie (DPG)Itemcode</v>
      </c>
      <c r="G81" s="121" t="s">
        <v>170</v>
      </c>
      <c r="H81" s="121" t="s">
        <v>170</v>
      </c>
      <c r="I81" s="121" t="s">
        <v>170</v>
      </c>
      <c r="J81" s="121" t="s">
        <v>170</v>
      </c>
      <c r="K81" s="121" t="s">
        <v>170</v>
      </c>
      <c r="L81" s="121" t="s">
        <v>170</v>
      </c>
      <c r="M81" s="121" t="s">
        <v>170</v>
      </c>
      <c r="N81" s="477" t="s">
        <v>132</v>
      </c>
      <c r="O81" s="124"/>
      <c r="P81" s="706"/>
      <c r="Q81" s="457" t="s">
        <v>171</v>
      </c>
      <c r="R81" s="457" t="s">
        <v>171</v>
      </c>
      <c r="S81" s="706"/>
      <c r="T81" s="706"/>
      <c r="U81" s="706"/>
      <c r="V81" s="706"/>
    </row>
    <row r="82" spans="1:22" s="5" customFormat="1">
      <c r="A82" s="19"/>
      <c r="B82" s="120"/>
      <c r="C82" s="90" t="s">
        <v>172</v>
      </c>
      <c r="D82" s="90"/>
      <c r="E82" s="90" t="s">
        <v>153</v>
      </c>
      <c r="F82" s="132" t="str">
        <f t="shared" si="2"/>
        <v>Lange gebouwlevensduurItemcode</v>
      </c>
      <c r="G82" s="121" t="s">
        <v>173</v>
      </c>
      <c r="H82" s="121" t="s">
        <v>173</v>
      </c>
      <c r="I82" s="121" t="s">
        <v>173</v>
      </c>
      <c r="J82" s="121" t="s">
        <v>173</v>
      </c>
      <c r="K82" s="121" t="s">
        <v>173</v>
      </c>
      <c r="L82" s="121" t="s">
        <v>173</v>
      </c>
      <c r="M82" s="121" t="s">
        <v>173</v>
      </c>
      <c r="N82" s="477" t="s">
        <v>173</v>
      </c>
      <c r="O82" s="124"/>
      <c r="P82" s="706"/>
      <c r="Q82" s="457" t="s">
        <v>173</v>
      </c>
      <c r="R82" s="457" t="s">
        <v>173</v>
      </c>
      <c r="S82" s="706"/>
      <c r="T82" s="706"/>
      <c r="U82" s="706"/>
      <c r="V82" s="706"/>
    </row>
    <row r="83" spans="1:22" s="5" customFormat="1">
      <c r="A83" s="19"/>
      <c r="B83" s="120"/>
      <c r="C83" s="90" t="str">
        <f ca="1">OFFSET(C83,-1,0)</f>
        <v>Lange gebouwlevensduur</v>
      </c>
      <c r="D83" s="90"/>
      <c r="E83" s="90" t="s">
        <v>155</v>
      </c>
      <c r="F83" s="132" t="str">
        <f t="shared" ca="1" si="2"/>
        <v>Lange gebouwlevensduurMaximum</v>
      </c>
      <c r="G83" s="121">
        <v>21</v>
      </c>
      <c r="H83" s="121">
        <v>21</v>
      </c>
      <c r="I83" s="121">
        <v>21</v>
      </c>
      <c r="J83" s="121">
        <v>21</v>
      </c>
      <c r="K83" s="121">
        <v>21</v>
      </c>
      <c r="L83" s="121">
        <v>21</v>
      </c>
      <c r="M83" s="121">
        <v>21</v>
      </c>
      <c r="N83" s="477">
        <v>21</v>
      </c>
      <c r="O83" s="124"/>
      <c r="P83" s="705"/>
      <c r="Q83" s="457">
        <v>21</v>
      </c>
      <c r="R83" s="457">
        <v>21</v>
      </c>
      <c r="S83" s="705"/>
      <c r="T83" s="705"/>
      <c r="U83" s="705"/>
      <c r="V83" s="705"/>
    </row>
    <row r="84" spans="1:22" s="5" customFormat="1" ht="32">
      <c r="A84" s="19"/>
      <c r="B84" s="120"/>
      <c r="C84" s="460" t="s">
        <v>174</v>
      </c>
      <c r="D84" s="90"/>
      <c r="E84" s="90" t="s">
        <v>153</v>
      </c>
      <c r="F84" s="132" t="str">
        <f t="shared" ref="F84:F85" si="9">C84&amp;E84</f>
        <v>Robuuste uitvoering of detaillering bij gevoelige elementenItemcode</v>
      </c>
      <c r="G84" s="121" t="s">
        <v>175</v>
      </c>
      <c r="H84" s="121" t="s">
        <v>175</v>
      </c>
      <c r="I84" s="121" t="s">
        <v>175</v>
      </c>
      <c r="J84" s="121" t="s">
        <v>175</v>
      </c>
      <c r="K84" s="121" t="s">
        <v>175</v>
      </c>
      <c r="L84" s="121" t="s">
        <v>175</v>
      </c>
      <c r="M84" s="121" t="s">
        <v>175</v>
      </c>
      <c r="N84" s="477" t="s">
        <v>175</v>
      </c>
      <c r="O84" s="124"/>
      <c r="P84" s="705"/>
      <c r="Q84" s="457" t="s">
        <v>175</v>
      </c>
      <c r="R84" s="457" t="s">
        <v>175</v>
      </c>
      <c r="S84" s="705"/>
      <c r="T84" s="705"/>
      <c r="U84" s="705"/>
      <c r="V84" s="705"/>
    </row>
    <row r="85" spans="1:22" s="5" customFormat="1" ht="32">
      <c r="A85" s="19"/>
      <c r="B85" s="120"/>
      <c r="C85" s="462" t="str">
        <f ca="1">OFFSET(C85,-1,0)</f>
        <v>Robuuste uitvoering of detaillering bij gevoelige elementen</v>
      </c>
      <c r="D85" s="90"/>
      <c r="E85" s="90" t="s">
        <v>155</v>
      </c>
      <c r="F85" s="132" t="str">
        <f t="shared" ca="1" si="9"/>
        <v>Robuuste uitvoering of detaillering bij gevoelige elementenMaximum</v>
      </c>
      <c r="G85" s="121">
        <v>2</v>
      </c>
      <c r="H85" s="121">
        <v>2</v>
      </c>
      <c r="I85" s="121">
        <v>2</v>
      </c>
      <c r="J85" s="121">
        <v>2</v>
      </c>
      <c r="K85" s="121">
        <v>2</v>
      </c>
      <c r="L85" s="121">
        <v>2</v>
      </c>
      <c r="M85" s="121">
        <v>2</v>
      </c>
      <c r="N85" s="477">
        <v>2</v>
      </c>
      <c r="O85" s="124"/>
      <c r="P85" s="705"/>
      <c r="Q85" s="457">
        <v>2</v>
      </c>
      <c r="R85" s="457">
        <v>2</v>
      </c>
      <c r="S85" s="705"/>
      <c r="T85" s="705"/>
      <c r="U85" s="705"/>
      <c r="V85" s="705"/>
    </row>
    <row r="86" spans="1:22" s="5" customFormat="1">
      <c r="A86" s="19"/>
      <c r="B86" s="120"/>
      <c r="C86" s="460" t="s">
        <v>176</v>
      </c>
      <c r="D86" s="90"/>
      <c r="E86" s="90" t="s">
        <v>153</v>
      </c>
      <c r="F86" s="132" t="str">
        <f t="shared" si="2"/>
        <v>Eenvoudig aanpasbare elementenItemcode</v>
      </c>
      <c r="G86" s="121" t="s">
        <v>175</v>
      </c>
      <c r="H86" s="121" t="s">
        <v>175</v>
      </c>
      <c r="I86" s="121" t="s">
        <v>175</v>
      </c>
      <c r="J86" s="121" t="s">
        <v>175</v>
      </c>
      <c r="K86" s="121" t="s">
        <v>175</v>
      </c>
      <c r="L86" s="121" t="s">
        <v>175</v>
      </c>
      <c r="M86" s="121" t="s">
        <v>175</v>
      </c>
      <c r="N86" s="477" t="s">
        <v>175</v>
      </c>
      <c r="O86" s="124"/>
      <c r="P86" s="705"/>
      <c r="Q86" s="457" t="s">
        <v>175</v>
      </c>
      <c r="R86" s="457" t="s">
        <v>175</v>
      </c>
      <c r="S86" s="705"/>
      <c r="T86" s="705"/>
      <c r="U86" s="705"/>
      <c r="V86" s="705"/>
    </row>
    <row r="87" spans="1:22" s="5" customFormat="1">
      <c r="A87" s="19"/>
      <c r="B87" s="120"/>
      <c r="C87" s="462" t="str">
        <f ca="1">OFFSET(C87,-1,0)</f>
        <v>Eenvoudig aanpasbare elementen</v>
      </c>
      <c r="D87" s="90"/>
      <c r="E87" s="90" t="s">
        <v>155</v>
      </c>
      <c r="F87" s="132" t="str">
        <f t="shared" ca="1" si="2"/>
        <v>Eenvoudig aanpasbare elementenMaximum</v>
      </c>
      <c r="G87" s="121">
        <v>2</v>
      </c>
      <c r="H87" s="121">
        <v>2</v>
      </c>
      <c r="I87" s="121">
        <v>2</v>
      </c>
      <c r="J87" s="121">
        <v>2</v>
      </c>
      <c r="K87" s="121">
        <v>2</v>
      </c>
      <c r="L87" s="121">
        <v>2</v>
      </c>
      <c r="M87" s="121">
        <v>2</v>
      </c>
      <c r="N87" s="477">
        <v>2</v>
      </c>
      <c r="O87" s="124"/>
      <c r="P87" s="705"/>
      <c r="Q87" s="457">
        <v>2</v>
      </c>
      <c r="R87" s="457">
        <v>2</v>
      </c>
      <c r="S87" s="705"/>
      <c r="T87" s="705"/>
      <c r="U87" s="705"/>
      <c r="V87" s="705"/>
    </row>
    <row r="88" spans="1:22" s="5" customFormat="1">
      <c r="A88" s="19"/>
      <c r="B88" s="120"/>
      <c r="C88" s="90" t="s">
        <v>177</v>
      </c>
      <c r="D88" s="90"/>
      <c r="E88" s="90" t="s">
        <v>153</v>
      </c>
      <c r="F88" s="132" t="str">
        <f t="shared" ref="F88:F93" si="10">C88&amp;E88</f>
        <v>Ontkoppeling lagen Brand (afwijkende levensduur)Itemcode</v>
      </c>
      <c r="G88" s="121" t="s">
        <v>178</v>
      </c>
      <c r="H88" s="121" t="s">
        <v>178</v>
      </c>
      <c r="I88" s="121" t="s">
        <v>178</v>
      </c>
      <c r="J88" s="121" t="s">
        <v>178</v>
      </c>
      <c r="K88" s="121" t="s">
        <v>178</v>
      </c>
      <c r="L88" s="121" t="s">
        <v>178</v>
      </c>
      <c r="M88" s="121" t="s">
        <v>178</v>
      </c>
      <c r="N88" s="477" t="s">
        <v>178</v>
      </c>
      <c r="O88" s="124"/>
      <c r="P88" s="705"/>
      <c r="Q88" s="457" t="s">
        <v>178</v>
      </c>
      <c r="R88" s="457" t="s">
        <v>178</v>
      </c>
      <c r="S88" s="705"/>
      <c r="T88" s="705"/>
      <c r="U88" s="705"/>
      <c r="V88" s="705"/>
    </row>
    <row r="89" spans="1:22" s="5" customFormat="1">
      <c r="A89" s="19"/>
      <c r="B89" s="120"/>
      <c r="C89" s="462" t="str">
        <f ca="1">OFFSET(C89,-1,0)</f>
        <v>Ontkoppeling lagen Brand (afwijkende levensduur)</v>
      </c>
      <c r="D89" s="90"/>
      <c r="E89" s="90" t="s">
        <v>155</v>
      </c>
      <c r="F89" s="132" t="str">
        <f t="shared" ca="1" si="10"/>
        <v>Ontkoppeling lagen Brand (afwijkende levensduur)Maximum</v>
      </c>
      <c r="G89" s="121">
        <v>21</v>
      </c>
      <c r="H89" s="121">
        <v>21</v>
      </c>
      <c r="I89" s="121">
        <v>21</v>
      </c>
      <c r="J89" s="121">
        <v>21</v>
      </c>
      <c r="K89" s="121">
        <v>21</v>
      </c>
      <c r="L89" s="121">
        <v>21</v>
      </c>
      <c r="M89" s="121">
        <v>21</v>
      </c>
      <c r="N89" s="477">
        <v>21</v>
      </c>
      <c r="O89" s="124"/>
      <c r="P89" s="705"/>
      <c r="Q89" s="457">
        <v>21</v>
      </c>
      <c r="R89" s="457">
        <v>21</v>
      </c>
      <c r="S89" s="705"/>
      <c r="T89" s="705"/>
      <c r="U89" s="705"/>
      <c r="V89" s="705"/>
    </row>
    <row r="90" spans="1:22" s="5" customFormat="1">
      <c r="A90" s="19"/>
      <c r="B90" s="120"/>
      <c r="C90" s="90" t="s">
        <v>179</v>
      </c>
      <c r="D90" s="90"/>
      <c r="E90" s="90" t="s">
        <v>153</v>
      </c>
      <c r="F90" s="132" t="str">
        <f t="shared" ref="F90:F91" si="11">C90&amp;E90</f>
        <v>Wateroverlast en droogteItemcode</v>
      </c>
      <c r="G90" s="121" t="s">
        <v>180</v>
      </c>
      <c r="H90" s="121" t="s">
        <v>180</v>
      </c>
      <c r="I90" s="121" t="s">
        <v>180</v>
      </c>
      <c r="J90" s="121" t="s">
        <v>180</v>
      </c>
      <c r="K90" s="121" t="s">
        <v>180</v>
      </c>
      <c r="L90" s="121" t="s">
        <v>180</v>
      </c>
      <c r="M90" s="121" t="s">
        <v>180</v>
      </c>
      <c r="N90" s="477" t="s">
        <v>180</v>
      </c>
      <c r="O90" s="124"/>
      <c r="P90" s="705"/>
      <c r="Q90" s="457" t="s">
        <v>180</v>
      </c>
      <c r="R90" s="457" t="s">
        <v>180</v>
      </c>
      <c r="S90" s="705"/>
      <c r="T90" s="705"/>
      <c r="U90" s="705"/>
      <c r="V90" s="705"/>
    </row>
    <row r="91" spans="1:22" s="5" customFormat="1">
      <c r="A91" s="19"/>
      <c r="B91" s="120"/>
      <c r="C91" s="462" t="str">
        <f ca="1">OFFSET(C91,-1,0)</f>
        <v>Wateroverlast en droogte</v>
      </c>
      <c r="D91" s="90"/>
      <c r="E91" s="90" t="s">
        <v>155</v>
      </c>
      <c r="F91" s="132" t="str">
        <f t="shared" ca="1" si="11"/>
        <v>Wateroverlast en droogteMaximum</v>
      </c>
      <c r="G91" s="121">
        <v>44</v>
      </c>
      <c r="H91" s="121">
        <v>44</v>
      </c>
      <c r="I91" s="121">
        <v>44</v>
      </c>
      <c r="J91" s="121">
        <v>44</v>
      </c>
      <c r="K91" s="121">
        <v>44</v>
      </c>
      <c r="L91" s="121">
        <v>44</v>
      </c>
      <c r="M91" s="121">
        <v>44</v>
      </c>
      <c r="N91" s="477">
        <v>44</v>
      </c>
      <c r="O91" s="124"/>
      <c r="P91" s="705"/>
      <c r="Q91" s="457">
        <v>44</v>
      </c>
      <c r="R91" s="457">
        <v>44</v>
      </c>
      <c r="S91" s="705"/>
      <c r="T91" s="705"/>
      <c r="U91" s="705"/>
      <c r="V91" s="705"/>
    </row>
    <row r="92" spans="1:22" s="5" customFormat="1">
      <c r="A92" s="19"/>
      <c r="B92" s="120"/>
      <c r="C92" s="90" t="s">
        <v>181</v>
      </c>
      <c r="D92" s="90"/>
      <c r="E92" s="90" t="s">
        <v>153</v>
      </c>
      <c r="F92" s="132" t="str">
        <f t="shared" si="10"/>
        <v>Prefab bouwsysteemItemcode</v>
      </c>
      <c r="G92" s="121" t="s">
        <v>175</v>
      </c>
      <c r="H92" s="121" t="s">
        <v>175</v>
      </c>
      <c r="I92" s="121" t="s">
        <v>175</v>
      </c>
      <c r="J92" s="121" t="s">
        <v>175</v>
      </c>
      <c r="K92" s="121" t="s">
        <v>175</v>
      </c>
      <c r="L92" s="121" t="s">
        <v>175</v>
      </c>
      <c r="M92" s="121" t="s">
        <v>175</v>
      </c>
      <c r="N92" s="477" t="s">
        <v>175</v>
      </c>
      <c r="O92" s="124"/>
      <c r="P92" s="705"/>
      <c r="Q92" s="457" t="s">
        <v>175</v>
      </c>
      <c r="R92" s="457" t="s">
        <v>175</v>
      </c>
      <c r="S92" s="705"/>
      <c r="T92" s="705"/>
      <c r="U92" s="705"/>
      <c r="V92" s="705"/>
    </row>
    <row r="93" spans="1:22" s="5" customFormat="1">
      <c r="A93" s="19"/>
      <c r="B93" s="120"/>
      <c r="C93" s="462" t="str">
        <f ca="1">OFFSET(C93,-1,0)</f>
        <v>Prefab bouwsysteem</v>
      </c>
      <c r="D93" s="90"/>
      <c r="E93" s="90" t="s">
        <v>155</v>
      </c>
      <c r="F93" s="132" t="str">
        <f t="shared" ca="1" si="10"/>
        <v>Prefab bouwsysteemMaximum</v>
      </c>
      <c r="G93" s="121">
        <v>2</v>
      </c>
      <c r="H93" s="121">
        <v>2</v>
      </c>
      <c r="I93" s="121">
        <v>2</v>
      </c>
      <c r="J93" s="121">
        <v>2</v>
      </c>
      <c r="K93" s="121">
        <v>2</v>
      </c>
      <c r="L93" s="121">
        <v>2</v>
      </c>
      <c r="M93" s="121">
        <v>2</v>
      </c>
      <c r="N93" s="477">
        <v>2</v>
      </c>
      <c r="O93" s="124"/>
      <c r="P93" s="705"/>
      <c r="Q93" s="457">
        <v>2</v>
      </c>
      <c r="R93" s="457">
        <v>2</v>
      </c>
      <c r="S93" s="705"/>
      <c r="T93" s="705"/>
      <c r="U93" s="705"/>
      <c r="V93" s="705"/>
    </row>
    <row r="94" spans="1:22" s="5" customFormat="1">
      <c r="A94" s="19"/>
      <c r="B94" s="120"/>
      <c r="C94" s="90" t="s">
        <v>177</v>
      </c>
      <c r="D94" s="90"/>
      <c r="E94" s="90" t="s">
        <v>153</v>
      </c>
      <c r="F94" s="132" t="str">
        <f t="shared" si="2"/>
        <v>Ontkoppeling lagen Brand (afwijkende levensduur)Itemcode</v>
      </c>
      <c r="G94" s="121" t="s">
        <v>178</v>
      </c>
      <c r="H94" s="121" t="s">
        <v>178</v>
      </c>
      <c r="I94" s="121" t="s">
        <v>178</v>
      </c>
      <c r="J94" s="121" t="s">
        <v>178</v>
      </c>
      <c r="K94" s="121" t="s">
        <v>178</v>
      </c>
      <c r="L94" s="121" t="s">
        <v>178</v>
      </c>
      <c r="M94" s="121" t="s">
        <v>178</v>
      </c>
      <c r="N94" s="477" t="s">
        <v>178</v>
      </c>
      <c r="O94" s="124"/>
      <c r="P94" s="705"/>
      <c r="Q94" s="457" t="s">
        <v>178</v>
      </c>
      <c r="R94" s="457" t="s">
        <v>178</v>
      </c>
      <c r="S94" s="705"/>
      <c r="T94" s="705"/>
      <c r="U94" s="705"/>
      <c r="V94" s="705"/>
    </row>
    <row r="95" spans="1:22" s="5" customFormat="1">
      <c r="A95" s="19"/>
      <c r="B95" s="120"/>
      <c r="C95" s="462" t="str">
        <f ca="1">OFFSET(C95,-1,0)</f>
        <v>Ontkoppeling lagen Brand (afwijkende levensduur)</v>
      </c>
      <c r="D95" s="90"/>
      <c r="E95" s="90" t="s">
        <v>155</v>
      </c>
      <c r="F95" s="132" t="str">
        <f t="shared" ca="1" si="2"/>
        <v>Ontkoppeling lagen Brand (afwijkende levensduur)Maximum</v>
      </c>
      <c r="G95" s="121">
        <v>21</v>
      </c>
      <c r="H95" s="121">
        <v>21</v>
      </c>
      <c r="I95" s="121">
        <v>21</v>
      </c>
      <c r="J95" s="121">
        <v>21</v>
      </c>
      <c r="K95" s="121">
        <v>21</v>
      </c>
      <c r="L95" s="121">
        <v>21</v>
      </c>
      <c r="M95" s="121">
        <v>21</v>
      </c>
      <c r="N95" s="477">
        <v>21</v>
      </c>
      <c r="O95" s="124"/>
      <c r="P95" s="705"/>
      <c r="Q95" s="457">
        <v>21</v>
      </c>
      <c r="R95" s="457">
        <v>21</v>
      </c>
      <c r="S95" s="705"/>
      <c r="T95" s="705"/>
      <c r="U95" s="705"/>
      <c r="V95" s="705"/>
    </row>
    <row r="96" spans="1:22" s="5" customFormat="1">
      <c r="A96" s="19"/>
      <c r="B96" s="120"/>
      <c r="C96" s="90" t="s">
        <v>29</v>
      </c>
      <c r="D96" s="90"/>
      <c r="E96" s="90" t="s">
        <v>153</v>
      </c>
      <c r="F96" s="132" t="str">
        <f t="shared" si="2"/>
        <v>HergebruikspotentieItemcode</v>
      </c>
      <c r="G96" s="121" t="s">
        <v>182</v>
      </c>
      <c r="H96" s="121" t="s">
        <v>182</v>
      </c>
      <c r="I96" s="121" t="s">
        <v>182</v>
      </c>
      <c r="J96" s="121" t="s">
        <v>182</v>
      </c>
      <c r="K96" s="121" t="s">
        <v>182</v>
      </c>
      <c r="L96" s="121" t="s">
        <v>182</v>
      </c>
      <c r="M96" s="121" t="s">
        <v>182</v>
      </c>
      <c r="N96" s="477" t="s">
        <v>182</v>
      </c>
      <c r="O96" s="124"/>
      <c r="P96" s="705"/>
      <c r="Q96" s="457" t="s">
        <v>182</v>
      </c>
      <c r="R96" s="457" t="s">
        <v>182</v>
      </c>
      <c r="S96" s="705"/>
      <c r="T96" s="705"/>
      <c r="U96" s="705"/>
      <c r="V96" s="705"/>
    </row>
    <row r="97" spans="1:18" s="5" customFormat="1">
      <c r="A97" s="19"/>
      <c r="B97" s="120"/>
      <c r="C97" s="462" t="str">
        <f ca="1">OFFSET(C97,-1,0)</f>
        <v>Hergebruikspotentie</v>
      </c>
      <c r="D97" s="90"/>
      <c r="E97" s="90" t="s">
        <v>155</v>
      </c>
      <c r="F97" s="133" t="str">
        <f t="shared" ca="1" si="2"/>
        <v>HergebruikspotentieMaximum</v>
      </c>
      <c r="G97" s="125">
        <v>28</v>
      </c>
      <c r="H97" s="125">
        <v>28</v>
      </c>
      <c r="I97" s="125">
        <v>28</v>
      </c>
      <c r="J97" s="125">
        <v>28</v>
      </c>
      <c r="K97" s="125">
        <v>28</v>
      </c>
      <c r="L97" s="125">
        <v>28</v>
      </c>
      <c r="M97" s="125">
        <v>28</v>
      </c>
      <c r="N97" s="480">
        <v>28</v>
      </c>
      <c r="O97" s="126"/>
      <c r="P97" s="705"/>
      <c r="Q97" s="458">
        <v>28</v>
      </c>
      <c r="R97" s="458">
        <v>28</v>
      </c>
    </row>
    <row r="98" spans="1:18" s="5" customFormat="1">
      <c r="A98" s="497"/>
      <c r="B98" s="120"/>
      <c r="C98" s="498"/>
      <c r="D98" s="499"/>
      <c r="E98" s="499"/>
      <c r="F98" s="500"/>
      <c r="G98" s="501"/>
      <c r="H98" s="501"/>
      <c r="I98" s="501"/>
      <c r="J98" s="501"/>
      <c r="K98" s="501"/>
      <c r="L98" s="501"/>
      <c r="M98" s="501"/>
      <c r="N98" s="502"/>
      <c r="O98" s="503"/>
      <c r="P98" s="705"/>
      <c r="Q98" s="504"/>
      <c r="R98" s="504"/>
    </row>
    <row r="99" spans="1:18">
      <c r="B99" s="88">
        <f ca="1">MAX(tabellen!$B$1:OFFSET(B99,-1,0))+1</f>
        <v>9</v>
      </c>
      <c r="C99" s="89" t="s">
        <v>1426</v>
      </c>
      <c r="D99" s="89"/>
      <c r="E99" s="89"/>
      <c r="F99" s="122"/>
      <c r="G99" s="123">
        <f t="shared" ref="G99:M99" ca="1" si="12">OFFSET(G99,0,-1)+1</f>
        <v>1</v>
      </c>
      <c r="H99" s="123">
        <f t="shared" ca="1" si="12"/>
        <v>2</v>
      </c>
      <c r="I99" s="123">
        <f t="shared" ca="1" si="12"/>
        <v>3</v>
      </c>
      <c r="J99" s="123">
        <f t="shared" ca="1" si="12"/>
        <v>4</v>
      </c>
      <c r="K99" s="123">
        <f t="shared" ca="1" si="12"/>
        <v>5</v>
      </c>
      <c r="L99" s="123">
        <f t="shared" ca="1" si="12"/>
        <v>6</v>
      </c>
      <c r="M99" s="123">
        <f t="shared" ca="1" si="12"/>
        <v>7</v>
      </c>
      <c r="N99" s="123">
        <f ca="1">OFFSET(N99,0,-1)+1</f>
        <v>8</v>
      </c>
      <c r="O99" s="15"/>
      <c r="P99" s="703"/>
      <c r="Q99" s="123">
        <f ca="1">OFFSET(Q99,0,-1)+1</f>
        <v>1</v>
      </c>
      <c r="R99" s="123">
        <f ca="1">OFFSET(R99,0,-1)+1</f>
        <v>2</v>
      </c>
    </row>
    <row r="100" spans="1:18" s="119" customFormat="1" ht="32">
      <c r="A100" s="116"/>
      <c r="B100" s="117"/>
      <c r="C100" s="118" t="s">
        <v>140</v>
      </c>
      <c r="D100" s="118"/>
      <c r="E100" s="118" t="s">
        <v>141</v>
      </c>
      <c r="F100" s="130"/>
      <c r="G100" s="128" t="s">
        <v>142</v>
      </c>
      <c r="H100" s="128" t="s">
        <v>143</v>
      </c>
      <c r="I100" s="128" t="s">
        <v>144</v>
      </c>
      <c r="J100" s="128" t="s">
        <v>145</v>
      </c>
      <c r="K100" s="128" t="s">
        <v>146</v>
      </c>
      <c r="L100" s="128" t="s">
        <v>147</v>
      </c>
      <c r="M100" s="128" t="s">
        <v>148</v>
      </c>
      <c r="N100" s="128" t="s">
        <v>149</v>
      </c>
      <c r="O100" s="129"/>
      <c r="P100" s="704"/>
      <c r="Q100" s="128" t="s">
        <v>150</v>
      </c>
      <c r="R100" s="128" t="s">
        <v>151</v>
      </c>
    </row>
    <row r="101" spans="1:18" s="5" customFormat="1">
      <c r="A101" s="19"/>
      <c r="B101" s="120"/>
      <c r="C101" s="90" t="s">
        <v>152</v>
      </c>
      <c r="D101" s="90"/>
      <c r="E101" s="90" t="s">
        <v>153</v>
      </c>
      <c r="F101" s="131" t="str">
        <f>C101&amp;E101</f>
        <v>Extra maatregelen (handhaven casco en/of gevel)Itemcode</v>
      </c>
      <c r="G101" s="127" t="s">
        <v>1440</v>
      </c>
      <c r="H101" s="127" t="s">
        <v>1440</v>
      </c>
      <c r="I101" s="127" t="s">
        <v>1440</v>
      </c>
      <c r="J101" s="127" t="s">
        <v>1440</v>
      </c>
      <c r="K101" s="127" t="s">
        <v>1440</v>
      </c>
      <c r="L101" s="127" t="s">
        <v>1440</v>
      </c>
      <c r="M101" s="127" t="s">
        <v>1440</v>
      </c>
      <c r="N101" s="481" t="s">
        <v>1440</v>
      </c>
      <c r="O101" s="124"/>
      <c r="P101" s="705"/>
      <c r="Q101" s="456" t="s">
        <v>154</v>
      </c>
      <c r="R101" s="456" t="s">
        <v>154</v>
      </c>
    </row>
    <row r="102" spans="1:18" s="5" customFormat="1">
      <c r="A102" s="19"/>
      <c r="B102" s="120"/>
      <c r="C102" s="462" t="str">
        <f ca="1">OFFSET(C102,-1,0)</f>
        <v>Extra maatregelen (handhaven casco en/of gevel)</v>
      </c>
      <c r="D102" s="90"/>
      <c r="E102" s="90" t="s">
        <v>155</v>
      </c>
      <c r="F102" s="132" t="str">
        <f t="shared" ref="F102:F131" ca="1" si="13">C102&amp;E102</f>
        <v>Extra maatregelen (handhaven casco en/of gevel)Maximum</v>
      </c>
      <c r="G102" s="121">
        <f t="shared" ref="G102:M102" si="14">G104</f>
        <v>21</v>
      </c>
      <c r="H102" s="121">
        <f t="shared" si="14"/>
        <v>21</v>
      </c>
      <c r="I102" s="121">
        <f t="shared" si="14"/>
        <v>21</v>
      </c>
      <c r="J102" s="121">
        <f t="shared" si="14"/>
        <v>21</v>
      </c>
      <c r="K102" s="121">
        <f t="shared" si="14"/>
        <v>21</v>
      </c>
      <c r="L102" s="121">
        <f t="shared" si="14"/>
        <v>21</v>
      </c>
      <c r="M102" s="121">
        <f t="shared" si="14"/>
        <v>21</v>
      </c>
      <c r="N102" s="477">
        <v>21</v>
      </c>
      <c r="O102" s="124"/>
      <c r="P102" s="705"/>
      <c r="Q102" s="457">
        <f>Q104</f>
        <v>21</v>
      </c>
      <c r="R102" s="457">
        <f>R104</f>
        <v>21</v>
      </c>
    </row>
    <row r="103" spans="1:18" s="5" customFormat="1">
      <c r="A103" s="19"/>
      <c r="B103" s="120"/>
      <c r="C103" s="90" t="s">
        <v>156</v>
      </c>
      <c r="D103" s="90"/>
      <c r="E103" s="90" t="s">
        <v>153</v>
      </c>
      <c r="F103" s="132" t="str">
        <f t="shared" si="13"/>
        <v>Hergebruik productenItemcode</v>
      </c>
      <c r="G103" s="121" t="s">
        <v>159</v>
      </c>
      <c r="H103" s="121" t="s">
        <v>159</v>
      </c>
      <c r="I103" s="121" t="s">
        <v>159</v>
      </c>
      <c r="J103" s="121" t="s">
        <v>159</v>
      </c>
      <c r="K103" s="121" t="s">
        <v>159</v>
      </c>
      <c r="L103" s="121" t="s">
        <v>159</v>
      </c>
      <c r="M103" s="121" t="s">
        <v>159</v>
      </c>
      <c r="N103" s="477" t="s">
        <v>159</v>
      </c>
      <c r="O103" s="124"/>
      <c r="P103" s="705"/>
      <c r="Q103" s="457" t="s">
        <v>157</v>
      </c>
      <c r="R103" s="457" t="s">
        <v>157</v>
      </c>
    </row>
    <row r="104" spans="1:18" s="5" customFormat="1">
      <c r="A104" s="19"/>
      <c r="B104" s="120"/>
      <c r="C104" s="462" t="str">
        <f ca="1">OFFSET(C104,-1,0)</f>
        <v>Hergebruik producten</v>
      </c>
      <c r="D104" s="90"/>
      <c r="E104" s="90" t="s">
        <v>155</v>
      </c>
      <c r="F104" s="132" t="str">
        <f t="shared" ca="1" si="13"/>
        <v>Hergebruik productenMaximum</v>
      </c>
      <c r="G104" s="121">
        <v>21</v>
      </c>
      <c r="H104" s="121">
        <v>21</v>
      </c>
      <c r="I104" s="121">
        <v>21</v>
      </c>
      <c r="J104" s="121">
        <v>21</v>
      </c>
      <c r="K104" s="121">
        <v>21</v>
      </c>
      <c r="L104" s="121">
        <v>21</v>
      </c>
      <c r="M104" s="121">
        <v>21</v>
      </c>
      <c r="N104" s="477">
        <v>21</v>
      </c>
      <c r="O104" s="124"/>
      <c r="P104" s="705"/>
      <c r="Q104" s="457">
        <v>21</v>
      </c>
      <c r="R104" s="457">
        <v>21</v>
      </c>
    </row>
    <row r="105" spans="1:18" s="5" customFormat="1">
      <c r="A105" s="19"/>
      <c r="B105" s="120"/>
      <c r="C105" s="90" t="s">
        <v>158</v>
      </c>
      <c r="D105" s="90"/>
      <c r="E105" s="90" t="s">
        <v>153</v>
      </c>
      <c r="F105" s="132" t="str">
        <f t="shared" si="13"/>
        <v>Circulaire materialen ('secundair, extra')Itemcode</v>
      </c>
      <c r="G105" s="121" t="s">
        <v>162</v>
      </c>
      <c r="H105" s="121" t="s">
        <v>162</v>
      </c>
      <c r="I105" s="121" t="s">
        <v>162</v>
      </c>
      <c r="J105" s="121" t="s">
        <v>162</v>
      </c>
      <c r="K105" s="121" t="s">
        <v>162</v>
      </c>
      <c r="L105" s="121" t="s">
        <v>162</v>
      </c>
      <c r="M105" s="121" t="s">
        <v>162</v>
      </c>
      <c r="N105" s="477" t="s">
        <v>162</v>
      </c>
      <c r="O105" s="124"/>
      <c r="P105" s="705"/>
      <c r="Q105" s="457" t="s">
        <v>159</v>
      </c>
      <c r="R105" s="457" t="s">
        <v>159</v>
      </c>
    </row>
    <row r="106" spans="1:18" s="5" customFormat="1">
      <c r="A106" s="19"/>
      <c r="B106" s="120"/>
      <c r="C106" s="90" t="str">
        <f ca="1">OFFSET(C106,-1,0)</f>
        <v>Circulaire materialen ('secundair, extra')</v>
      </c>
      <c r="D106" s="90"/>
      <c r="E106" s="90" t="s">
        <v>155</v>
      </c>
      <c r="F106" s="132" t="str">
        <f t="shared" ca="1" si="13"/>
        <v>Circulaire materialen ('secundair, extra')Maximum</v>
      </c>
      <c r="G106" s="459">
        <f t="shared" ref="G106:R106" si="15">0.15*1/(1+4+2)</f>
        <v>2.1428571428571429E-2</v>
      </c>
      <c r="H106" s="459">
        <f t="shared" si="15"/>
        <v>2.1428571428571429E-2</v>
      </c>
      <c r="I106" s="459">
        <f t="shared" si="15"/>
        <v>2.1428571428571429E-2</v>
      </c>
      <c r="J106" s="459">
        <f t="shared" si="15"/>
        <v>2.1428571428571429E-2</v>
      </c>
      <c r="K106" s="459">
        <f t="shared" si="15"/>
        <v>2.1428571428571429E-2</v>
      </c>
      <c r="L106" s="459">
        <f t="shared" si="15"/>
        <v>2.1428571428571429E-2</v>
      </c>
      <c r="M106" s="459">
        <f t="shared" si="15"/>
        <v>2.1428571428571429E-2</v>
      </c>
      <c r="N106" s="478">
        <f t="shared" si="15"/>
        <v>2.1428571428571429E-2</v>
      </c>
      <c r="O106" s="124"/>
      <c r="P106" s="705"/>
      <c r="Q106" s="464">
        <f t="shared" si="15"/>
        <v>2.1428571428571429E-2</v>
      </c>
      <c r="R106" s="464">
        <f t="shared" si="15"/>
        <v>2.1428571428571429E-2</v>
      </c>
    </row>
    <row r="107" spans="1:18" s="5" customFormat="1" ht="32">
      <c r="A107" s="19"/>
      <c r="B107" s="120"/>
      <c r="C107" s="460" t="s">
        <v>160</v>
      </c>
      <c r="D107" s="90"/>
      <c r="E107" s="90" t="s">
        <v>153</v>
      </c>
      <c r="F107" s="132" t="str">
        <f t="shared" si="13"/>
        <v>Circulaire materialen ('biobased CO2-opslag'+'biobased overig')Itemcode</v>
      </c>
      <c r="G107" s="121" t="s">
        <v>162</v>
      </c>
      <c r="H107" s="121" t="s">
        <v>162</v>
      </c>
      <c r="I107" s="121" t="s">
        <v>162</v>
      </c>
      <c r="J107" s="121" t="s">
        <v>162</v>
      </c>
      <c r="K107" s="121" t="s">
        <v>162</v>
      </c>
      <c r="L107" s="121" t="s">
        <v>162</v>
      </c>
      <c r="M107" s="121" t="s">
        <v>162</v>
      </c>
      <c r="N107" s="477" t="s">
        <v>162</v>
      </c>
      <c r="O107" s="124"/>
      <c r="P107" s="705"/>
      <c r="Q107" s="457" t="s">
        <v>159</v>
      </c>
      <c r="R107" s="457" t="s">
        <v>159</v>
      </c>
    </row>
    <row r="108" spans="1:18" s="5" customFormat="1" ht="32">
      <c r="A108" s="19"/>
      <c r="B108" s="120"/>
      <c r="C108" s="462" t="str">
        <f ca="1">OFFSET(C108,-1,0)</f>
        <v>Circulaire materialen ('biobased CO2-opslag'+'biobased overig')</v>
      </c>
      <c r="D108" s="90"/>
      <c r="E108" s="90" t="s">
        <v>155</v>
      </c>
      <c r="F108" s="132" t="str">
        <f t="shared" ca="1" si="13"/>
        <v>Circulaire materialen ('biobased CO2-opslag'+'biobased overig')Maximum</v>
      </c>
      <c r="G108" s="459">
        <f t="shared" ref="G108:R108" si="16">0.15*6/(1+4+2)</f>
        <v>0.12857142857142856</v>
      </c>
      <c r="H108" s="459">
        <f t="shared" si="16"/>
        <v>0.12857142857142856</v>
      </c>
      <c r="I108" s="459">
        <f t="shared" si="16"/>
        <v>0.12857142857142856</v>
      </c>
      <c r="J108" s="459">
        <f t="shared" si="16"/>
        <v>0.12857142857142856</v>
      </c>
      <c r="K108" s="459">
        <f t="shared" si="16"/>
        <v>0.12857142857142856</v>
      </c>
      <c r="L108" s="459">
        <f t="shared" si="16"/>
        <v>0.12857142857142856</v>
      </c>
      <c r="M108" s="459">
        <f t="shared" si="16"/>
        <v>0.12857142857142856</v>
      </c>
      <c r="N108" s="478">
        <f t="shared" si="16"/>
        <v>0.12857142857142856</v>
      </c>
      <c r="O108" s="124"/>
      <c r="P108" s="705"/>
      <c r="Q108" s="464">
        <f t="shared" si="16"/>
        <v>0.12857142857142856</v>
      </c>
      <c r="R108" s="464">
        <f t="shared" si="16"/>
        <v>0.12857142857142856</v>
      </c>
    </row>
    <row r="109" spans="1:18" s="5" customFormat="1">
      <c r="A109" s="19"/>
      <c r="B109" s="120"/>
      <c r="C109" s="460" t="s">
        <v>161</v>
      </c>
      <c r="D109" s="90"/>
      <c r="E109" s="90" t="s">
        <v>153</v>
      </c>
      <c r="F109" s="132" t="str">
        <f t="shared" si="13"/>
        <v>Hout uit duurzaam beheerde bossenItemcode</v>
      </c>
      <c r="G109" s="121" t="s">
        <v>175</v>
      </c>
      <c r="H109" s="121" t="s">
        <v>175</v>
      </c>
      <c r="I109" s="121" t="s">
        <v>175</v>
      </c>
      <c r="J109" s="121" t="s">
        <v>175</v>
      </c>
      <c r="K109" s="121" t="s">
        <v>175</v>
      </c>
      <c r="L109" s="121" t="s">
        <v>175</v>
      </c>
      <c r="M109" s="121" t="s">
        <v>175</v>
      </c>
      <c r="N109" s="477" t="s">
        <v>175</v>
      </c>
      <c r="O109" s="124"/>
      <c r="P109" s="705"/>
      <c r="Q109" s="457" t="s">
        <v>162</v>
      </c>
      <c r="R109" s="457" t="s">
        <v>162</v>
      </c>
    </row>
    <row r="110" spans="1:18" s="5" customFormat="1">
      <c r="A110" s="19"/>
      <c r="B110" s="120"/>
      <c r="C110" s="90" t="str">
        <f ca="1">OFFSET(C110,-1,0)</f>
        <v>Hout uit duurzaam beheerde bossen</v>
      </c>
      <c r="D110" s="90"/>
      <c r="E110" s="90" t="s">
        <v>155</v>
      </c>
      <c r="F110" s="132" t="str">
        <f t="shared" ca="1" si="13"/>
        <v>Hout uit duurzaam beheerde bossenMaximum</v>
      </c>
      <c r="G110" s="461">
        <v>14</v>
      </c>
      <c r="H110" s="461">
        <v>14</v>
      </c>
      <c r="I110" s="461">
        <v>14</v>
      </c>
      <c r="J110" s="461">
        <v>14</v>
      </c>
      <c r="K110" s="461">
        <v>14</v>
      </c>
      <c r="L110" s="461">
        <v>14</v>
      </c>
      <c r="M110" s="461">
        <v>14</v>
      </c>
      <c r="N110" s="479">
        <v>14</v>
      </c>
      <c r="O110" s="124"/>
      <c r="P110" s="705"/>
      <c r="Q110" s="465">
        <v>14</v>
      </c>
      <c r="R110" s="465">
        <v>14</v>
      </c>
    </row>
    <row r="111" spans="1:18" s="5" customFormat="1">
      <c r="A111" s="19"/>
      <c r="B111" s="120"/>
      <c r="C111" s="90" t="s">
        <v>163</v>
      </c>
      <c r="D111" s="90"/>
      <c r="E111" s="90" t="s">
        <v>153</v>
      </c>
      <c r="F111" s="132" t="str">
        <f t="shared" si="13"/>
        <v>BENG 3 - indicatorItemcode</v>
      </c>
      <c r="G111" s="121" t="s">
        <v>164</v>
      </c>
      <c r="H111" s="121" t="s">
        <v>164</v>
      </c>
      <c r="I111" s="121" t="s">
        <v>164</v>
      </c>
      <c r="J111" s="121" t="s">
        <v>164</v>
      </c>
      <c r="K111" s="121" t="s">
        <v>164</v>
      </c>
      <c r="L111" s="121" t="s">
        <v>164</v>
      </c>
      <c r="M111" s="121" t="s">
        <v>164</v>
      </c>
      <c r="N111" s="477" t="s">
        <v>164</v>
      </c>
      <c r="O111" s="124"/>
      <c r="P111" s="705"/>
      <c r="Q111" s="457" t="s">
        <v>164</v>
      </c>
      <c r="R111" s="457" t="s">
        <v>164</v>
      </c>
    </row>
    <row r="112" spans="1:18" s="5" customFormat="1">
      <c r="A112" s="19"/>
      <c r="B112" s="120"/>
      <c r="C112" s="462" t="str">
        <f ca="1">OFFSET(C112,-1,0)</f>
        <v>BENG 3 - indicator</v>
      </c>
      <c r="D112" s="90"/>
      <c r="E112" s="90" t="s">
        <v>155</v>
      </c>
      <c r="F112" s="132" t="str">
        <f t="shared" ca="1" si="13"/>
        <v>BENG 3 - indicatorMaximum</v>
      </c>
      <c r="G112" s="221">
        <v>1</v>
      </c>
      <c r="H112" s="221">
        <v>1</v>
      </c>
      <c r="I112" s="221">
        <v>1</v>
      </c>
      <c r="J112" s="221">
        <v>1</v>
      </c>
      <c r="K112" s="221">
        <v>1</v>
      </c>
      <c r="L112" s="221">
        <v>1</v>
      </c>
      <c r="M112" s="221">
        <v>1</v>
      </c>
      <c r="N112" s="482">
        <v>1</v>
      </c>
      <c r="O112" s="124"/>
      <c r="P112" s="705"/>
      <c r="Q112" s="466">
        <v>1</v>
      </c>
      <c r="R112" s="466">
        <v>1</v>
      </c>
    </row>
    <row r="113" spans="1:22" s="5" customFormat="1">
      <c r="A113" s="19"/>
      <c r="B113" s="120"/>
      <c r="C113" s="90" t="s">
        <v>165</v>
      </c>
      <c r="D113" s="90"/>
      <c r="E113" s="90" t="s">
        <v>153</v>
      </c>
      <c r="F113" s="132" t="str">
        <f t="shared" si="13"/>
        <v>Circulair watergebruikItemcode</v>
      </c>
      <c r="G113" s="121" t="s">
        <v>166</v>
      </c>
      <c r="H113" s="121" t="s">
        <v>166</v>
      </c>
      <c r="I113" s="121" t="s">
        <v>166</v>
      </c>
      <c r="J113" s="121" t="s">
        <v>166</v>
      </c>
      <c r="K113" s="121" t="s">
        <v>166</v>
      </c>
      <c r="L113" s="121" t="s">
        <v>166</v>
      </c>
      <c r="M113" s="121" t="s">
        <v>166</v>
      </c>
      <c r="N113" s="477" t="s">
        <v>166</v>
      </c>
      <c r="O113" s="124"/>
      <c r="P113" s="705"/>
      <c r="Q113" s="457" t="s">
        <v>167</v>
      </c>
      <c r="R113" s="457" t="s">
        <v>167</v>
      </c>
    </row>
    <row r="114" spans="1:22" s="5" customFormat="1">
      <c r="A114" s="19"/>
      <c r="B114" s="120"/>
      <c r="C114" s="462" t="str">
        <f ca="1">OFFSET(C114,-1,0)</f>
        <v>Circulair watergebruik</v>
      </c>
      <c r="D114" s="90"/>
      <c r="E114" s="90" t="s">
        <v>155</v>
      </c>
      <c r="F114" s="132" t="str">
        <f t="shared" ca="1" si="13"/>
        <v>Circulair watergebruikMaximum</v>
      </c>
      <c r="G114" s="121">
        <v>18</v>
      </c>
      <c r="H114" s="121">
        <v>7</v>
      </c>
      <c r="I114" s="121">
        <v>10</v>
      </c>
      <c r="J114" s="121">
        <v>10</v>
      </c>
      <c r="K114" s="121">
        <v>10</v>
      </c>
      <c r="L114" s="121">
        <v>7</v>
      </c>
      <c r="M114" s="121">
        <v>8</v>
      </c>
      <c r="N114" s="477">
        <v>8</v>
      </c>
      <c r="O114" s="124"/>
      <c r="P114" s="705"/>
      <c r="Q114" s="457">
        <v>10</v>
      </c>
      <c r="R114" s="457">
        <v>10</v>
      </c>
    </row>
    <row r="115" spans="1:22" s="5" customFormat="1">
      <c r="A115" s="19"/>
      <c r="B115" s="120"/>
      <c r="C115" s="90" t="s">
        <v>169</v>
      </c>
      <c r="D115" s="90"/>
      <c r="E115" s="90" t="s">
        <v>153</v>
      </c>
      <c r="F115" s="132" t="str">
        <f t="shared" si="13"/>
        <v>Duurzaamheidsprestatie (DPG)Itemcode</v>
      </c>
      <c r="G115" s="121" t="s">
        <v>170</v>
      </c>
      <c r="H115" s="121" t="s">
        <v>170</v>
      </c>
      <c r="I115" s="121" t="s">
        <v>170</v>
      </c>
      <c r="J115" s="121" t="s">
        <v>170</v>
      </c>
      <c r="K115" s="121" t="s">
        <v>170</v>
      </c>
      <c r="L115" s="121" t="s">
        <v>170</v>
      </c>
      <c r="M115" s="121" t="s">
        <v>170</v>
      </c>
      <c r="N115" s="477" t="s">
        <v>132</v>
      </c>
      <c r="O115" s="124"/>
      <c r="P115" s="706"/>
      <c r="Q115" s="457" t="s">
        <v>171</v>
      </c>
      <c r="R115" s="457" t="s">
        <v>171</v>
      </c>
      <c r="S115" s="706"/>
      <c r="T115" s="706"/>
      <c r="U115" s="706"/>
      <c r="V115" s="706"/>
    </row>
    <row r="116" spans="1:22" s="5" customFormat="1">
      <c r="A116" s="19"/>
      <c r="B116" s="120"/>
      <c r="C116" s="90" t="s">
        <v>172</v>
      </c>
      <c r="D116" s="90"/>
      <c r="E116" s="90" t="s">
        <v>153</v>
      </c>
      <c r="F116" s="132" t="str">
        <f t="shared" si="13"/>
        <v>Lange gebouwlevensduurItemcode</v>
      </c>
      <c r="G116" s="121" t="s">
        <v>178</v>
      </c>
      <c r="H116" s="121" t="s">
        <v>178</v>
      </c>
      <c r="I116" s="121" t="s">
        <v>178</v>
      </c>
      <c r="J116" s="121" t="s">
        <v>178</v>
      </c>
      <c r="K116" s="121" t="s">
        <v>178</v>
      </c>
      <c r="L116" s="121" t="s">
        <v>178</v>
      </c>
      <c r="M116" s="121" t="s">
        <v>178</v>
      </c>
      <c r="N116" s="477" t="s">
        <v>178</v>
      </c>
      <c r="O116" s="124"/>
      <c r="P116" s="706"/>
      <c r="Q116" s="457" t="s">
        <v>173</v>
      </c>
      <c r="R116" s="457" t="s">
        <v>173</v>
      </c>
      <c r="S116" s="706"/>
      <c r="T116" s="706"/>
      <c r="U116" s="706"/>
      <c r="V116" s="706"/>
    </row>
    <row r="117" spans="1:22" s="5" customFormat="1">
      <c r="A117" s="19"/>
      <c r="B117" s="120"/>
      <c r="C117" s="90" t="str">
        <f ca="1">OFFSET(C117,-1,0)</f>
        <v>Lange gebouwlevensduur</v>
      </c>
      <c r="D117" s="90"/>
      <c r="E117" s="90" t="s">
        <v>155</v>
      </c>
      <c r="F117" s="132" t="str">
        <f t="shared" ca="1" si="13"/>
        <v>Lange gebouwlevensduurMaximum</v>
      </c>
      <c r="G117" s="121">
        <v>21</v>
      </c>
      <c r="H117" s="121">
        <v>21</v>
      </c>
      <c r="I117" s="121">
        <v>21</v>
      </c>
      <c r="J117" s="121">
        <v>21</v>
      </c>
      <c r="K117" s="121">
        <v>21</v>
      </c>
      <c r="L117" s="121">
        <v>21</v>
      </c>
      <c r="M117" s="121">
        <v>21</v>
      </c>
      <c r="N117" s="477">
        <v>21</v>
      </c>
      <c r="O117" s="124"/>
      <c r="P117" s="705"/>
      <c r="Q117" s="457">
        <v>21</v>
      </c>
      <c r="R117" s="457">
        <v>21</v>
      </c>
      <c r="S117" s="705"/>
      <c r="T117" s="705"/>
      <c r="U117" s="705"/>
      <c r="V117" s="705"/>
    </row>
    <row r="118" spans="1:22" s="5" customFormat="1" ht="32">
      <c r="A118" s="19"/>
      <c r="B118" s="120"/>
      <c r="C118" s="460" t="s">
        <v>174</v>
      </c>
      <c r="D118" s="90"/>
      <c r="E118" s="90" t="s">
        <v>153</v>
      </c>
      <c r="F118" s="132" t="str">
        <f t="shared" si="13"/>
        <v>Robuuste uitvoering of detaillering bij gevoelige elementenItemcode</v>
      </c>
      <c r="G118" s="121" t="s">
        <v>173</v>
      </c>
      <c r="H118" s="121" t="s">
        <v>173</v>
      </c>
      <c r="I118" s="121" t="s">
        <v>173</v>
      </c>
      <c r="J118" s="121" t="s">
        <v>173</v>
      </c>
      <c r="K118" s="121" t="s">
        <v>173</v>
      </c>
      <c r="L118" s="121" t="s">
        <v>173</v>
      </c>
      <c r="M118" s="121" t="s">
        <v>173</v>
      </c>
      <c r="N118" s="477" t="s">
        <v>173</v>
      </c>
      <c r="O118" s="124"/>
      <c r="P118" s="705"/>
      <c r="Q118" s="457" t="s">
        <v>175</v>
      </c>
      <c r="R118" s="457" t="s">
        <v>175</v>
      </c>
      <c r="S118" s="705"/>
      <c r="T118" s="705"/>
      <c r="U118" s="705"/>
      <c r="V118" s="705"/>
    </row>
    <row r="119" spans="1:22" s="5" customFormat="1" ht="32">
      <c r="A119" s="19"/>
      <c r="B119" s="120"/>
      <c r="C119" s="462" t="str">
        <f ca="1">OFFSET(C119,-1,0)</f>
        <v>Robuuste uitvoering of detaillering bij gevoelige elementen</v>
      </c>
      <c r="D119" s="90"/>
      <c r="E119" s="90" t="s">
        <v>155</v>
      </c>
      <c r="F119" s="132" t="str">
        <f t="shared" ca="1" si="13"/>
        <v>Robuuste uitvoering of detaillering bij gevoelige elementenMaximum</v>
      </c>
      <c r="G119" s="121">
        <v>2</v>
      </c>
      <c r="H119" s="121">
        <v>2</v>
      </c>
      <c r="I119" s="121">
        <v>2</v>
      </c>
      <c r="J119" s="121">
        <v>2</v>
      </c>
      <c r="K119" s="121">
        <v>2</v>
      </c>
      <c r="L119" s="121">
        <v>2</v>
      </c>
      <c r="M119" s="121">
        <v>2</v>
      </c>
      <c r="N119" s="477">
        <v>2</v>
      </c>
      <c r="O119" s="124"/>
      <c r="P119" s="705"/>
      <c r="Q119" s="457">
        <v>2</v>
      </c>
      <c r="R119" s="457">
        <v>2</v>
      </c>
      <c r="S119" s="705"/>
      <c r="T119" s="705"/>
      <c r="U119" s="705"/>
      <c r="V119" s="705"/>
    </row>
    <row r="120" spans="1:22" s="5" customFormat="1">
      <c r="A120" s="19"/>
      <c r="B120" s="120"/>
      <c r="C120" s="460" t="s">
        <v>176</v>
      </c>
      <c r="D120" s="90"/>
      <c r="E120" s="90" t="s">
        <v>153</v>
      </c>
      <c r="F120" s="132" t="str">
        <f t="shared" si="13"/>
        <v>Eenvoudig aanpasbare elementenItemcode</v>
      </c>
      <c r="G120" s="121" t="s">
        <v>173</v>
      </c>
      <c r="H120" s="121" t="s">
        <v>173</v>
      </c>
      <c r="I120" s="121" t="s">
        <v>173</v>
      </c>
      <c r="J120" s="121" t="s">
        <v>173</v>
      </c>
      <c r="K120" s="121" t="s">
        <v>173</v>
      </c>
      <c r="L120" s="121" t="s">
        <v>173</v>
      </c>
      <c r="M120" s="121" t="s">
        <v>173</v>
      </c>
      <c r="N120" s="477" t="s">
        <v>173</v>
      </c>
      <c r="O120" s="124"/>
      <c r="P120" s="705"/>
      <c r="Q120" s="457" t="s">
        <v>175</v>
      </c>
      <c r="R120" s="457" t="s">
        <v>175</v>
      </c>
      <c r="S120" s="705"/>
      <c r="T120" s="705"/>
      <c r="U120" s="705"/>
      <c r="V120" s="705"/>
    </row>
    <row r="121" spans="1:22" s="5" customFormat="1">
      <c r="A121" s="19"/>
      <c r="B121" s="120"/>
      <c r="C121" s="462" t="str">
        <f ca="1">OFFSET(C121,-1,0)</f>
        <v>Eenvoudig aanpasbare elementen</v>
      </c>
      <c r="D121" s="90"/>
      <c r="E121" s="90" t="s">
        <v>155</v>
      </c>
      <c r="F121" s="132" t="str">
        <f t="shared" ca="1" si="13"/>
        <v>Eenvoudig aanpasbare elementenMaximum</v>
      </c>
      <c r="G121" s="121">
        <v>2</v>
      </c>
      <c r="H121" s="121">
        <v>2</v>
      </c>
      <c r="I121" s="121">
        <v>2</v>
      </c>
      <c r="J121" s="121">
        <v>2</v>
      </c>
      <c r="K121" s="121">
        <v>2</v>
      </c>
      <c r="L121" s="121">
        <v>2</v>
      </c>
      <c r="M121" s="121">
        <v>2</v>
      </c>
      <c r="N121" s="477">
        <v>2</v>
      </c>
      <c r="O121" s="124"/>
      <c r="P121" s="705"/>
      <c r="Q121" s="457">
        <v>2</v>
      </c>
      <c r="R121" s="457">
        <v>2</v>
      </c>
      <c r="S121" s="705"/>
      <c r="T121" s="705"/>
      <c r="U121" s="705"/>
      <c r="V121" s="705"/>
    </row>
    <row r="122" spans="1:22" s="5" customFormat="1">
      <c r="A122" s="19"/>
      <c r="B122" s="120"/>
      <c r="C122" s="90" t="s">
        <v>177</v>
      </c>
      <c r="D122" s="90"/>
      <c r="E122" s="90" t="s">
        <v>153</v>
      </c>
      <c r="F122" s="132" t="str">
        <f t="shared" si="13"/>
        <v>Ontkoppeling lagen Brand (afwijkende levensduur)Itemcode</v>
      </c>
      <c r="G122" s="121" t="s">
        <v>182</v>
      </c>
      <c r="H122" s="121" t="s">
        <v>182</v>
      </c>
      <c r="I122" s="121" t="s">
        <v>182</v>
      </c>
      <c r="J122" s="121" t="s">
        <v>182</v>
      </c>
      <c r="K122" s="121" t="s">
        <v>182</v>
      </c>
      <c r="L122" s="121" t="s">
        <v>182</v>
      </c>
      <c r="M122" s="121" t="s">
        <v>182</v>
      </c>
      <c r="N122" s="477" t="s">
        <v>182</v>
      </c>
      <c r="O122" s="124"/>
      <c r="P122" s="705"/>
      <c r="Q122" s="457" t="s">
        <v>178</v>
      </c>
      <c r="R122" s="457" t="s">
        <v>178</v>
      </c>
      <c r="S122" s="705"/>
      <c r="T122" s="705"/>
      <c r="U122" s="705"/>
      <c r="V122" s="705"/>
    </row>
    <row r="123" spans="1:22" s="5" customFormat="1">
      <c r="A123" s="19"/>
      <c r="B123" s="120"/>
      <c r="C123" s="462" t="str">
        <f ca="1">OFFSET(C123,-1,0)</f>
        <v>Ontkoppeling lagen Brand (afwijkende levensduur)</v>
      </c>
      <c r="D123" s="90"/>
      <c r="E123" s="90" t="s">
        <v>155</v>
      </c>
      <c r="F123" s="132" t="str">
        <f t="shared" ca="1" si="13"/>
        <v>Ontkoppeling lagen Brand (afwijkende levensduur)Maximum</v>
      </c>
      <c r="G123" s="121">
        <v>21</v>
      </c>
      <c r="H123" s="121">
        <v>21</v>
      </c>
      <c r="I123" s="121">
        <v>21</v>
      </c>
      <c r="J123" s="121">
        <v>21</v>
      </c>
      <c r="K123" s="121">
        <v>21</v>
      </c>
      <c r="L123" s="121">
        <v>21</v>
      </c>
      <c r="M123" s="121">
        <v>21</v>
      </c>
      <c r="N123" s="477">
        <v>21</v>
      </c>
      <c r="O123" s="124"/>
      <c r="P123" s="705"/>
      <c r="Q123" s="457">
        <v>21</v>
      </c>
      <c r="R123" s="457">
        <v>21</v>
      </c>
      <c r="S123" s="705"/>
      <c r="T123" s="705"/>
      <c r="U123" s="705"/>
      <c r="V123" s="705"/>
    </row>
    <row r="124" spans="1:22" s="5" customFormat="1">
      <c r="A124" s="19"/>
      <c r="B124" s="120"/>
      <c r="C124" s="90" t="s">
        <v>179</v>
      </c>
      <c r="D124" s="90"/>
      <c r="E124" s="90" t="s">
        <v>153</v>
      </c>
      <c r="F124" s="132" t="str">
        <f t="shared" si="13"/>
        <v>Wateroverlast en droogteItemcode</v>
      </c>
      <c r="G124" s="121" t="s">
        <v>180</v>
      </c>
      <c r="H124" s="121" t="s">
        <v>180</v>
      </c>
      <c r="I124" s="121" t="s">
        <v>180</v>
      </c>
      <c r="J124" s="121" t="s">
        <v>180</v>
      </c>
      <c r="K124" s="121" t="s">
        <v>180</v>
      </c>
      <c r="L124" s="121" t="s">
        <v>180</v>
      </c>
      <c r="M124" s="121" t="s">
        <v>180</v>
      </c>
      <c r="N124" s="477" t="s">
        <v>180</v>
      </c>
      <c r="O124" s="124"/>
      <c r="P124" s="705"/>
      <c r="Q124" s="457" t="s">
        <v>180</v>
      </c>
      <c r="R124" s="457" t="s">
        <v>180</v>
      </c>
      <c r="S124" s="705"/>
      <c r="T124" s="705"/>
      <c r="U124" s="705"/>
      <c r="V124" s="705"/>
    </row>
    <row r="125" spans="1:22" s="5" customFormat="1">
      <c r="A125" s="19"/>
      <c r="B125" s="120"/>
      <c r="C125" s="462" t="str">
        <f ca="1">OFFSET(C125,-1,0)</f>
        <v>Wateroverlast en droogte</v>
      </c>
      <c r="D125" s="90"/>
      <c r="E125" s="90" t="s">
        <v>155</v>
      </c>
      <c r="F125" s="132" t="str">
        <f t="shared" ca="1" si="13"/>
        <v>Wateroverlast en droogteMaximum</v>
      </c>
      <c r="G125" s="121">
        <v>44</v>
      </c>
      <c r="H125" s="121">
        <v>44</v>
      </c>
      <c r="I125" s="121">
        <v>44</v>
      </c>
      <c r="J125" s="121">
        <v>44</v>
      </c>
      <c r="K125" s="121">
        <v>44</v>
      </c>
      <c r="L125" s="121">
        <v>44</v>
      </c>
      <c r="M125" s="121">
        <v>44</v>
      </c>
      <c r="N125" s="477">
        <v>44</v>
      </c>
      <c r="O125" s="124"/>
      <c r="P125" s="705"/>
      <c r="Q125" s="457">
        <v>44</v>
      </c>
      <c r="R125" s="457">
        <v>44</v>
      </c>
      <c r="S125" s="705"/>
      <c r="T125" s="705"/>
      <c r="U125" s="705"/>
      <c r="V125" s="705"/>
    </row>
    <row r="126" spans="1:22" s="5" customFormat="1">
      <c r="A126" s="19"/>
      <c r="B126" s="120"/>
      <c r="C126" s="90" t="s">
        <v>181</v>
      </c>
      <c r="D126" s="90"/>
      <c r="E126" s="90" t="s">
        <v>153</v>
      </c>
      <c r="F126" s="132" t="str">
        <f t="shared" si="13"/>
        <v>Prefab bouwsysteemItemcode</v>
      </c>
      <c r="G126" s="121" t="s">
        <v>173</v>
      </c>
      <c r="H126" s="121" t="s">
        <v>173</v>
      </c>
      <c r="I126" s="121" t="s">
        <v>173</v>
      </c>
      <c r="J126" s="121" t="s">
        <v>173</v>
      </c>
      <c r="K126" s="121" t="s">
        <v>173</v>
      </c>
      <c r="L126" s="121" t="s">
        <v>173</v>
      </c>
      <c r="M126" s="121" t="s">
        <v>173</v>
      </c>
      <c r="N126" s="477" t="s">
        <v>173</v>
      </c>
      <c r="O126" s="124"/>
      <c r="P126" s="705"/>
      <c r="Q126" s="457" t="s">
        <v>175</v>
      </c>
      <c r="R126" s="457" t="s">
        <v>175</v>
      </c>
      <c r="S126" s="705"/>
      <c r="T126" s="705"/>
      <c r="U126" s="705"/>
      <c r="V126" s="705"/>
    </row>
    <row r="127" spans="1:22" s="5" customFormat="1">
      <c r="A127" s="19"/>
      <c r="B127" s="120"/>
      <c r="C127" s="462" t="str">
        <f ca="1">OFFSET(C127,-1,0)</f>
        <v>Prefab bouwsysteem</v>
      </c>
      <c r="D127" s="90"/>
      <c r="E127" s="90" t="s">
        <v>155</v>
      </c>
      <c r="F127" s="132" t="str">
        <f t="shared" ca="1" si="13"/>
        <v>Prefab bouwsysteemMaximum</v>
      </c>
      <c r="G127" s="121">
        <v>2</v>
      </c>
      <c r="H127" s="121">
        <v>2</v>
      </c>
      <c r="I127" s="121">
        <v>2</v>
      </c>
      <c r="J127" s="121">
        <v>2</v>
      </c>
      <c r="K127" s="121">
        <v>2</v>
      </c>
      <c r="L127" s="121">
        <v>2</v>
      </c>
      <c r="M127" s="121">
        <v>2</v>
      </c>
      <c r="N127" s="477">
        <v>2</v>
      </c>
      <c r="O127" s="124"/>
      <c r="P127" s="705"/>
      <c r="Q127" s="457">
        <v>2</v>
      </c>
      <c r="R127" s="457">
        <v>2</v>
      </c>
      <c r="S127" s="705"/>
      <c r="T127" s="705"/>
      <c r="U127" s="705"/>
      <c r="V127" s="705"/>
    </row>
    <row r="128" spans="1:22" s="5" customFormat="1">
      <c r="A128" s="19"/>
      <c r="B128" s="120"/>
      <c r="C128" s="90" t="s">
        <v>177</v>
      </c>
      <c r="D128" s="90"/>
      <c r="E128" s="90" t="s">
        <v>153</v>
      </c>
      <c r="F128" s="132" t="str">
        <f t="shared" si="13"/>
        <v>Ontkoppeling lagen Brand (afwijkende levensduur)Itemcode</v>
      </c>
      <c r="G128" s="121" t="s">
        <v>182</v>
      </c>
      <c r="H128" s="121" t="s">
        <v>182</v>
      </c>
      <c r="I128" s="121" t="s">
        <v>182</v>
      </c>
      <c r="J128" s="121" t="s">
        <v>182</v>
      </c>
      <c r="K128" s="121" t="s">
        <v>182</v>
      </c>
      <c r="L128" s="121" t="s">
        <v>182</v>
      </c>
      <c r="M128" s="121" t="s">
        <v>182</v>
      </c>
      <c r="N128" s="477" t="s">
        <v>182</v>
      </c>
      <c r="O128" s="124"/>
      <c r="P128" s="705"/>
      <c r="Q128" s="457" t="s">
        <v>178</v>
      </c>
      <c r="R128" s="457" t="s">
        <v>178</v>
      </c>
      <c r="S128" s="705"/>
      <c r="T128" s="705"/>
      <c r="U128" s="705"/>
      <c r="V128" s="705"/>
    </row>
    <row r="129" spans="1:22" s="5" customFormat="1">
      <c r="A129" s="19"/>
      <c r="B129" s="120"/>
      <c r="C129" s="462" t="str">
        <f ca="1">OFFSET(C129,-1,0)</f>
        <v>Ontkoppeling lagen Brand (afwijkende levensduur)</v>
      </c>
      <c r="D129" s="90"/>
      <c r="E129" s="90" t="s">
        <v>155</v>
      </c>
      <c r="F129" s="132" t="str">
        <f t="shared" ca="1" si="13"/>
        <v>Ontkoppeling lagen Brand (afwijkende levensduur)Maximum</v>
      </c>
      <c r="G129" s="121">
        <v>21</v>
      </c>
      <c r="H129" s="121">
        <v>21</v>
      </c>
      <c r="I129" s="121">
        <v>21</v>
      </c>
      <c r="J129" s="121">
        <v>21</v>
      </c>
      <c r="K129" s="121">
        <v>21</v>
      </c>
      <c r="L129" s="121">
        <v>21</v>
      </c>
      <c r="M129" s="121">
        <v>21</v>
      </c>
      <c r="N129" s="477">
        <v>21</v>
      </c>
      <c r="O129" s="124"/>
      <c r="P129" s="705"/>
      <c r="Q129" s="457">
        <v>21</v>
      </c>
      <c r="R129" s="457">
        <v>21</v>
      </c>
      <c r="S129" s="705"/>
      <c r="T129" s="705"/>
      <c r="U129" s="705"/>
      <c r="V129" s="705"/>
    </row>
    <row r="130" spans="1:22" s="5" customFormat="1">
      <c r="A130" s="19"/>
      <c r="B130" s="120"/>
      <c r="C130" s="90" t="s">
        <v>29</v>
      </c>
      <c r="D130" s="90"/>
      <c r="E130" s="90" t="s">
        <v>153</v>
      </c>
      <c r="F130" s="132" t="str">
        <f t="shared" si="13"/>
        <v>HergebruikspotentieItemcode</v>
      </c>
      <c r="G130" s="121" t="s">
        <v>154</v>
      </c>
      <c r="H130" s="121" t="s">
        <v>154</v>
      </c>
      <c r="I130" s="121" t="s">
        <v>154</v>
      </c>
      <c r="J130" s="121" t="s">
        <v>154</v>
      </c>
      <c r="K130" s="121" t="s">
        <v>154</v>
      </c>
      <c r="L130" s="121" t="s">
        <v>154</v>
      </c>
      <c r="M130" s="121" t="s">
        <v>154</v>
      </c>
      <c r="N130" s="477" t="s">
        <v>154</v>
      </c>
      <c r="O130" s="124"/>
      <c r="P130" s="705"/>
      <c r="Q130" s="457" t="s">
        <v>182</v>
      </c>
      <c r="R130" s="457" t="s">
        <v>182</v>
      </c>
      <c r="S130" s="705"/>
      <c r="T130" s="705"/>
      <c r="U130" s="705"/>
      <c r="V130" s="705"/>
    </row>
    <row r="131" spans="1:22" s="5" customFormat="1">
      <c r="A131" s="19"/>
      <c r="B131" s="120"/>
      <c r="C131" s="462" t="str">
        <f ca="1">OFFSET(C131,-1,0)</f>
        <v>Hergebruikspotentie</v>
      </c>
      <c r="D131" s="90"/>
      <c r="E131" s="90" t="s">
        <v>155</v>
      </c>
      <c r="F131" s="133" t="str">
        <f t="shared" ca="1" si="13"/>
        <v>HergebruikspotentieMaximum</v>
      </c>
      <c r="G131" s="125">
        <v>28</v>
      </c>
      <c r="H131" s="125">
        <v>28</v>
      </c>
      <c r="I131" s="125">
        <v>28</v>
      </c>
      <c r="J131" s="125">
        <v>28</v>
      </c>
      <c r="K131" s="125">
        <v>28</v>
      </c>
      <c r="L131" s="125">
        <v>28</v>
      </c>
      <c r="M131" s="125">
        <v>28</v>
      </c>
      <c r="N131" s="480">
        <v>28</v>
      </c>
      <c r="O131" s="126"/>
      <c r="P131" s="705"/>
      <c r="Q131" s="458">
        <v>28</v>
      </c>
      <c r="R131" s="458">
        <v>28</v>
      </c>
    </row>
    <row r="132" spans="1:22" s="5" customFormat="1">
      <c r="A132" s="497"/>
      <c r="B132" s="120"/>
      <c r="C132" s="498"/>
      <c r="D132" s="499"/>
      <c r="E132" s="499"/>
      <c r="F132" s="500"/>
      <c r="G132" s="501"/>
      <c r="H132" s="501"/>
      <c r="I132" s="501"/>
      <c r="J132" s="501"/>
      <c r="K132" s="501"/>
      <c r="L132" s="501"/>
      <c r="M132" s="501"/>
      <c r="N132" s="502"/>
      <c r="O132" s="503"/>
      <c r="P132" s="705"/>
      <c r="Q132" s="504"/>
      <c r="R132" s="504"/>
    </row>
    <row r="133" spans="1:22" s="343" customFormat="1">
      <c r="A133" s="18"/>
      <c r="B133" s="88">
        <f ca="1">MAX(tabellen!$B$1:OFFSET(B133,-1,0))+1</f>
        <v>10</v>
      </c>
      <c r="C133" s="89" t="s">
        <v>183</v>
      </c>
      <c r="D133" s="89"/>
      <c r="E133" s="89"/>
      <c r="F133" s="122"/>
      <c r="G133" s="123">
        <f t="shared" ref="G133:P133" ca="1" si="17">OFFSET(G133,0,-1)+1</f>
        <v>1</v>
      </c>
      <c r="H133" s="123">
        <f t="shared" ca="1" si="17"/>
        <v>2</v>
      </c>
      <c r="I133" s="123">
        <f t="shared" ca="1" si="17"/>
        <v>3</v>
      </c>
      <c r="J133" s="123">
        <f t="shared" ca="1" si="17"/>
        <v>4</v>
      </c>
      <c r="K133" s="123">
        <f t="shared" ca="1" si="17"/>
        <v>5</v>
      </c>
      <c r="L133" s="123">
        <f t="shared" ca="1" si="17"/>
        <v>6</v>
      </c>
      <c r="M133" s="123">
        <f t="shared" ca="1" si="17"/>
        <v>7</v>
      </c>
      <c r="N133" s="123">
        <f t="shared" ca="1" si="17"/>
        <v>8</v>
      </c>
      <c r="O133" s="123">
        <f t="shared" ca="1" si="17"/>
        <v>9</v>
      </c>
      <c r="P133" s="123">
        <f t="shared" ca="1" si="17"/>
        <v>10</v>
      </c>
      <c r="Q133" s="15"/>
      <c r="R133" s="703"/>
    </row>
    <row r="134" spans="1:22" s="495" customFormat="1" ht="32">
      <c r="A134" s="116"/>
      <c r="B134" s="117"/>
      <c r="C134" s="118" t="s">
        <v>140</v>
      </c>
      <c r="D134" s="118"/>
      <c r="E134" s="118" t="s">
        <v>141</v>
      </c>
      <c r="F134" s="130"/>
      <c r="G134" s="128" t="s">
        <v>149</v>
      </c>
      <c r="H134" s="128" t="s">
        <v>149</v>
      </c>
      <c r="I134" s="128" t="s">
        <v>184</v>
      </c>
      <c r="J134" s="128" t="s">
        <v>185</v>
      </c>
      <c r="K134" s="128" t="s">
        <v>186</v>
      </c>
      <c r="L134" s="128" t="s">
        <v>187</v>
      </c>
      <c r="M134" s="128" t="s">
        <v>150</v>
      </c>
      <c r="N134" s="128" t="s">
        <v>188</v>
      </c>
      <c r="O134" s="128" t="s">
        <v>143</v>
      </c>
      <c r="P134" s="128" t="s">
        <v>151</v>
      </c>
      <c r="Q134" s="129"/>
      <c r="R134" s="704"/>
    </row>
    <row r="135" spans="1:22" s="496" customFormat="1">
      <c r="A135" s="19"/>
      <c r="B135" s="120"/>
      <c r="C135" s="90" t="s">
        <v>152</v>
      </c>
      <c r="D135" s="90"/>
      <c r="E135" s="90" t="s">
        <v>153</v>
      </c>
      <c r="F135" s="131" t="str">
        <f t="shared" ref="F135:F151" si="18">C135&amp;E135</f>
        <v>Extra maatregelen (handhaven casco en/of gevel)Itemcode</v>
      </c>
      <c r="G135" s="127" t="s">
        <v>167</v>
      </c>
      <c r="H135" s="127" t="s">
        <v>167</v>
      </c>
      <c r="I135" s="127" t="s">
        <v>167</v>
      </c>
      <c r="J135" s="127" t="s">
        <v>167</v>
      </c>
      <c r="K135" s="127" t="s">
        <v>167</v>
      </c>
      <c r="L135" s="127" t="s">
        <v>167</v>
      </c>
      <c r="M135" s="127" t="s">
        <v>167</v>
      </c>
      <c r="N135" s="127" t="s">
        <v>167</v>
      </c>
      <c r="O135" s="127" t="s">
        <v>167</v>
      </c>
      <c r="P135" s="127" t="s">
        <v>167</v>
      </c>
      <c r="Q135" s="124"/>
      <c r="R135" s="705"/>
    </row>
    <row r="136" spans="1:22" s="496" customFormat="1">
      <c r="A136" s="19"/>
      <c r="B136" s="120"/>
      <c r="C136" s="90" t="str">
        <f ca="1">OFFSET(C136,-1,0)</f>
        <v>Extra maatregelen (handhaven casco en/of gevel)</v>
      </c>
      <c r="D136" s="90"/>
      <c r="E136" s="90" t="s">
        <v>155</v>
      </c>
      <c r="F136" s="132" t="str">
        <f t="shared" ca="1" si="18"/>
        <v>Extra maatregelen (handhaven casco en/of gevel)Maximum</v>
      </c>
      <c r="G136" s="121">
        <v>12</v>
      </c>
      <c r="H136" s="121">
        <v>12</v>
      </c>
      <c r="I136" s="121">
        <v>14</v>
      </c>
      <c r="J136" s="121">
        <v>14</v>
      </c>
      <c r="K136" s="121">
        <v>14</v>
      </c>
      <c r="L136" s="121">
        <v>13</v>
      </c>
      <c r="M136" s="121">
        <v>12</v>
      </c>
      <c r="N136" s="121">
        <v>16</v>
      </c>
      <c r="O136" s="121">
        <v>14</v>
      </c>
      <c r="P136" s="121">
        <v>12</v>
      </c>
      <c r="Q136" s="124"/>
      <c r="R136" s="705"/>
    </row>
    <row r="137" spans="1:22" s="496" customFormat="1">
      <c r="A137" s="19"/>
      <c r="B137" s="120"/>
      <c r="C137" s="90" t="s">
        <v>156</v>
      </c>
      <c r="D137" s="90"/>
      <c r="E137" s="90" t="s">
        <v>153</v>
      </c>
      <c r="F137" s="132" t="str">
        <f t="shared" si="18"/>
        <v>Hergebruik productenItemcode</v>
      </c>
      <c r="G137" s="121" t="s">
        <v>189</v>
      </c>
      <c r="H137" s="121" t="s">
        <v>189</v>
      </c>
      <c r="I137" s="121" t="s">
        <v>189</v>
      </c>
      <c r="J137" s="121" t="s">
        <v>189</v>
      </c>
      <c r="K137" s="121" t="s">
        <v>189</v>
      </c>
      <c r="L137" s="121" t="s">
        <v>189</v>
      </c>
      <c r="M137" s="121" t="s">
        <v>189</v>
      </c>
      <c r="N137" s="121" t="s">
        <v>189</v>
      </c>
      <c r="O137" s="121" t="s">
        <v>189</v>
      </c>
      <c r="P137" s="121" t="s">
        <v>189</v>
      </c>
      <c r="Q137" s="124"/>
      <c r="R137" s="705"/>
    </row>
    <row r="138" spans="1:22" s="496" customFormat="1">
      <c r="A138" s="19"/>
      <c r="B138" s="120"/>
      <c r="C138" s="90" t="str">
        <f ca="1">OFFSET(C138,-1,0)</f>
        <v>Hergebruik producten</v>
      </c>
      <c r="D138" s="90"/>
      <c r="E138" s="90" t="s">
        <v>155</v>
      </c>
      <c r="F138" s="132" t="str">
        <f t="shared" ca="1" si="18"/>
        <v>Hergebruik productenMaximum</v>
      </c>
      <c r="G138" s="121">
        <v>12</v>
      </c>
      <c r="H138" s="121">
        <v>12</v>
      </c>
      <c r="I138" s="121">
        <v>14</v>
      </c>
      <c r="J138" s="121">
        <v>14</v>
      </c>
      <c r="K138" s="121">
        <v>14</v>
      </c>
      <c r="L138" s="121">
        <v>13</v>
      </c>
      <c r="M138" s="121">
        <v>12</v>
      </c>
      <c r="N138" s="121">
        <v>16</v>
      </c>
      <c r="O138" s="121">
        <v>14</v>
      </c>
      <c r="P138" s="121">
        <v>12</v>
      </c>
      <c r="Q138" s="124"/>
      <c r="R138" s="705"/>
    </row>
    <row r="139" spans="1:22" s="496" customFormat="1">
      <c r="A139" s="19"/>
      <c r="B139" s="120"/>
      <c r="C139" s="90" t="s">
        <v>190</v>
      </c>
      <c r="D139" s="90"/>
      <c r="E139" s="90" t="s">
        <v>153</v>
      </c>
      <c r="F139" s="132" t="str">
        <f t="shared" si="18"/>
        <v>Circulaire materialen (biobased of secundair)Itemcode</v>
      </c>
      <c r="G139" s="121" t="s">
        <v>191</v>
      </c>
      <c r="H139" s="121" t="s">
        <v>191</v>
      </c>
      <c r="I139" s="121" t="s">
        <v>191</v>
      </c>
      <c r="J139" s="121" t="s">
        <v>191</v>
      </c>
      <c r="K139" s="121" t="s">
        <v>191</v>
      </c>
      <c r="L139" s="121" t="s">
        <v>191</v>
      </c>
      <c r="M139" s="121" t="s">
        <v>191</v>
      </c>
      <c r="N139" s="121" t="s">
        <v>191</v>
      </c>
      <c r="O139" s="121" t="s">
        <v>191</v>
      </c>
      <c r="P139" s="121" t="s">
        <v>191</v>
      </c>
      <c r="Q139" s="124"/>
      <c r="R139" s="705"/>
    </row>
    <row r="140" spans="1:22" s="496" customFormat="1">
      <c r="A140" s="19"/>
      <c r="B140" s="120"/>
      <c r="C140" s="90" t="str">
        <f ca="1">OFFSET(C140,-1,0)</f>
        <v>Circulaire materialen (biobased of secundair)</v>
      </c>
      <c r="D140" s="90"/>
      <c r="E140" s="90" t="s">
        <v>155</v>
      </c>
      <c r="F140" s="132" t="str">
        <f t="shared" ca="1" si="18"/>
        <v>Circulaire materialen (biobased of secundair)Maximum</v>
      </c>
      <c r="G140" s="121">
        <v>17</v>
      </c>
      <c r="H140" s="121">
        <v>17</v>
      </c>
      <c r="I140" s="121">
        <v>19</v>
      </c>
      <c r="J140" s="121">
        <v>19</v>
      </c>
      <c r="K140" s="121">
        <v>19</v>
      </c>
      <c r="L140" s="121">
        <v>18</v>
      </c>
      <c r="M140" s="121">
        <v>17</v>
      </c>
      <c r="N140" s="121">
        <v>21</v>
      </c>
      <c r="O140" s="121">
        <v>19</v>
      </c>
      <c r="P140" s="121">
        <v>17</v>
      </c>
      <c r="Q140" s="124"/>
      <c r="R140" s="705"/>
    </row>
    <row r="141" spans="1:22" s="496" customFormat="1">
      <c r="A141" s="19"/>
      <c r="B141" s="120"/>
      <c r="C141" s="90" t="s">
        <v>163</v>
      </c>
      <c r="D141" s="90"/>
      <c r="E141" s="90" t="s">
        <v>153</v>
      </c>
      <c r="F141" s="132" t="str">
        <f t="shared" si="18"/>
        <v>BENG 3 - indicatorItemcode</v>
      </c>
      <c r="G141" s="121" t="s">
        <v>164</v>
      </c>
      <c r="H141" s="121" t="s">
        <v>164</v>
      </c>
      <c r="I141" s="121" t="s">
        <v>164</v>
      </c>
      <c r="J141" s="121" t="s">
        <v>164</v>
      </c>
      <c r="K141" s="121" t="s">
        <v>164</v>
      </c>
      <c r="L141" s="121" t="s">
        <v>164</v>
      </c>
      <c r="M141" s="121" t="s">
        <v>164</v>
      </c>
      <c r="N141" s="121" t="s">
        <v>164</v>
      </c>
      <c r="O141" s="121" t="s">
        <v>164</v>
      </c>
      <c r="P141" s="121" t="s">
        <v>164</v>
      </c>
      <c r="Q141" s="124"/>
      <c r="R141" s="705"/>
    </row>
    <row r="142" spans="1:22" s="496" customFormat="1">
      <c r="A142" s="19"/>
      <c r="B142" s="120"/>
      <c r="C142" s="90" t="str">
        <f ca="1">OFFSET(C142,-1,0)</f>
        <v>BENG 3 - indicator</v>
      </c>
      <c r="D142" s="90"/>
      <c r="E142" s="90" t="s">
        <v>155</v>
      </c>
      <c r="F142" s="132" t="str">
        <f t="shared" ca="1" si="18"/>
        <v>BENG 3 - indicatorMaximum</v>
      </c>
      <c r="G142" s="121">
        <v>1</v>
      </c>
      <c r="H142" s="121">
        <v>1</v>
      </c>
      <c r="I142" s="121">
        <v>1</v>
      </c>
      <c r="J142" s="121">
        <v>1</v>
      </c>
      <c r="K142" s="121">
        <v>1</v>
      </c>
      <c r="L142" s="121">
        <v>1</v>
      </c>
      <c r="M142" s="121">
        <v>1</v>
      </c>
      <c r="N142" s="121">
        <v>1</v>
      </c>
      <c r="O142" s="121">
        <v>1</v>
      </c>
      <c r="P142" s="121">
        <v>1</v>
      </c>
      <c r="Q142" s="124"/>
      <c r="R142" s="705"/>
    </row>
    <row r="143" spans="1:22" s="496" customFormat="1">
      <c r="A143" s="19"/>
      <c r="B143" s="120"/>
      <c r="C143" s="90" t="s">
        <v>165</v>
      </c>
      <c r="D143" s="90"/>
      <c r="E143" s="90" t="s">
        <v>153</v>
      </c>
      <c r="F143" s="132" t="str">
        <f t="shared" si="18"/>
        <v>Circulair watergebruikItemcode</v>
      </c>
      <c r="G143" s="121" t="s">
        <v>192</v>
      </c>
      <c r="H143" s="121" t="s">
        <v>192</v>
      </c>
      <c r="I143" s="121" t="s">
        <v>192</v>
      </c>
      <c r="J143" s="121" t="s">
        <v>192</v>
      </c>
      <c r="K143" s="121" t="s">
        <v>192</v>
      </c>
      <c r="L143" s="121" t="s">
        <v>192</v>
      </c>
      <c r="M143" s="121" t="s">
        <v>192</v>
      </c>
      <c r="N143" s="121" t="s">
        <v>193</v>
      </c>
      <c r="O143" s="121" t="s">
        <v>192</v>
      </c>
      <c r="P143" s="121" t="s">
        <v>192</v>
      </c>
      <c r="Q143" s="124"/>
      <c r="R143" s="705"/>
    </row>
    <row r="144" spans="1:22" s="496" customFormat="1">
      <c r="A144" s="19"/>
      <c r="B144" s="120"/>
      <c r="C144" s="90" t="str">
        <f ca="1">OFFSET(C144,-1,0)</f>
        <v>Circulair watergebruik</v>
      </c>
      <c r="D144" s="90"/>
      <c r="E144" s="90" t="s">
        <v>155</v>
      </c>
      <c r="F144" s="132" t="str">
        <f t="shared" ca="1" si="18"/>
        <v>Circulair watergebruikMaximum</v>
      </c>
      <c r="G144" s="121">
        <v>8</v>
      </c>
      <c r="H144" s="121">
        <v>8</v>
      </c>
      <c r="I144" s="121">
        <v>10</v>
      </c>
      <c r="J144" s="121">
        <v>12</v>
      </c>
      <c r="K144" s="121">
        <v>10</v>
      </c>
      <c r="L144" s="121">
        <v>12</v>
      </c>
      <c r="M144" s="121">
        <v>10</v>
      </c>
      <c r="N144" s="121">
        <v>10</v>
      </c>
      <c r="O144" s="121">
        <v>10</v>
      </c>
      <c r="P144" s="121">
        <v>22</v>
      </c>
      <c r="Q144" s="124"/>
      <c r="R144" s="705"/>
    </row>
    <row r="145" spans="1:93" s="496" customFormat="1">
      <c r="A145" s="19"/>
      <c r="B145" s="120"/>
      <c r="C145" s="90" t="s">
        <v>194</v>
      </c>
      <c r="D145" s="90"/>
      <c r="E145" s="90" t="s">
        <v>153</v>
      </c>
      <c r="F145" s="132" t="str">
        <f t="shared" si="18"/>
        <v>DPG-monitorItemcode</v>
      </c>
      <c r="G145" s="121"/>
      <c r="H145" s="121"/>
      <c r="I145" s="121"/>
      <c r="J145" s="121"/>
      <c r="K145" s="121"/>
      <c r="L145" s="121"/>
      <c r="M145" s="121"/>
      <c r="N145" s="121" t="s">
        <v>195</v>
      </c>
      <c r="O145" s="121"/>
      <c r="P145" s="121"/>
      <c r="Q145" s="124"/>
      <c r="R145" s="705"/>
    </row>
    <row r="146" spans="1:93" s="496" customFormat="1">
      <c r="A146" s="19"/>
      <c r="B146" s="120"/>
      <c r="C146" s="90" t="str">
        <f ca="1">OFFSET(C146,-1,0)</f>
        <v>DPG-monitor</v>
      </c>
      <c r="D146" s="90"/>
      <c r="E146" s="90" t="s">
        <v>196</v>
      </c>
      <c r="F146" s="132" t="str">
        <f t="shared" ca="1" si="18"/>
        <v>DPG-monitorC1</v>
      </c>
      <c r="G146" s="121" t="s">
        <v>132</v>
      </c>
      <c r="H146" s="121" t="s">
        <v>132</v>
      </c>
      <c r="I146" s="121">
        <v>10.170999999999999</v>
      </c>
      <c r="J146" s="121">
        <v>9.9855</v>
      </c>
      <c r="K146" s="121">
        <v>10.106999999999999</v>
      </c>
      <c r="L146" s="121">
        <v>10.092000000000001</v>
      </c>
      <c r="M146" s="121">
        <v>10.069000000000001</v>
      </c>
      <c r="N146" s="121">
        <v>10.172000000000001</v>
      </c>
      <c r="O146" s="121">
        <v>10.172000000000001</v>
      </c>
      <c r="P146" s="121">
        <v>10.14</v>
      </c>
      <c r="Q146" s="124"/>
      <c r="R146" s="705"/>
    </row>
    <row r="147" spans="1:93" s="496" customFormat="1">
      <c r="A147" s="19"/>
      <c r="B147" s="120"/>
      <c r="C147" s="90" t="str">
        <f ca="1">OFFSET(C147,-1,0)</f>
        <v>DPG-monitor</v>
      </c>
      <c r="D147" s="90"/>
      <c r="E147" s="90" t="s">
        <v>197</v>
      </c>
      <c r="F147" s="132" t="str">
        <f t="shared" ca="1" si="18"/>
        <v>DPG-monitorC2</v>
      </c>
      <c r="G147" s="121" t="s">
        <v>132</v>
      </c>
      <c r="H147" s="121" t="s">
        <v>132</v>
      </c>
      <c r="I147" s="121">
        <v>-0.14000000000000001</v>
      </c>
      <c r="J147" s="121">
        <v>-0.13600000000000001</v>
      </c>
      <c r="K147" s="121">
        <v>-0.13600000000000001</v>
      </c>
      <c r="L147" s="121">
        <v>-9.6000000000000002E-2</v>
      </c>
      <c r="M147" s="121">
        <v>-0.11799999999999999</v>
      </c>
      <c r="N147" s="121">
        <v>-0.17799999999999999</v>
      </c>
      <c r="O147" s="121">
        <v>-0.17799999999999999</v>
      </c>
      <c r="P147" s="121">
        <v>-0.121</v>
      </c>
      <c r="Q147" s="124"/>
      <c r="R147" s="705"/>
      <c r="S147" s="705"/>
      <c r="T147" s="705"/>
      <c r="U147" s="705"/>
      <c r="V147" s="705"/>
      <c r="W147" s="705"/>
      <c r="X147" s="705"/>
      <c r="Y147" s="705"/>
      <c r="Z147" s="705"/>
      <c r="AA147" s="705"/>
      <c r="AB147" s="705"/>
      <c r="AC147" s="705"/>
      <c r="AD147" s="705"/>
      <c r="AE147" s="705"/>
      <c r="AF147" s="705"/>
      <c r="AG147" s="705"/>
      <c r="AH147" s="705"/>
      <c r="AI147" s="705"/>
      <c r="AJ147" s="705"/>
      <c r="AK147" s="705"/>
      <c r="AL147" s="705"/>
      <c r="AM147" s="705"/>
      <c r="AN147" s="705"/>
      <c r="AO147" s="705"/>
      <c r="AP147" s="705"/>
      <c r="AQ147" s="705"/>
      <c r="AR147" s="705"/>
      <c r="AS147" s="705"/>
      <c r="AT147" s="705"/>
      <c r="AU147" s="705"/>
      <c r="AV147" s="705"/>
      <c r="AW147" s="705"/>
      <c r="AX147" s="705"/>
      <c r="AY147" s="705"/>
      <c r="AZ147" s="705"/>
      <c r="BA147" s="705"/>
      <c r="BB147" s="705"/>
      <c r="BC147" s="705"/>
      <c r="BD147" s="705"/>
      <c r="BE147" s="705"/>
      <c r="BF147" s="705"/>
      <c r="BG147" s="705"/>
      <c r="BH147" s="705"/>
      <c r="BI147" s="705"/>
      <c r="BJ147" s="705"/>
      <c r="BK147" s="705"/>
      <c r="BL147" s="705"/>
      <c r="BM147" s="705"/>
      <c r="BN147" s="705"/>
      <c r="BO147" s="705"/>
      <c r="BP147" s="705"/>
      <c r="BQ147" s="705"/>
      <c r="BR147" s="705"/>
      <c r="BS147" s="705"/>
      <c r="BT147" s="705"/>
      <c r="BU147" s="705"/>
      <c r="BV147" s="705"/>
      <c r="BW147" s="705"/>
      <c r="BX147" s="705"/>
      <c r="BY147" s="705"/>
      <c r="BZ147" s="705"/>
      <c r="CA147" s="705"/>
      <c r="CB147" s="705"/>
      <c r="CC147" s="705"/>
      <c r="CD147" s="705"/>
      <c r="CE147" s="705"/>
      <c r="CF147" s="705"/>
      <c r="CG147" s="705"/>
      <c r="CH147" s="705"/>
      <c r="CI147" s="705"/>
      <c r="CJ147" s="705"/>
      <c r="CK147" s="705"/>
      <c r="CL147" s="705"/>
      <c r="CM147" s="705"/>
      <c r="CN147" s="705"/>
      <c r="CO147" s="705"/>
    </row>
    <row r="148" spans="1:93" s="496" customFormat="1">
      <c r="A148" s="19"/>
      <c r="B148" s="120"/>
      <c r="C148" s="90" t="s">
        <v>198</v>
      </c>
      <c r="D148" s="90"/>
      <c r="E148" s="90" t="s">
        <v>153</v>
      </c>
      <c r="F148" s="132" t="str">
        <f t="shared" si="18"/>
        <v>Belasting riolering, bodem en grondwaterItemcode</v>
      </c>
      <c r="G148" s="121" t="s">
        <v>199</v>
      </c>
      <c r="H148" s="121" t="s">
        <v>199</v>
      </c>
      <c r="I148" s="121" t="s">
        <v>199</v>
      </c>
      <c r="J148" s="121" t="s">
        <v>199</v>
      </c>
      <c r="K148" s="121" t="s">
        <v>199</v>
      </c>
      <c r="L148" s="121" t="s">
        <v>199</v>
      </c>
      <c r="M148" s="121" t="s">
        <v>199</v>
      </c>
      <c r="N148" s="121" t="s">
        <v>192</v>
      </c>
      <c r="O148" s="121" t="s">
        <v>199</v>
      </c>
      <c r="P148" s="121" t="s">
        <v>199</v>
      </c>
      <c r="Q148" s="124"/>
      <c r="R148" s="705"/>
      <c r="S148" s="705"/>
      <c r="T148" s="705"/>
      <c r="U148" s="705"/>
      <c r="V148" s="705"/>
      <c r="W148" s="705"/>
      <c r="X148" s="705"/>
      <c r="Y148" s="705"/>
      <c r="Z148" s="705"/>
      <c r="AA148" s="705"/>
      <c r="AB148" s="705"/>
      <c r="AC148" s="705"/>
      <c r="AD148" s="705"/>
      <c r="AE148" s="705"/>
      <c r="AF148" s="705"/>
      <c r="AG148" s="705"/>
      <c r="AH148" s="705"/>
      <c r="AI148" s="705"/>
      <c r="AJ148" s="705"/>
      <c r="AK148" s="705"/>
      <c r="AL148" s="705"/>
      <c r="AM148" s="705"/>
      <c r="AN148" s="705"/>
      <c r="AO148" s="705"/>
      <c r="AP148" s="705"/>
      <c r="AQ148" s="705"/>
      <c r="AR148" s="705"/>
      <c r="AS148" s="705"/>
      <c r="AT148" s="705"/>
      <c r="AU148" s="705"/>
      <c r="AV148" s="705"/>
      <c r="AW148" s="705"/>
      <c r="AX148" s="705"/>
      <c r="AY148" s="705"/>
      <c r="AZ148" s="705"/>
      <c r="BA148" s="705"/>
      <c r="BB148" s="705"/>
      <c r="BC148" s="705"/>
      <c r="BD148" s="705"/>
      <c r="BE148" s="705"/>
      <c r="BF148" s="705"/>
      <c r="BG148" s="705"/>
      <c r="BH148" s="705"/>
      <c r="BI148" s="705"/>
      <c r="BJ148" s="705"/>
      <c r="BK148" s="705"/>
      <c r="BL148" s="705"/>
      <c r="BM148" s="705"/>
      <c r="BN148" s="705"/>
      <c r="BO148" s="705"/>
      <c r="BP148" s="705"/>
      <c r="BQ148" s="705"/>
      <c r="BR148" s="705"/>
      <c r="BS148" s="705"/>
      <c r="BT148" s="705"/>
      <c r="BU148" s="705"/>
      <c r="BV148" s="705"/>
      <c r="BW148" s="705"/>
      <c r="BX148" s="705"/>
      <c r="BY148" s="705"/>
      <c r="BZ148" s="705"/>
      <c r="CA148" s="705"/>
      <c r="CB148" s="705"/>
      <c r="CC148" s="705"/>
      <c r="CD148" s="705"/>
      <c r="CE148" s="705"/>
      <c r="CF148" s="705"/>
      <c r="CG148" s="705"/>
      <c r="CH148" s="705"/>
      <c r="CI148" s="705"/>
      <c r="CJ148" s="705"/>
      <c r="CK148" s="705"/>
      <c r="CL148" s="705"/>
      <c r="CM148" s="705"/>
      <c r="CN148" s="705"/>
      <c r="CO148" s="705"/>
    </row>
    <row r="149" spans="1:93" s="496" customFormat="1">
      <c r="A149" s="19"/>
      <c r="B149" s="120"/>
      <c r="C149" s="90" t="str">
        <f ca="1">OFFSET(C149,-1,0)</f>
        <v>Belasting riolering, bodem en grondwater</v>
      </c>
      <c r="D149" s="90"/>
      <c r="E149" s="90" t="s">
        <v>155</v>
      </c>
      <c r="F149" s="132" t="str">
        <f t="shared" ca="1" si="18"/>
        <v>Belasting riolering, bodem en grondwaterMaximum</v>
      </c>
      <c r="G149" s="121">
        <v>36</v>
      </c>
      <c r="H149" s="121">
        <v>36</v>
      </c>
      <c r="I149" s="121">
        <v>33</v>
      </c>
      <c r="J149" s="121">
        <v>28</v>
      </c>
      <c r="K149" s="121">
        <v>22</v>
      </c>
      <c r="L149" s="121">
        <v>28</v>
      </c>
      <c r="M149" s="121">
        <v>24</v>
      </c>
      <c r="N149" s="121">
        <v>20</v>
      </c>
      <c r="O149" s="121">
        <v>19</v>
      </c>
      <c r="P149" s="121">
        <v>27</v>
      </c>
      <c r="Q149" s="124"/>
      <c r="R149" s="705"/>
      <c r="S149" s="705"/>
      <c r="T149" s="705"/>
      <c r="U149" s="705"/>
      <c r="V149" s="705"/>
      <c r="W149" s="705"/>
      <c r="X149" s="705"/>
      <c r="Y149" s="705"/>
      <c r="Z149" s="705"/>
      <c r="AA149" s="705"/>
      <c r="AB149" s="705"/>
      <c r="AC149" s="705"/>
      <c r="AD149" s="705"/>
      <c r="AE149" s="705"/>
      <c r="AF149" s="705"/>
      <c r="AG149" s="705"/>
      <c r="AH149" s="705"/>
      <c r="AI149" s="705"/>
      <c r="AJ149" s="705"/>
      <c r="AK149" s="705"/>
      <c r="AL149" s="705"/>
      <c r="AM149" s="705"/>
      <c r="AN149" s="705"/>
      <c r="AO149" s="705"/>
      <c r="AP149" s="705"/>
      <c r="AQ149" s="705"/>
      <c r="AR149" s="705"/>
      <c r="AS149" s="705"/>
      <c r="AT149" s="705"/>
      <c r="AU149" s="705"/>
      <c r="AV149" s="705"/>
      <c r="AW149" s="705"/>
      <c r="AX149" s="705"/>
      <c r="AY149" s="705"/>
      <c r="AZ149" s="705"/>
      <c r="BA149" s="705"/>
      <c r="BB149" s="705"/>
      <c r="BC149" s="705"/>
      <c r="BD149" s="705"/>
      <c r="BE149" s="705"/>
      <c r="BF149" s="705"/>
      <c r="BG149" s="705"/>
      <c r="BH149" s="705"/>
      <c r="BI149" s="705"/>
      <c r="BJ149" s="705"/>
      <c r="BK149" s="705"/>
      <c r="BL149" s="705"/>
      <c r="BM149" s="705"/>
      <c r="BN149" s="705"/>
      <c r="BO149" s="705"/>
      <c r="BP149" s="705"/>
      <c r="BQ149" s="705"/>
      <c r="BR149" s="705"/>
      <c r="BS149" s="705"/>
      <c r="BT149" s="705"/>
      <c r="BU149" s="705"/>
      <c r="BV149" s="705"/>
      <c r="BW149" s="705"/>
      <c r="BX149" s="705"/>
      <c r="BY149" s="705"/>
      <c r="BZ149" s="705"/>
      <c r="CA149" s="705"/>
      <c r="CB149" s="705"/>
      <c r="CC149" s="705"/>
      <c r="CD149" s="705"/>
      <c r="CE149" s="705"/>
      <c r="CF149" s="705"/>
      <c r="CG149" s="705"/>
      <c r="CH149" s="705"/>
      <c r="CI149" s="705"/>
      <c r="CJ149" s="705"/>
      <c r="CK149" s="705"/>
      <c r="CL149" s="705"/>
      <c r="CM149" s="705"/>
      <c r="CN149" s="705"/>
      <c r="CO149" s="705"/>
    </row>
    <row r="150" spans="1:93" s="496" customFormat="1">
      <c r="A150" s="19"/>
      <c r="B150" s="120"/>
      <c r="C150" s="90" t="s">
        <v>200</v>
      </c>
      <c r="D150" s="90"/>
      <c r="E150" s="90" t="s">
        <v>153</v>
      </c>
      <c r="F150" s="132" t="str">
        <f t="shared" si="18"/>
        <v>Bouwmethode, afgestemd op meerdere cycliItemcode</v>
      </c>
      <c r="G150" s="121" t="s">
        <v>166</v>
      </c>
      <c r="H150" s="121" t="s">
        <v>166</v>
      </c>
      <c r="I150" s="121" t="s">
        <v>166</v>
      </c>
      <c r="J150" s="121" t="s">
        <v>166</v>
      </c>
      <c r="K150" s="121" t="s">
        <v>166</v>
      </c>
      <c r="L150" s="121" t="s">
        <v>166</v>
      </c>
      <c r="M150" s="121" t="s">
        <v>166</v>
      </c>
      <c r="N150" s="121" t="s">
        <v>166</v>
      </c>
      <c r="O150" s="121" t="s">
        <v>166</v>
      </c>
      <c r="P150" s="121" t="s">
        <v>166</v>
      </c>
      <c r="Q150" s="124"/>
      <c r="R150" s="705"/>
      <c r="S150" s="705"/>
      <c r="T150" s="705"/>
      <c r="U150" s="705"/>
      <c r="V150" s="705"/>
      <c r="W150" s="705"/>
      <c r="X150" s="705"/>
      <c r="Y150" s="705"/>
      <c r="Z150" s="705"/>
      <c r="AA150" s="705"/>
      <c r="AB150" s="705"/>
      <c r="AC150" s="705"/>
      <c r="AD150" s="705"/>
      <c r="AE150" s="705"/>
      <c r="AF150" s="705"/>
      <c r="AG150" s="705"/>
      <c r="AH150" s="705"/>
      <c r="AI150" s="705"/>
      <c r="AJ150" s="705"/>
      <c r="AK150" s="705"/>
      <c r="AL150" s="705"/>
      <c r="AM150" s="705"/>
      <c r="AN150" s="705"/>
      <c r="AO150" s="705"/>
      <c r="AP150" s="705"/>
      <c r="AQ150" s="705"/>
      <c r="AR150" s="705"/>
      <c r="AS150" s="705"/>
      <c r="AT150" s="705"/>
      <c r="AU150" s="705"/>
      <c r="AV150" s="705"/>
      <c r="AW150" s="705"/>
      <c r="AX150" s="705"/>
      <c r="AY150" s="705"/>
      <c r="AZ150" s="705"/>
      <c r="BA150" s="705"/>
      <c r="BB150" s="705"/>
      <c r="BC150" s="705"/>
      <c r="BD150" s="705"/>
      <c r="BE150" s="705"/>
      <c r="BF150" s="705"/>
      <c r="BG150" s="705"/>
      <c r="BH150" s="705"/>
      <c r="BI150" s="705"/>
      <c r="BJ150" s="705"/>
      <c r="BK150" s="705"/>
      <c r="BL150" s="705"/>
      <c r="BM150" s="705"/>
      <c r="BN150" s="705"/>
      <c r="BO150" s="705"/>
      <c r="BP150" s="705"/>
      <c r="BQ150" s="705"/>
      <c r="BR150" s="705"/>
      <c r="BS150" s="705"/>
      <c r="BT150" s="705"/>
      <c r="BU150" s="705"/>
      <c r="BV150" s="705"/>
      <c r="BW150" s="705"/>
      <c r="BX150" s="705"/>
      <c r="BY150" s="705"/>
      <c r="BZ150" s="705"/>
      <c r="CA150" s="705"/>
      <c r="CB150" s="705"/>
      <c r="CC150" s="705"/>
      <c r="CD150" s="705"/>
      <c r="CE150" s="705"/>
      <c r="CF150" s="705"/>
      <c r="CG150" s="705"/>
      <c r="CH150" s="705"/>
      <c r="CI150" s="705"/>
      <c r="CJ150" s="705"/>
      <c r="CK150" s="705"/>
      <c r="CL150" s="705"/>
      <c r="CM150" s="705"/>
      <c r="CN150" s="705"/>
      <c r="CO150" s="705"/>
    </row>
    <row r="151" spans="1:93" s="496" customFormat="1">
      <c r="A151" s="19"/>
      <c r="B151" s="120"/>
      <c r="C151" s="90" t="str">
        <f ca="1">OFFSET(C151,-1,0)</f>
        <v>Bouwmethode, afgestemd op meerdere cycli</v>
      </c>
      <c r="D151" s="90"/>
      <c r="E151" s="90" t="s">
        <v>155</v>
      </c>
      <c r="F151" s="133" t="str">
        <f t="shared" ca="1" si="18"/>
        <v>Bouwmethode, afgestemd op meerdere cycliMaximum</v>
      </c>
      <c r="G151" s="125">
        <v>66</v>
      </c>
      <c r="H151" s="125">
        <v>66</v>
      </c>
      <c r="I151" s="125">
        <v>57</v>
      </c>
      <c r="J151" s="125">
        <v>58</v>
      </c>
      <c r="K151" s="125">
        <v>58</v>
      </c>
      <c r="L151" s="125">
        <v>62</v>
      </c>
      <c r="M151" s="125">
        <v>66</v>
      </c>
      <c r="N151" s="125">
        <v>52</v>
      </c>
      <c r="O151" s="125">
        <v>58</v>
      </c>
      <c r="P151" s="125">
        <v>66</v>
      </c>
      <c r="Q151" s="126"/>
      <c r="R151" s="705"/>
      <c r="S151" s="705"/>
      <c r="T151" s="705"/>
      <c r="U151" s="705"/>
      <c r="V151" s="705"/>
      <c r="W151" s="705"/>
      <c r="X151" s="705"/>
      <c r="Y151" s="705"/>
      <c r="Z151" s="705"/>
      <c r="AA151" s="705"/>
      <c r="AB151" s="705"/>
      <c r="AC151" s="705"/>
      <c r="AD151" s="705"/>
      <c r="AE151" s="705"/>
      <c r="AF151" s="705"/>
      <c r="AG151" s="705"/>
      <c r="AH151" s="705"/>
      <c r="AI151" s="705"/>
      <c r="AJ151" s="705"/>
      <c r="AK151" s="705"/>
      <c r="AL151" s="705"/>
      <c r="AM151" s="705"/>
      <c r="AN151" s="705"/>
      <c r="AO151" s="705"/>
      <c r="AP151" s="705"/>
      <c r="AQ151" s="705"/>
      <c r="AR151" s="705"/>
      <c r="AS151" s="705"/>
      <c r="AT151" s="705"/>
      <c r="AU151" s="705"/>
      <c r="AV151" s="705"/>
      <c r="AW151" s="705"/>
      <c r="AX151" s="705"/>
      <c r="AY151" s="705"/>
      <c r="AZ151" s="705"/>
      <c r="BA151" s="705"/>
      <c r="BB151" s="705"/>
      <c r="BC151" s="705"/>
      <c r="BD151" s="705"/>
      <c r="BE151" s="705"/>
      <c r="BF151" s="705"/>
      <c r="BG151" s="705"/>
      <c r="BH151" s="705"/>
      <c r="BI151" s="705"/>
      <c r="BJ151" s="705"/>
      <c r="BK151" s="705"/>
      <c r="BL151" s="705"/>
      <c r="BM151" s="705"/>
      <c r="BN151" s="705"/>
      <c r="BO151" s="705"/>
      <c r="BP151" s="705"/>
      <c r="BQ151" s="705"/>
      <c r="BR151" s="705"/>
      <c r="BS151" s="705"/>
      <c r="BT151" s="705"/>
      <c r="BU151" s="705"/>
      <c r="BV151" s="705"/>
      <c r="BW151" s="705"/>
      <c r="BX151" s="705"/>
      <c r="BY151" s="705"/>
      <c r="BZ151" s="705"/>
      <c r="CA151" s="705"/>
      <c r="CB151" s="705"/>
      <c r="CC151" s="705"/>
      <c r="CD151" s="705"/>
      <c r="CE151" s="705"/>
      <c r="CF151" s="705"/>
      <c r="CG151" s="705"/>
      <c r="CH151" s="705"/>
      <c r="CI151" s="705"/>
      <c r="CJ151" s="705"/>
      <c r="CK151" s="705"/>
      <c r="CL151" s="705"/>
      <c r="CM151" s="705"/>
      <c r="CN151" s="705"/>
      <c r="CO151" s="705"/>
    </row>
    <row r="152" spans="1:93">
      <c r="C152" s="344" t="s">
        <v>201</v>
      </c>
      <c r="D152" s="703"/>
      <c r="E152" s="703"/>
      <c r="F152" s="703"/>
      <c r="G152" s="703"/>
      <c r="H152" s="703"/>
      <c r="I152" s="703"/>
      <c r="J152" s="703"/>
      <c r="L152" s="703"/>
      <c r="M152" s="703"/>
      <c r="N152" s="703"/>
      <c r="O152" s="703"/>
      <c r="P152" s="703"/>
      <c r="Q152" s="703"/>
      <c r="R152" s="703"/>
      <c r="S152" s="703"/>
      <c r="T152" s="703"/>
      <c r="U152" s="703"/>
      <c r="V152" s="703"/>
      <c r="W152" s="703"/>
      <c r="X152" s="703"/>
      <c r="Y152" s="703"/>
      <c r="Z152" s="703"/>
      <c r="AA152" s="703"/>
      <c r="AB152" s="703"/>
      <c r="AC152" s="703"/>
      <c r="AD152" s="703"/>
      <c r="AE152" s="703"/>
      <c r="AF152" s="703"/>
      <c r="AG152" s="703"/>
      <c r="AH152" s="703"/>
      <c r="AI152" s="703"/>
      <c r="AJ152" s="703"/>
      <c r="AK152" s="703"/>
      <c r="AL152" s="703"/>
      <c r="AM152" s="703"/>
      <c r="AN152" s="703"/>
      <c r="AO152" s="703"/>
      <c r="AP152" s="703"/>
      <c r="AQ152" s="703"/>
      <c r="AR152" s="703"/>
      <c r="AS152" s="703"/>
      <c r="AT152" s="703"/>
      <c r="AU152" s="703"/>
      <c r="AV152" s="703"/>
      <c r="AW152" s="703"/>
      <c r="AX152" s="703"/>
      <c r="AY152" s="703"/>
      <c r="AZ152" s="703"/>
      <c r="BA152" s="703"/>
      <c r="BB152" s="703"/>
      <c r="BC152" s="703"/>
      <c r="BD152" s="703"/>
      <c r="BE152" s="703"/>
      <c r="BF152" s="703"/>
      <c r="BG152" s="703"/>
      <c r="BH152" s="703"/>
      <c r="BI152" s="703"/>
      <c r="BJ152" s="703"/>
      <c r="BK152" s="703"/>
      <c r="BL152" s="703"/>
      <c r="BM152" s="703"/>
      <c r="BN152" s="703"/>
      <c r="BO152" s="703"/>
      <c r="BP152" s="703"/>
      <c r="BQ152" s="703"/>
      <c r="BR152" s="703"/>
      <c r="BS152" s="703"/>
      <c r="BT152" s="703"/>
      <c r="BU152" s="703"/>
      <c r="BV152" s="703"/>
      <c r="BW152" s="703"/>
      <c r="BX152" s="703"/>
      <c r="BY152" s="703"/>
      <c r="BZ152" s="703"/>
      <c r="CA152" s="703"/>
      <c r="CB152" s="703"/>
      <c r="CC152" s="703"/>
      <c r="CD152" s="703"/>
      <c r="CE152" s="703"/>
      <c r="CF152" s="703"/>
      <c r="CG152" s="703"/>
      <c r="CH152" s="703"/>
      <c r="CI152" s="703"/>
      <c r="CJ152" s="703"/>
      <c r="CK152" s="703"/>
      <c r="CL152" s="703"/>
      <c r="CM152" s="703"/>
      <c r="CN152" s="703"/>
      <c r="CO152" s="703"/>
    </row>
    <row r="153" spans="1:93" s="5" customFormat="1">
      <c r="A153" s="19"/>
      <c r="B153" s="88">
        <f ca="1">MAX(tabellen!$B$1:OFFSET(B153,-1,0))+1</f>
        <v>11</v>
      </c>
      <c r="C153" s="89" t="s">
        <v>202</v>
      </c>
      <c r="D153" s="89"/>
      <c r="E153" s="89"/>
      <c r="F153" s="122"/>
      <c r="G153" s="123"/>
      <c r="H153" s="123"/>
      <c r="I153" s="123"/>
      <c r="J153" s="123"/>
      <c r="K153" s="123"/>
      <c r="L153" s="123"/>
      <c r="M153" s="123"/>
      <c r="N153" s="123"/>
      <c r="O153" s="123"/>
      <c r="P153" s="123"/>
      <c r="Q153" s="123"/>
      <c r="R153" s="123"/>
      <c r="S153" s="123"/>
      <c r="T153" s="123"/>
      <c r="U153" s="123"/>
      <c r="V153" s="123"/>
      <c r="W153" s="123"/>
      <c r="X153" s="123"/>
      <c r="Y153" s="123"/>
      <c r="Z153" s="123"/>
      <c r="AA153" s="123"/>
      <c r="AB153" s="123"/>
      <c r="AC153" s="123"/>
      <c r="AD153" s="123"/>
      <c r="AE153" s="123"/>
      <c r="AF153" s="123"/>
      <c r="AG153" s="123"/>
      <c r="AH153" s="123"/>
      <c r="AI153" s="123"/>
      <c r="AJ153" s="123"/>
      <c r="AK153" s="123"/>
      <c r="AL153" s="123"/>
      <c r="AM153" s="123"/>
      <c r="AN153" s="123"/>
      <c r="AO153" s="123"/>
      <c r="AP153" s="123"/>
      <c r="AQ153" s="123"/>
      <c r="AR153" s="123"/>
      <c r="AS153" s="123"/>
      <c r="AT153" s="123"/>
      <c r="AU153" s="123"/>
      <c r="AV153" s="123"/>
      <c r="AW153" s="123"/>
      <c r="AX153" s="123"/>
      <c r="AY153" s="123"/>
      <c r="AZ153" s="123"/>
      <c r="BA153" s="123"/>
      <c r="BB153" s="123"/>
      <c r="BC153" s="123"/>
      <c r="BD153" s="123"/>
      <c r="BE153" s="123"/>
      <c r="BF153" s="123"/>
      <c r="BG153" s="123"/>
      <c r="BH153" s="123"/>
      <c r="BI153" s="123"/>
      <c r="BJ153" s="123"/>
      <c r="BK153" s="123"/>
      <c r="BL153" s="123"/>
      <c r="BM153" s="123"/>
      <c r="BN153" s="123"/>
      <c r="BO153" s="123"/>
      <c r="BP153" s="123"/>
      <c r="BQ153" s="123"/>
      <c r="BR153" s="123"/>
      <c r="BS153" s="123"/>
      <c r="BT153" s="123"/>
      <c r="BU153" s="123"/>
      <c r="BV153" s="123"/>
      <c r="BW153" s="123"/>
      <c r="BX153" s="123"/>
      <c r="BY153" s="123"/>
      <c r="BZ153" s="123"/>
      <c r="CA153" s="123"/>
      <c r="CB153" s="123"/>
      <c r="CC153" s="123"/>
      <c r="CD153" s="123"/>
      <c r="CE153" s="123"/>
      <c r="CF153" s="123"/>
      <c r="CG153" s="123"/>
      <c r="CH153" s="123"/>
      <c r="CI153" s="123"/>
      <c r="CJ153" s="123"/>
      <c r="CK153" s="123"/>
      <c r="CL153" s="123"/>
      <c r="CM153" s="123"/>
      <c r="CN153" s="123"/>
      <c r="CO153" s="123"/>
    </row>
    <row r="154" spans="1:93" s="5" customFormat="1">
      <c r="A154" s="19"/>
      <c r="B154" s="120"/>
      <c r="C154" s="57" t="s">
        <v>203</v>
      </c>
      <c r="D154" s="57"/>
      <c r="E154" s="57" t="s">
        <v>204</v>
      </c>
      <c r="F154" s="64"/>
      <c r="G154" s="64">
        <f t="shared" ref="G154:CN154" ca="1" si="19">OFFSET(G154,0,-1)+1</f>
        <v>1</v>
      </c>
      <c r="H154" s="64">
        <f t="shared" ca="1" si="19"/>
        <v>2</v>
      </c>
      <c r="I154" s="64">
        <f t="shared" ca="1" si="19"/>
        <v>3</v>
      </c>
      <c r="J154" s="64">
        <f t="shared" ca="1" si="19"/>
        <v>4</v>
      </c>
      <c r="K154" s="64">
        <f t="shared" ca="1" si="19"/>
        <v>5</v>
      </c>
      <c r="L154" s="64">
        <f t="shared" ca="1" si="19"/>
        <v>6</v>
      </c>
      <c r="M154" s="64">
        <f t="shared" ca="1" si="19"/>
        <v>7</v>
      </c>
      <c r="N154" s="64">
        <f t="shared" ca="1" si="19"/>
        <v>8</v>
      </c>
      <c r="O154" s="64">
        <f t="shared" ca="1" si="19"/>
        <v>9</v>
      </c>
      <c r="P154" s="64">
        <f t="shared" ca="1" si="19"/>
        <v>10</v>
      </c>
      <c r="Q154" s="64">
        <f t="shared" ca="1" si="19"/>
        <v>11</v>
      </c>
      <c r="R154" s="64">
        <f t="shared" ca="1" si="19"/>
        <v>12</v>
      </c>
      <c r="S154" s="64">
        <f t="shared" ca="1" si="19"/>
        <v>13</v>
      </c>
      <c r="T154" s="64">
        <f t="shared" ca="1" si="19"/>
        <v>14</v>
      </c>
      <c r="U154" s="64">
        <f t="shared" ca="1" si="19"/>
        <v>15</v>
      </c>
      <c r="V154" s="64">
        <f t="shared" ca="1" si="19"/>
        <v>16</v>
      </c>
      <c r="W154" s="64">
        <f t="shared" ca="1" si="19"/>
        <v>17</v>
      </c>
      <c r="X154" s="64">
        <f t="shared" ca="1" si="19"/>
        <v>18</v>
      </c>
      <c r="Y154" s="64">
        <f t="shared" ca="1" si="19"/>
        <v>19</v>
      </c>
      <c r="Z154" s="64">
        <f t="shared" ca="1" si="19"/>
        <v>20</v>
      </c>
      <c r="AA154" s="64">
        <f t="shared" ca="1" si="19"/>
        <v>21</v>
      </c>
      <c r="AB154" s="64">
        <f t="shared" ca="1" si="19"/>
        <v>22</v>
      </c>
      <c r="AC154" s="64">
        <f t="shared" ca="1" si="19"/>
        <v>23</v>
      </c>
      <c r="AD154" s="64">
        <f t="shared" ca="1" si="19"/>
        <v>24</v>
      </c>
      <c r="AE154" s="64">
        <f t="shared" ca="1" si="19"/>
        <v>25</v>
      </c>
      <c r="AF154" s="64">
        <f t="shared" ca="1" si="19"/>
        <v>26</v>
      </c>
      <c r="AG154" s="64">
        <f t="shared" ca="1" si="19"/>
        <v>27</v>
      </c>
      <c r="AH154" s="64">
        <f t="shared" ca="1" si="19"/>
        <v>28</v>
      </c>
      <c r="AI154" s="64">
        <f t="shared" ca="1" si="19"/>
        <v>29</v>
      </c>
      <c r="AJ154" s="64">
        <f t="shared" ca="1" si="19"/>
        <v>30</v>
      </c>
      <c r="AK154" s="64">
        <f t="shared" ca="1" si="19"/>
        <v>31</v>
      </c>
      <c r="AL154" s="64">
        <f t="shared" ca="1" si="19"/>
        <v>32</v>
      </c>
      <c r="AM154" s="64">
        <f t="shared" ca="1" si="19"/>
        <v>33</v>
      </c>
      <c r="AN154" s="64">
        <f t="shared" ca="1" si="19"/>
        <v>34</v>
      </c>
      <c r="AO154" s="64">
        <f t="shared" ca="1" si="19"/>
        <v>35</v>
      </c>
      <c r="AP154" s="64">
        <f t="shared" ca="1" si="19"/>
        <v>36</v>
      </c>
      <c r="AQ154" s="64">
        <f t="shared" ca="1" si="19"/>
        <v>37</v>
      </c>
      <c r="AR154" s="64">
        <f t="shared" ca="1" si="19"/>
        <v>38</v>
      </c>
      <c r="AS154" s="64">
        <f t="shared" ca="1" si="19"/>
        <v>39</v>
      </c>
      <c r="AT154" s="64">
        <f t="shared" ca="1" si="19"/>
        <v>40</v>
      </c>
      <c r="AU154" s="64">
        <f t="shared" ca="1" si="19"/>
        <v>41</v>
      </c>
      <c r="AV154" s="64">
        <f t="shared" ca="1" si="19"/>
        <v>42</v>
      </c>
      <c r="AW154" s="64">
        <f t="shared" ca="1" si="19"/>
        <v>43</v>
      </c>
      <c r="AX154" s="64">
        <f t="shared" ca="1" si="19"/>
        <v>44</v>
      </c>
      <c r="AY154" s="64">
        <f t="shared" ca="1" si="19"/>
        <v>45</v>
      </c>
      <c r="AZ154" s="64">
        <f t="shared" ca="1" si="19"/>
        <v>46</v>
      </c>
      <c r="BA154" s="64">
        <f t="shared" ca="1" si="19"/>
        <v>47</v>
      </c>
      <c r="BB154" s="64">
        <f t="shared" ca="1" si="19"/>
        <v>48</v>
      </c>
      <c r="BC154" s="64">
        <f t="shared" ca="1" si="19"/>
        <v>49</v>
      </c>
      <c r="BD154" s="64">
        <f t="shared" ca="1" si="19"/>
        <v>50</v>
      </c>
      <c r="BE154" s="64">
        <f t="shared" ca="1" si="19"/>
        <v>51</v>
      </c>
      <c r="BF154" s="64">
        <f t="shared" ca="1" si="19"/>
        <v>52</v>
      </c>
      <c r="BG154" s="64">
        <f t="shared" ca="1" si="19"/>
        <v>53</v>
      </c>
      <c r="BH154" s="64">
        <f t="shared" ca="1" si="19"/>
        <v>54</v>
      </c>
      <c r="BI154" s="64">
        <f t="shared" ca="1" si="19"/>
        <v>55</v>
      </c>
      <c r="BJ154" s="64">
        <f t="shared" ca="1" si="19"/>
        <v>56</v>
      </c>
      <c r="BK154" s="64">
        <f t="shared" ca="1" si="19"/>
        <v>57</v>
      </c>
      <c r="BL154" s="64">
        <f t="shared" ca="1" si="19"/>
        <v>58</v>
      </c>
      <c r="BM154" s="64">
        <f t="shared" ca="1" si="19"/>
        <v>59</v>
      </c>
      <c r="BN154" s="64">
        <f t="shared" ca="1" si="19"/>
        <v>60</v>
      </c>
      <c r="BO154" s="64">
        <f t="shared" ca="1" si="19"/>
        <v>61</v>
      </c>
      <c r="BP154" s="64">
        <f t="shared" ca="1" si="19"/>
        <v>62</v>
      </c>
      <c r="BQ154" s="64">
        <f t="shared" ca="1" si="19"/>
        <v>63</v>
      </c>
      <c r="BR154" s="64">
        <f t="shared" ca="1" si="19"/>
        <v>64</v>
      </c>
      <c r="BS154" s="64">
        <f t="shared" ca="1" si="19"/>
        <v>65</v>
      </c>
      <c r="BT154" s="64">
        <f t="shared" ca="1" si="19"/>
        <v>66</v>
      </c>
      <c r="BU154" s="64">
        <f t="shared" ca="1" si="19"/>
        <v>67</v>
      </c>
      <c r="BV154" s="64">
        <f t="shared" ca="1" si="19"/>
        <v>68</v>
      </c>
      <c r="BW154" s="64">
        <f t="shared" ca="1" si="19"/>
        <v>69</v>
      </c>
      <c r="BX154" s="64">
        <f t="shared" ca="1" si="19"/>
        <v>70</v>
      </c>
      <c r="BY154" s="64">
        <f t="shared" ca="1" si="19"/>
        <v>71</v>
      </c>
      <c r="BZ154" s="64">
        <f t="shared" ca="1" si="19"/>
        <v>72</v>
      </c>
      <c r="CA154" s="64">
        <f t="shared" ca="1" si="19"/>
        <v>73</v>
      </c>
      <c r="CB154" s="64">
        <f t="shared" ca="1" si="19"/>
        <v>74</v>
      </c>
      <c r="CC154" s="64">
        <f t="shared" ca="1" si="19"/>
        <v>75</v>
      </c>
      <c r="CD154" s="64">
        <f t="shared" ca="1" si="19"/>
        <v>76</v>
      </c>
      <c r="CE154" s="64">
        <f t="shared" ca="1" si="19"/>
        <v>77</v>
      </c>
      <c r="CF154" s="64">
        <f t="shared" ca="1" si="19"/>
        <v>78</v>
      </c>
      <c r="CG154" s="64">
        <f t="shared" ca="1" si="19"/>
        <v>79</v>
      </c>
      <c r="CH154" s="64">
        <f t="shared" ca="1" si="19"/>
        <v>80</v>
      </c>
      <c r="CI154" s="64">
        <f t="shared" ca="1" si="19"/>
        <v>81</v>
      </c>
      <c r="CJ154" s="64">
        <f t="shared" ca="1" si="19"/>
        <v>82</v>
      </c>
      <c r="CK154" s="64">
        <f t="shared" ca="1" si="19"/>
        <v>83</v>
      </c>
      <c r="CL154" s="64">
        <f t="shared" ca="1" si="19"/>
        <v>84</v>
      </c>
      <c r="CM154" s="64">
        <f t="shared" ca="1" si="19"/>
        <v>85</v>
      </c>
      <c r="CN154" s="64">
        <f t="shared" ca="1" si="19"/>
        <v>86</v>
      </c>
      <c r="CO154" s="64"/>
    </row>
    <row r="155" spans="1:93" s="334" customFormat="1">
      <c r="A155" s="19"/>
      <c r="B155" s="333"/>
      <c r="C155" s="330" t="s">
        <v>205</v>
      </c>
      <c r="D155" s="23"/>
      <c r="E155" s="23"/>
      <c r="F155" s="351"/>
      <c r="G155" s="351"/>
      <c r="H155" s="351"/>
      <c r="I155" s="351"/>
      <c r="J155" s="351"/>
      <c r="K155" s="351"/>
      <c r="L155" s="351"/>
      <c r="M155" s="351"/>
      <c r="N155" s="351"/>
      <c r="O155" s="351"/>
      <c r="P155" s="351"/>
      <c r="Q155" s="351"/>
      <c r="R155" s="351"/>
      <c r="S155" s="351"/>
      <c r="T155" s="351"/>
      <c r="U155" s="351"/>
      <c r="V155" s="351"/>
      <c r="W155" s="351"/>
      <c r="X155" s="351"/>
      <c r="Y155" s="351"/>
      <c r="Z155" s="351"/>
      <c r="AA155" s="351"/>
      <c r="AB155" s="351"/>
      <c r="AC155" s="351"/>
      <c r="AD155" s="351"/>
      <c r="AE155" s="351"/>
      <c r="AF155" s="351"/>
      <c r="AG155" s="351"/>
      <c r="AH155" s="351"/>
      <c r="AI155" s="351"/>
      <c r="AJ155" s="351"/>
      <c r="AK155" s="351"/>
      <c r="AL155" s="351"/>
      <c r="AM155" s="351"/>
      <c r="AN155" s="351"/>
      <c r="AO155" s="351"/>
      <c r="AP155" s="351"/>
      <c r="AQ155" s="351"/>
      <c r="AR155" s="351"/>
      <c r="AS155" s="351"/>
      <c r="AT155" s="351"/>
      <c r="AU155" s="351"/>
      <c r="AV155" s="351"/>
      <c r="AW155" s="351"/>
      <c r="AX155" s="351"/>
      <c r="AY155" s="351"/>
      <c r="AZ155" s="351"/>
      <c r="BA155" s="351"/>
      <c r="BB155" s="351"/>
      <c r="BC155" s="351"/>
      <c r="BD155" s="351"/>
      <c r="BE155" s="351"/>
      <c r="BF155" s="351"/>
      <c r="BG155" s="351"/>
      <c r="BH155" s="351"/>
      <c r="BI155" s="351"/>
      <c r="BJ155" s="351"/>
      <c r="BK155" s="351"/>
      <c r="BL155" s="351"/>
      <c r="BM155" s="351"/>
      <c r="BN155" s="351"/>
      <c r="BO155" s="351"/>
      <c r="BP155" s="351"/>
      <c r="BQ155" s="351"/>
      <c r="BR155" s="351"/>
      <c r="BS155" s="351"/>
      <c r="BT155" s="351"/>
      <c r="BU155" s="351"/>
      <c r="BV155" s="351"/>
      <c r="BW155" s="351"/>
      <c r="BX155" s="351"/>
      <c r="BY155" s="351"/>
      <c r="BZ155" s="351"/>
      <c r="CA155" s="351"/>
      <c r="CB155" s="351"/>
      <c r="CC155" s="351"/>
      <c r="CD155" s="351"/>
      <c r="CE155" s="351"/>
      <c r="CF155" s="351"/>
      <c r="CG155" s="351"/>
      <c r="CH155" s="351"/>
      <c r="CI155" s="351"/>
      <c r="CJ155" s="351"/>
      <c r="CK155" s="351"/>
      <c r="CL155" s="351"/>
      <c r="CM155" s="351"/>
      <c r="CN155" s="351"/>
      <c r="CO155" s="351"/>
    </row>
    <row r="156" spans="1:93" s="334" customFormat="1">
      <c r="A156" s="19"/>
      <c r="B156" s="335" t="s">
        <v>206</v>
      </c>
      <c r="C156" s="90" t="s">
        <v>207</v>
      </c>
      <c r="D156" s="90"/>
      <c r="E156" s="90" t="s">
        <v>208</v>
      </c>
      <c r="F156" s="353"/>
      <c r="G156" s="354" t="s">
        <v>209</v>
      </c>
      <c r="H156" s="354" t="s">
        <v>210</v>
      </c>
      <c r="I156" s="354" t="s">
        <v>211</v>
      </c>
      <c r="J156" s="354" t="s">
        <v>212</v>
      </c>
      <c r="K156" s="354" t="s">
        <v>213</v>
      </c>
      <c r="L156" s="354" t="s">
        <v>214</v>
      </c>
      <c r="M156" s="354" t="s">
        <v>215</v>
      </c>
      <c r="N156" s="354" t="s">
        <v>216</v>
      </c>
      <c r="O156" s="354" t="s">
        <v>217</v>
      </c>
      <c r="P156" s="354" t="s">
        <v>218</v>
      </c>
      <c r="Q156" s="354" t="s">
        <v>219</v>
      </c>
      <c r="R156" s="354" t="s">
        <v>220</v>
      </c>
      <c r="S156" s="354" t="s">
        <v>221</v>
      </c>
      <c r="T156" s="354" t="s">
        <v>222</v>
      </c>
      <c r="U156" s="354" t="s">
        <v>223</v>
      </c>
      <c r="V156" s="354" t="s">
        <v>224</v>
      </c>
      <c r="W156" s="354" t="s">
        <v>225</v>
      </c>
      <c r="X156" s="354" t="s">
        <v>226</v>
      </c>
      <c r="Y156" s="354" t="s">
        <v>227</v>
      </c>
      <c r="Z156" s="354" t="s">
        <v>228</v>
      </c>
      <c r="AA156" s="354" t="s">
        <v>229</v>
      </c>
      <c r="AB156" s="354" t="s">
        <v>230</v>
      </c>
      <c r="AC156" s="354" t="s">
        <v>231</v>
      </c>
      <c r="AD156" s="354" t="s">
        <v>232</v>
      </c>
      <c r="AE156" s="354" t="s">
        <v>233</v>
      </c>
      <c r="AF156" s="354" t="s">
        <v>234</v>
      </c>
      <c r="AG156" s="354" t="s">
        <v>235</v>
      </c>
      <c r="AH156" s="354" t="s">
        <v>236</v>
      </c>
      <c r="AI156" s="354" t="s">
        <v>237</v>
      </c>
      <c r="AJ156" s="354" t="s">
        <v>238</v>
      </c>
      <c r="AK156" s="354" t="s">
        <v>239</v>
      </c>
      <c r="AL156" s="354" t="s">
        <v>240</v>
      </c>
      <c r="AM156" s="354" t="s">
        <v>241</v>
      </c>
      <c r="AN156" s="354" t="s">
        <v>242</v>
      </c>
      <c r="AO156" s="354" t="s">
        <v>243</v>
      </c>
      <c r="AP156" s="354" t="s">
        <v>244</v>
      </c>
      <c r="AQ156" s="354" t="s">
        <v>245</v>
      </c>
      <c r="AR156" s="354" t="s">
        <v>246</v>
      </c>
      <c r="AS156" s="354" t="s">
        <v>247</v>
      </c>
      <c r="AT156" s="354" t="s">
        <v>248</v>
      </c>
      <c r="AU156" s="354" t="s">
        <v>249</v>
      </c>
      <c r="AV156" s="354" t="s">
        <v>250</v>
      </c>
      <c r="AW156" s="354" t="s">
        <v>251</v>
      </c>
      <c r="AX156" s="354" t="s">
        <v>252</v>
      </c>
      <c r="AY156" s="354" t="s">
        <v>253</v>
      </c>
      <c r="AZ156" s="354" t="s">
        <v>254</v>
      </c>
      <c r="BA156" s="354" t="s">
        <v>255</v>
      </c>
      <c r="BB156" s="354" t="s">
        <v>256</v>
      </c>
      <c r="BC156" s="354" t="s">
        <v>257</v>
      </c>
      <c r="BD156" s="354" t="s">
        <v>258</v>
      </c>
      <c r="BE156" s="354" t="s">
        <v>259</v>
      </c>
      <c r="BF156" s="354" t="s">
        <v>260</v>
      </c>
      <c r="BG156" s="354" t="s">
        <v>261</v>
      </c>
      <c r="BH156" s="354" t="s">
        <v>262</v>
      </c>
      <c r="BI156" s="354" t="s">
        <v>263</v>
      </c>
      <c r="BJ156" s="354" t="s">
        <v>264</v>
      </c>
      <c r="BK156" s="354" t="s">
        <v>265</v>
      </c>
      <c r="BL156" s="354" t="s">
        <v>266</v>
      </c>
      <c r="BM156" s="354" t="s">
        <v>267</v>
      </c>
      <c r="BN156" s="354" t="s">
        <v>268</v>
      </c>
      <c r="BO156" s="354" t="s">
        <v>269</v>
      </c>
      <c r="BP156" s="354" t="s">
        <v>270</v>
      </c>
      <c r="BQ156" s="354" t="s">
        <v>271</v>
      </c>
      <c r="BR156" s="354" t="s">
        <v>272</v>
      </c>
      <c r="BS156" s="354" t="s">
        <v>273</v>
      </c>
      <c r="BT156" s="354" t="s">
        <v>274</v>
      </c>
      <c r="BU156" s="354" t="s">
        <v>275</v>
      </c>
      <c r="BV156" s="354" t="s">
        <v>276</v>
      </c>
      <c r="BW156" s="354" t="s">
        <v>277</v>
      </c>
      <c r="BX156" s="354" t="s">
        <v>278</v>
      </c>
      <c r="BY156" s="354" t="s">
        <v>279</v>
      </c>
      <c r="BZ156" s="354" t="s">
        <v>280</v>
      </c>
      <c r="CA156" s="354" t="s">
        <v>281</v>
      </c>
      <c r="CB156" s="354" t="s">
        <v>282</v>
      </c>
      <c r="CC156" s="354" t="s">
        <v>283</v>
      </c>
      <c r="CD156" s="354" t="s">
        <v>284</v>
      </c>
      <c r="CE156" s="354" t="s">
        <v>285</v>
      </c>
      <c r="CF156" s="354" t="s">
        <v>286</v>
      </c>
      <c r="CG156" s="354" t="s">
        <v>287</v>
      </c>
      <c r="CH156" s="354" t="s">
        <v>288</v>
      </c>
      <c r="CI156" s="354" t="s">
        <v>289</v>
      </c>
      <c r="CJ156" s="354" t="s">
        <v>290</v>
      </c>
      <c r="CK156" s="354" t="s">
        <v>291</v>
      </c>
      <c r="CL156" s="354" t="s">
        <v>292</v>
      </c>
      <c r="CM156" s="354" t="s">
        <v>293</v>
      </c>
      <c r="CN156" s="354" t="s">
        <v>294</v>
      </c>
      <c r="CO156" s="355"/>
    </row>
    <row r="157" spans="1:93" s="334" customFormat="1">
      <c r="A157" s="19"/>
      <c r="B157" s="333"/>
      <c r="C157" s="90" t="s">
        <v>295</v>
      </c>
      <c r="D157" s="90"/>
      <c r="E157" s="90" t="s">
        <v>296</v>
      </c>
      <c r="F157" s="353"/>
      <c r="G157" s="354" t="s">
        <v>297</v>
      </c>
      <c r="H157" s="354" t="s">
        <v>297</v>
      </c>
      <c r="I157" s="354" t="s">
        <v>297</v>
      </c>
      <c r="J157" s="354" t="s">
        <v>297</v>
      </c>
      <c r="K157" s="354" t="s">
        <v>297</v>
      </c>
      <c r="L157" s="354" t="s">
        <v>298</v>
      </c>
      <c r="M157" s="354" t="s">
        <v>298</v>
      </c>
      <c r="N157" s="354" t="s">
        <v>297</v>
      </c>
      <c r="O157" s="354" t="s">
        <v>297</v>
      </c>
      <c r="P157" s="354" t="s">
        <v>297</v>
      </c>
      <c r="Q157" s="354" t="s">
        <v>297</v>
      </c>
      <c r="R157" s="354" t="s">
        <v>297</v>
      </c>
      <c r="S157" s="354" t="s">
        <v>297</v>
      </c>
      <c r="T157" s="354" t="s">
        <v>297</v>
      </c>
      <c r="U157" s="354" t="s">
        <v>297</v>
      </c>
      <c r="V157" s="354" t="s">
        <v>297</v>
      </c>
      <c r="W157" s="354" t="s">
        <v>297</v>
      </c>
      <c r="X157" s="354" t="s">
        <v>297</v>
      </c>
      <c r="Y157" s="354" t="s">
        <v>297</v>
      </c>
      <c r="Z157" s="354" t="s">
        <v>297</v>
      </c>
      <c r="AA157" s="354" t="s">
        <v>297</v>
      </c>
      <c r="AB157" s="354" t="s">
        <v>297</v>
      </c>
      <c r="AC157" s="354" t="s">
        <v>297</v>
      </c>
      <c r="AD157" s="354" t="s">
        <v>297</v>
      </c>
      <c r="AE157" s="354" t="s">
        <v>297</v>
      </c>
      <c r="AF157" s="354" t="s">
        <v>297</v>
      </c>
      <c r="AG157" s="354" t="s">
        <v>297</v>
      </c>
      <c r="AH157" s="354" t="s">
        <v>297</v>
      </c>
      <c r="AI157" s="354" t="s">
        <v>297</v>
      </c>
      <c r="AJ157" s="354" t="s">
        <v>297</v>
      </c>
      <c r="AK157" s="354" t="s">
        <v>297</v>
      </c>
      <c r="AL157" s="354" t="s">
        <v>297</v>
      </c>
      <c r="AM157" s="354" t="s">
        <v>297</v>
      </c>
      <c r="AN157" s="354" t="s">
        <v>298</v>
      </c>
      <c r="AO157" s="354" t="s">
        <v>298</v>
      </c>
      <c r="AP157" s="354" t="s">
        <v>298</v>
      </c>
      <c r="AQ157" s="354" t="s">
        <v>298</v>
      </c>
      <c r="AR157" s="354" t="s">
        <v>298</v>
      </c>
      <c r="AS157" s="354" t="s">
        <v>298</v>
      </c>
      <c r="AT157" s="354" t="s">
        <v>298</v>
      </c>
      <c r="AU157" s="354" t="s">
        <v>298</v>
      </c>
      <c r="AV157" s="354" t="s">
        <v>298</v>
      </c>
      <c r="AW157" s="354" t="s">
        <v>298</v>
      </c>
      <c r="AX157" s="354" t="s">
        <v>298</v>
      </c>
      <c r="AY157" s="354" t="s">
        <v>298</v>
      </c>
      <c r="AZ157" s="354" t="s">
        <v>298</v>
      </c>
      <c r="BA157" s="354" t="s">
        <v>298</v>
      </c>
      <c r="BB157" s="354" t="s">
        <v>298</v>
      </c>
      <c r="BC157" s="354" t="s">
        <v>298</v>
      </c>
      <c r="BD157" s="354" t="s">
        <v>298</v>
      </c>
      <c r="BE157" s="354" t="s">
        <v>298</v>
      </c>
      <c r="BF157" s="354" t="s">
        <v>298</v>
      </c>
      <c r="BG157" s="354" t="s">
        <v>298</v>
      </c>
      <c r="BH157" s="354" t="s">
        <v>298</v>
      </c>
      <c r="BI157" s="354" t="s">
        <v>298</v>
      </c>
      <c r="BJ157" s="354" t="s">
        <v>298</v>
      </c>
      <c r="BK157" s="354" t="s">
        <v>298</v>
      </c>
      <c r="BL157" s="354" t="s">
        <v>298</v>
      </c>
      <c r="BM157" s="354" t="s">
        <v>299</v>
      </c>
      <c r="BN157" s="354" t="s">
        <v>299</v>
      </c>
      <c r="BO157" s="354" t="s">
        <v>299</v>
      </c>
      <c r="BP157" s="354" t="s">
        <v>299</v>
      </c>
      <c r="BQ157" s="354" t="s">
        <v>300</v>
      </c>
      <c r="BR157" s="354" t="s">
        <v>300</v>
      </c>
      <c r="BS157" s="354" t="s">
        <v>300</v>
      </c>
      <c r="BT157" s="354" t="s">
        <v>301</v>
      </c>
      <c r="BU157" s="354" t="s">
        <v>301</v>
      </c>
      <c r="BV157" s="354" t="s">
        <v>302</v>
      </c>
      <c r="BW157" s="354" t="s">
        <v>303</v>
      </c>
      <c r="BX157" s="354" t="s">
        <v>303</v>
      </c>
      <c r="BY157" s="354" t="s">
        <v>303</v>
      </c>
      <c r="BZ157" s="354" t="s">
        <v>303</v>
      </c>
      <c r="CA157" s="354" t="s">
        <v>303</v>
      </c>
      <c r="CB157" s="354" t="s">
        <v>303</v>
      </c>
      <c r="CC157" s="354" t="s">
        <v>304</v>
      </c>
      <c r="CD157" s="354" t="s">
        <v>305</v>
      </c>
      <c r="CE157" s="354" t="s">
        <v>305</v>
      </c>
      <c r="CF157" s="354" t="s">
        <v>305</v>
      </c>
      <c r="CG157" s="354" t="s">
        <v>305</v>
      </c>
      <c r="CH157" s="354" t="s">
        <v>305</v>
      </c>
      <c r="CI157" s="354" t="s">
        <v>306</v>
      </c>
      <c r="CJ157" s="354" t="s">
        <v>306</v>
      </c>
      <c r="CK157" s="354" t="s">
        <v>307</v>
      </c>
      <c r="CL157" s="354" t="s">
        <v>307</v>
      </c>
      <c r="CM157" s="354" t="s">
        <v>307</v>
      </c>
      <c r="CN157" s="354" t="s">
        <v>307</v>
      </c>
      <c r="CO157" s="355"/>
    </row>
    <row r="158" spans="1:93" s="334" customFormat="1">
      <c r="A158" s="19"/>
      <c r="B158" s="333"/>
      <c r="C158" s="90" t="s">
        <v>308</v>
      </c>
      <c r="D158" s="90"/>
      <c r="E158" s="90" t="s">
        <v>309</v>
      </c>
      <c r="F158" s="353"/>
      <c r="G158" s="247">
        <v>0</v>
      </c>
      <c r="H158" s="247">
        <v>0</v>
      </c>
      <c r="I158" s="247">
        <v>0</v>
      </c>
      <c r="J158" s="247">
        <v>0</v>
      </c>
      <c r="K158" s="247">
        <v>0</v>
      </c>
      <c r="L158" s="247">
        <v>1</v>
      </c>
      <c r="M158" s="247">
        <v>1</v>
      </c>
      <c r="N158" s="247">
        <v>0</v>
      </c>
      <c r="O158" s="247">
        <v>0</v>
      </c>
      <c r="P158" s="247">
        <v>0</v>
      </c>
      <c r="Q158" s="247">
        <v>0</v>
      </c>
      <c r="R158" s="247">
        <v>0</v>
      </c>
      <c r="S158" s="247">
        <v>0</v>
      </c>
      <c r="T158" s="247">
        <v>0</v>
      </c>
      <c r="U158" s="247">
        <v>0</v>
      </c>
      <c r="V158" s="247">
        <v>0</v>
      </c>
      <c r="W158" s="247">
        <v>0</v>
      </c>
      <c r="X158" s="247">
        <v>0</v>
      </c>
      <c r="Y158" s="247">
        <v>0</v>
      </c>
      <c r="Z158" s="247">
        <v>0</v>
      </c>
      <c r="AA158" s="247">
        <v>0</v>
      </c>
      <c r="AB158" s="247">
        <v>0</v>
      </c>
      <c r="AC158" s="247">
        <v>0</v>
      </c>
      <c r="AD158" s="247">
        <v>0</v>
      </c>
      <c r="AE158" s="247">
        <v>0</v>
      </c>
      <c r="AF158" s="247">
        <v>0</v>
      </c>
      <c r="AG158" s="247">
        <v>0</v>
      </c>
      <c r="AH158" s="247">
        <v>0</v>
      </c>
      <c r="AI158" s="247">
        <v>0</v>
      </c>
      <c r="AJ158" s="247">
        <v>0</v>
      </c>
      <c r="AK158" s="247">
        <v>0</v>
      </c>
      <c r="AL158" s="247">
        <v>0</v>
      </c>
      <c r="AM158" s="247">
        <v>0</v>
      </c>
      <c r="AN158" s="247">
        <v>1</v>
      </c>
      <c r="AO158" s="247">
        <v>1</v>
      </c>
      <c r="AP158" s="247">
        <v>1</v>
      </c>
      <c r="AQ158" s="247">
        <v>1</v>
      </c>
      <c r="AR158" s="247">
        <v>1</v>
      </c>
      <c r="AS158" s="247">
        <v>1</v>
      </c>
      <c r="AT158" s="247">
        <v>1</v>
      </c>
      <c r="AU158" s="247">
        <v>1</v>
      </c>
      <c r="AV158" s="247">
        <v>1</v>
      </c>
      <c r="AW158" s="247">
        <v>1</v>
      </c>
      <c r="AX158" s="247">
        <v>1</v>
      </c>
      <c r="AY158" s="247">
        <v>1</v>
      </c>
      <c r="AZ158" s="247">
        <v>1</v>
      </c>
      <c r="BA158" s="247">
        <v>1</v>
      </c>
      <c r="BB158" s="247">
        <v>1</v>
      </c>
      <c r="BC158" s="247">
        <v>1</v>
      </c>
      <c r="BD158" s="247">
        <v>1</v>
      </c>
      <c r="BE158" s="247">
        <v>1</v>
      </c>
      <c r="BF158" s="247">
        <v>1</v>
      </c>
      <c r="BG158" s="247">
        <v>1</v>
      </c>
      <c r="BH158" s="247">
        <v>1</v>
      </c>
      <c r="BI158" s="247">
        <v>1</v>
      </c>
      <c r="BJ158" s="247">
        <v>1</v>
      </c>
      <c r="BK158" s="247">
        <v>1</v>
      </c>
      <c r="BL158" s="247">
        <v>1</v>
      </c>
      <c r="BM158" s="247">
        <v>0</v>
      </c>
      <c r="BN158" s="247">
        <v>1</v>
      </c>
      <c r="BO158" s="247">
        <v>1</v>
      </c>
      <c r="BP158" s="247">
        <v>1</v>
      </c>
      <c r="BQ158" s="247">
        <v>0</v>
      </c>
      <c r="BR158" s="247">
        <v>0</v>
      </c>
      <c r="BS158" s="247">
        <v>0</v>
      </c>
      <c r="BT158" s="247">
        <v>1</v>
      </c>
      <c r="BU158" s="247">
        <v>1</v>
      </c>
      <c r="BV158" s="247">
        <v>0</v>
      </c>
      <c r="BW158" s="247">
        <v>0</v>
      </c>
      <c r="BX158" s="247">
        <v>0</v>
      </c>
      <c r="BY158" s="247">
        <v>0</v>
      </c>
      <c r="BZ158" s="247">
        <v>1</v>
      </c>
      <c r="CA158" s="247">
        <v>1</v>
      </c>
      <c r="CB158" s="247">
        <v>1</v>
      </c>
      <c r="CC158" s="247">
        <v>1</v>
      </c>
      <c r="CD158" s="247">
        <v>0</v>
      </c>
      <c r="CE158" s="247">
        <v>0</v>
      </c>
      <c r="CF158" s="247">
        <v>1</v>
      </c>
      <c r="CG158" s="247">
        <v>1</v>
      </c>
      <c r="CH158" s="247">
        <v>1</v>
      </c>
      <c r="CI158" s="247">
        <v>1</v>
      </c>
      <c r="CJ158" s="247">
        <v>1</v>
      </c>
      <c r="CK158" s="247">
        <v>0</v>
      </c>
      <c r="CL158" s="247">
        <v>0</v>
      </c>
      <c r="CM158" s="247">
        <v>0</v>
      </c>
      <c r="CN158" s="247">
        <v>1</v>
      </c>
      <c r="CO158" s="355"/>
    </row>
    <row r="159" spans="1:93" s="334" customFormat="1">
      <c r="A159" s="19"/>
      <c r="B159" s="336" t="s">
        <v>206</v>
      </c>
      <c r="C159" s="90" t="s">
        <v>310</v>
      </c>
      <c r="D159" s="90"/>
      <c r="E159" s="90" t="s">
        <v>311</v>
      </c>
      <c r="F159" s="352"/>
      <c r="G159" s="245">
        <v>180.72</v>
      </c>
      <c r="H159" s="245">
        <v>133.32</v>
      </c>
      <c r="I159" s="245">
        <v>94.44</v>
      </c>
      <c r="J159" s="245">
        <v>110.07</v>
      </c>
      <c r="K159" s="245">
        <v>87.1</v>
      </c>
      <c r="L159" s="245">
        <v>36.709850993377479</v>
      </c>
      <c r="M159" s="245">
        <v>97.875757575757589</v>
      </c>
      <c r="N159" s="245">
        <v>153.28</v>
      </c>
      <c r="O159" s="245">
        <v>174.92</v>
      </c>
      <c r="P159" s="245">
        <v>161</v>
      </c>
      <c r="Q159" s="245">
        <v>178.6</v>
      </c>
      <c r="R159" s="245">
        <v>198.48</v>
      </c>
      <c r="S159" s="245">
        <v>202.45</v>
      </c>
      <c r="T159" s="245">
        <v>122.89</v>
      </c>
      <c r="U159" s="245">
        <v>133.99</v>
      </c>
      <c r="V159" s="245">
        <v>129.80000000000001</v>
      </c>
      <c r="W159" s="245">
        <v>143.9</v>
      </c>
      <c r="X159" s="245">
        <v>153.06</v>
      </c>
      <c r="Y159" s="245">
        <v>145.79</v>
      </c>
      <c r="Z159" s="245">
        <v>110.75</v>
      </c>
      <c r="AA159" s="245">
        <v>100.9</v>
      </c>
      <c r="AB159" s="245">
        <v>115.96</v>
      </c>
      <c r="AC159" s="245">
        <v>112.97</v>
      </c>
      <c r="AD159" s="245">
        <v>128.79</v>
      </c>
      <c r="AE159" s="245">
        <v>136.66999999999999</v>
      </c>
      <c r="AF159" s="245">
        <v>120.15</v>
      </c>
      <c r="AG159" s="245">
        <v>108.96</v>
      </c>
      <c r="AH159" s="245">
        <v>97.87</v>
      </c>
      <c r="AI159" s="245">
        <v>114.9</v>
      </c>
      <c r="AJ159" s="245">
        <v>113.6</v>
      </c>
      <c r="AK159" s="245">
        <v>124.45</v>
      </c>
      <c r="AL159" s="245">
        <v>119.13</v>
      </c>
      <c r="AM159" s="245">
        <v>118.1</v>
      </c>
      <c r="AN159" s="245">
        <v>99.347806241121447</v>
      </c>
      <c r="AO159" s="245">
        <v>89.195558781748076</v>
      </c>
      <c r="AP159" s="245">
        <v>88.490678593171893</v>
      </c>
      <c r="AQ159" s="245">
        <v>96.737127647949549</v>
      </c>
      <c r="AR159" s="245">
        <v>114.29785416569099</v>
      </c>
      <c r="AS159" s="245">
        <v>118.72835495402673</v>
      </c>
      <c r="AT159" s="245">
        <v>72.271101438698921</v>
      </c>
      <c r="AU159" s="245">
        <v>82.414332386363654</v>
      </c>
      <c r="AV159" s="245">
        <v>66.838623983527938</v>
      </c>
      <c r="AW159" s="245">
        <v>80.415058903252728</v>
      </c>
      <c r="AX159" s="245">
        <v>87.140029712260201</v>
      </c>
      <c r="AY159" s="245">
        <v>84.461722529190979</v>
      </c>
      <c r="AZ159" s="245">
        <v>63.339193957601296</v>
      </c>
      <c r="BA159" s="245">
        <v>68.072677572424936</v>
      </c>
      <c r="BB159" s="245">
        <v>79.420032271419615</v>
      </c>
      <c r="BC159" s="245">
        <v>68.903496353541883</v>
      </c>
      <c r="BD159" s="245">
        <v>85.439040137578161</v>
      </c>
      <c r="BE159" s="245">
        <v>76.420431205613525</v>
      </c>
      <c r="BF159" s="245">
        <v>80.07365951529178</v>
      </c>
      <c r="BG159" s="245">
        <v>68.336751645425153</v>
      </c>
      <c r="BH159" s="245">
        <v>76.744411907932275</v>
      </c>
      <c r="BI159" s="245">
        <v>68.616550706993849</v>
      </c>
      <c r="BJ159" s="245">
        <v>92.573181535730143</v>
      </c>
      <c r="BK159" s="245">
        <v>91.269219212478603</v>
      </c>
      <c r="BL159" s="245">
        <v>85.914058296874018</v>
      </c>
      <c r="BM159" s="245">
        <v>1814.9799999999998</v>
      </c>
      <c r="BN159" s="245">
        <v>2392.92</v>
      </c>
      <c r="BO159" s="245">
        <v>5036</v>
      </c>
      <c r="BP159" s="245">
        <v>10811.93</v>
      </c>
      <c r="BQ159" s="245">
        <v>82.7</v>
      </c>
      <c r="BR159" s="245">
        <v>158.08999999999997</v>
      </c>
      <c r="BS159" s="245">
        <v>1814.9799999999998</v>
      </c>
      <c r="BT159" s="245">
        <v>5704.88</v>
      </c>
      <c r="BU159" s="245">
        <v>35207.519999999997</v>
      </c>
      <c r="BV159" s="245">
        <v>877.48</v>
      </c>
      <c r="BW159" s="245">
        <v>82.7</v>
      </c>
      <c r="BX159" s="245">
        <v>158.08999999999997</v>
      </c>
      <c r="BY159" s="245">
        <v>1680.46</v>
      </c>
      <c r="BZ159" s="245">
        <v>4383</v>
      </c>
      <c r="CA159" s="245">
        <v>24631.52</v>
      </c>
      <c r="CB159" s="245">
        <v>24436.33</v>
      </c>
      <c r="CC159" s="245">
        <v>3792.4500000000003</v>
      </c>
      <c r="CD159" s="245">
        <v>158.08999999999997</v>
      </c>
      <c r="CE159" s="245">
        <v>2360</v>
      </c>
      <c r="CF159" s="245">
        <v>3833</v>
      </c>
      <c r="CG159" s="245">
        <v>8511.6</v>
      </c>
      <c r="CH159" s="245">
        <v>15729</v>
      </c>
      <c r="CI159" s="245">
        <v>3154.25</v>
      </c>
      <c r="CJ159" s="245">
        <v>8714.7799999999988</v>
      </c>
      <c r="CK159" s="245">
        <v>82.7</v>
      </c>
      <c r="CL159" s="245">
        <v>158.08999999999997</v>
      </c>
      <c r="CM159" s="245">
        <v>1553.2399999999998</v>
      </c>
      <c r="CN159" s="245">
        <v>23023.339999999997</v>
      </c>
      <c r="CO159" s="356"/>
    </row>
    <row r="160" spans="1:93" s="334" customFormat="1">
      <c r="A160" s="19"/>
      <c r="B160" s="338"/>
      <c r="C160" s="330" t="s">
        <v>312</v>
      </c>
      <c r="D160" s="23"/>
      <c r="E160" s="23"/>
      <c r="F160" s="351"/>
      <c r="G160" s="351"/>
      <c r="H160" s="351"/>
      <c r="I160" s="351"/>
      <c r="J160" s="351"/>
      <c r="K160" s="351"/>
      <c r="L160" s="351"/>
      <c r="M160" s="351"/>
      <c r="N160" s="351"/>
      <c r="O160" s="351"/>
      <c r="P160" s="351"/>
      <c r="Q160" s="351"/>
      <c r="R160" s="351"/>
      <c r="S160" s="351"/>
      <c r="T160" s="351"/>
      <c r="U160" s="351"/>
      <c r="V160" s="351"/>
      <c r="W160" s="351"/>
      <c r="X160" s="351"/>
      <c r="Y160" s="351"/>
      <c r="Z160" s="351"/>
      <c r="AA160" s="351"/>
      <c r="AB160" s="351"/>
      <c r="AC160" s="351"/>
      <c r="AD160" s="351"/>
      <c r="AE160" s="351"/>
      <c r="AF160" s="351"/>
      <c r="AG160" s="351"/>
      <c r="AH160" s="351"/>
      <c r="AI160" s="351"/>
      <c r="AJ160" s="351"/>
      <c r="AK160" s="351"/>
      <c r="AL160" s="351"/>
      <c r="AM160" s="351"/>
      <c r="AN160" s="351"/>
      <c r="AO160" s="351"/>
      <c r="AP160" s="351"/>
      <c r="AQ160" s="351"/>
      <c r="AR160" s="351"/>
      <c r="AS160" s="351"/>
      <c r="AT160" s="351"/>
      <c r="AU160" s="351"/>
      <c r="AV160" s="351"/>
      <c r="AW160" s="351"/>
      <c r="AX160" s="351"/>
      <c r="AY160" s="351"/>
      <c r="AZ160" s="351"/>
      <c r="BA160" s="351"/>
      <c r="BB160" s="351"/>
      <c r="BC160" s="351"/>
      <c r="BD160" s="351"/>
      <c r="BE160" s="351"/>
      <c r="BF160" s="351"/>
      <c r="BG160" s="351"/>
      <c r="BH160" s="351"/>
      <c r="BI160" s="351"/>
      <c r="BJ160" s="351"/>
      <c r="BK160" s="351"/>
      <c r="BL160" s="351"/>
      <c r="BM160" s="351"/>
      <c r="BN160" s="351"/>
      <c r="BO160" s="351"/>
      <c r="BP160" s="351"/>
      <c r="BQ160" s="351"/>
      <c r="BR160" s="351"/>
      <c r="BS160" s="351"/>
      <c r="BT160" s="351"/>
      <c r="BU160" s="351"/>
      <c r="BV160" s="351"/>
      <c r="BW160" s="351"/>
      <c r="BX160" s="351"/>
      <c r="BY160" s="351"/>
      <c r="BZ160" s="351"/>
      <c r="CA160" s="351"/>
      <c r="CB160" s="351"/>
      <c r="CC160" s="351"/>
      <c r="CD160" s="351"/>
      <c r="CE160" s="351"/>
      <c r="CF160" s="351"/>
      <c r="CG160" s="351"/>
      <c r="CH160" s="351"/>
      <c r="CI160" s="351"/>
      <c r="CJ160" s="351"/>
      <c r="CK160" s="351"/>
      <c r="CL160" s="351"/>
      <c r="CM160" s="351"/>
      <c r="CN160" s="351"/>
      <c r="CO160" s="351"/>
    </row>
    <row r="161" spans="1:93" s="334" customFormat="1">
      <c r="A161" s="19"/>
      <c r="B161" s="338"/>
      <c r="C161" s="90" t="s">
        <v>313</v>
      </c>
      <c r="D161" s="90"/>
      <c r="E161" s="90" t="s">
        <v>311</v>
      </c>
      <c r="F161" s="353"/>
      <c r="G161" s="358">
        <v>71.3</v>
      </c>
      <c r="H161" s="358">
        <v>48.7</v>
      </c>
      <c r="I161" s="358">
        <v>60.96</v>
      </c>
      <c r="J161" s="358">
        <v>41.42</v>
      </c>
      <c r="K161" s="358">
        <v>60.3</v>
      </c>
      <c r="L161" s="358">
        <v>4.4385761589403971</v>
      </c>
      <c r="M161" s="358">
        <v>17.031515151515151</v>
      </c>
      <c r="N161" s="358">
        <v>80.16</v>
      </c>
      <c r="O161" s="358">
        <v>95.9</v>
      </c>
      <c r="P161" s="358">
        <v>82.39</v>
      </c>
      <c r="Q161" s="358">
        <v>98.4</v>
      </c>
      <c r="R161" s="358">
        <v>91.91</v>
      </c>
      <c r="S161" s="358">
        <v>95.4</v>
      </c>
      <c r="T161" s="358">
        <v>53.834999999999994</v>
      </c>
      <c r="U161" s="358">
        <v>56.25</v>
      </c>
      <c r="V161" s="358">
        <v>56.38</v>
      </c>
      <c r="W161" s="358">
        <v>63.94</v>
      </c>
      <c r="X161" s="358">
        <v>67.28</v>
      </c>
      <c r="Y161" s="358">
        <v>61.51</v>
      </c>
      <c r="Z161" s="358">
        <v>50.25</v>
      </c>
      <c r="AA161" s="358">
        <v>42</v>
      </c>
      <c r="AB161" s="358">
        <v>49.17</v>
      </c>
      <c r="AC161" s="358">
        <v>48.8</v>
      </c>
      <c r="AD161" s="358">
        <v>57.21</v>
      </c>
      <c r="AE161" s="358">
        <v>56</v>
      </c>
      <c r="AF161" s="358">
        <v>57.2</v>
      </c>
      <c r="AG161" s="358">
        <v>44.09</v>
      </c>
      <c r="AH161" s="358">
        <v>42.269999999999996</v>
      </c>
      <c r="AI161" s="358">
        <v>47.18</v>
      </c>
      <c r="AJ161" s="358">
        <v>47.82</v>
      </c>
      <c r="AK161" s="358">
        <v>49.989999999999995</v>
      </c>
      <c r="AL161" s="358">
        <v>50.2</v>
      </c>
      <c r="AM161" s="358">
        <v>52.3</v>
      </c>
      <c r="AN161" s="358">
        <v>14.637012519708392</v>
      </c>
      <c r="AO161" s="358">
        <v>14.637012519708392</v>
      </c>
      <c r="AP161" s="358">
        <v>13.478264178335596</v>
      </c>
      <c r="AQ161" s="358">
        <v>13.159475717697743</v>
      </c>
      <c r="AR161" s="358">
        <v>13.411533508172154</v>
      </c>
      <c r="AS161" s="358">
        <v>16.60268541500804</v>
      </c>
      <c r="AT161" s="358">
        <v>11.444071035758968</v>
      </c>
      <c r="AU161" s="358">
        <v>12.614660785029191</v>
      </c>
      <c r="AV161" s="358">
        <v>10.672992597998332</v>
      </c>
      <c r="AW161" s="358">
        <v>10.42663495621351</v>
      </c>
      <c r="AX161" s="358">
        <v>12.037569198290244</v>
      </c>
      <c r="AY161" s="358">
        <v>15.042908282944122</v>
      </c>
      <c r="AZ161" s="358">
        <v>14.106124988057452</v>
      </c>
      <c r="BA161" s="358">
        <v>14.557225931784163</v>
      </c>
      <c r="BB161" s="358">
        <v>14.756064266833684</v>
      </c>
      <c r="BC161" s="358">
        <v>14.539646288255963</v>
      </c>
      <c r="BD161" s="358">
        <v>16.51201616755661</v>
      </c>
      <c r="BE161" s="358">
        <v>16.445112313032773</v>
      </c>
      <c r="BF161" s="358">
        <v>18.533105593358879</v>
      </c>
      <c r="BG161" s="358">
        <v>10.526952000507261</v>
      </c>
      <c r="BH161" s="358">
        <v>5.837040136960244</v>
      </c>
      <c r="BI161" s="358">
        <v>10.242089911863546</v>
      </c>
      <c r="BJ161" s="358">
        <v>16.150030181979581</v>
      </c>
      <c r="BK161" s="358">
        <v>14.86104835457485</v>
      </c>
      <c r="BL161" s="358">
        <v>20.539753573013755</v>
      </c>
      <c r="BM161" s="358">
        <v>1121</v>
      </c>
      <c r="BN161" s="358">
        <v>1572</v>
      </c>
      <c r="BO161" s="358">
        <v>2828.2</v>
      </c>
      <c r="BP161" s="358">
        <v>3461.79</v>
      </c>
      <c r="BQ161" s="358">
        <v>80.5</v>
      </c>
      <c r="BR161" s="358">
        <v>80.5</v>
      </c>
      <c r="BS161" s="358">
        <v>1121</v>
      </c>
      <c r="BT161" s="358">
        <v>1462.2800000000002</v>
      </c>
      <c r="BU161" s="358">
        <v>7237.57</v>
      </c>
      <c r="BV161" s="358">
        <v>589.19000000000005</v>
      </c>
      <c r="BW161" s="358">
        <v>80.5</v>
      </c>
      <c r="BX161" s="358">
        <v>80.5</v>
      </c>
      <c r="BY161" s="358">
        <v>568.4</v>
      </c>
      <c r="BZ161" s="358">
        <v>934.8</v>
      </c>
      <c r="CA161" s="358">
        <v>1975.8</v>
      </c>
      <c r="CB161" s="358">
        <v>4322</v>
      </c>
      <c r="CC161" s="358">
        <v>636.4</v>
      </c>
      <c r="CD161" s="358">
        <v>80.5</v>
      </c>
      <c r="CE161" s="358">
        <v>1396</v>
      </c>
      <c r="CF161" s="358">
        <v>2019</v>
      </c>
      <c r="CG161" s="358">
        <v>3596.4</v>
      </c>
      <c r="CH161" s="358">
        <v>2427.84</v>
      </c>
      <c r="CI161" s="358">
        <v>2224</v>
      </c>
      <c r="CJ161" s="358">
        <v>6897.64</v>
      </c>
      <c r="CK161" s="358">
        <v>80.5</v>
      </c>
      <c r="CL161" s="358">
        <v>80.5</v>
      </c>
      <c r="CM161" s="358">
        <v>1459.89</v>
      </c>
      <c r="CN161" s="358">
        <v>18590.400000000001</v>
      </c>
      <c r="CO161" s="359"/>
    </row>
    <row r="162" spans="1:93" s="334" customFormat="1">
      <c r="A162" s="19"/>
      <c r="B162" s="338"/>
      <c r="C162" s="90" t="s">
        <v>314</v>
      </c>
      <c r="D162" s="90"/>
      <c r="E162" s="90" t="s">
        <v>311</v>
      </c>
      <c r="F162" s="353"/>
      <c r="G162" s="358">
        <v>178.16000000000003</v>
      </c>
      <c r="H162" s="358">
        <v>113.25999999999999</v>
      </c>
      <c r="I162" s="358">
        <v>90.039999999999978</v>
      </c>
      <c r="J162" s="358">
        <v>41.56</v>
      </c>
      <c r="K162" s="358">
        <v>54.47</v>
      </c>
      <c r="L162" s="358">
        <v>7.112450331125828</v>
      </c>
      <c r="M162" s="358">
        <v>39.976212121212122</v>
      </c>
      <c r="N162" s="358">
        <v>123.96</v>
      </c>
      <c r="O162" s="358">
        <v>124.03</v>
      </c>
      <c r="P162" s="358">
        <v>121.45</v>
      </c>
      <c r="Q162" s="358">
        <v>128.49</v>
      </c>
      <c r="R162" s="358">
        <v>152.69999999999999</v>
      </c>
      <c r="S162" s="358">
        <v>155.68</v>
      </c>
      <c r="T162" s="358">
        <v>85.28</v>
      </c>
      <c r="U162" s="358">
        <v>89.910000000000011</v>
      </c>
      <c r="V162" s="358">
        <v>89.22</v>
      </c>
      <c r="W162" s="358">
        <v>93.56</v>
      </c>
      <c r="X162" s="358">
        <v>103.7</v>
      </c>
      <c r="Y162" s="358">
        <v>95</v>
      </c>
      <c r="Z162" s="358">
        <v>84.81</v>
      </c>
      <c r="AA162" s="358">
        <v>82.02</v>
      </c>
      <c r="AB162" s="358">
        <v>85.6</v>
      </c>
      <c r="AC162" s="358">
        <v>84.95</v>
      </c>
      <c r="AD162" s="358">
        <v>98.68</v>
      </c>
      <c r="AE162" s="358">
        <v>110.98</v>
      </c>
      <c r="AF162" s="358">
        <v>97.72</v>
      </c>
      <c r="AG162" s="358">
        <v>40.54</v>
      </c>
      <c r="AH162" s="358">
        <v>38.21</v>
      </c>
      <c r="AI162" s="358">
        <v>36.86</v>
      </c>
      <c r="AJ162" s="358">
        <v>35.880000000000003</v>
      </c>
      <c r="AK162" s="358">
        <v>44.07</v>
      </c>
      <c r="AL162" s="358">
        <v>41.42</v>
      </c>
      <c r="AM162" s="358">
        <v>41.3</v>
      </c>
      <c r="AN162" s="410">
        <v>38.471078068655459</v>
      </c>
      <c r="AO162" s="410">
        <v>33.579619725565493</v>
      </c>
      <c r="AP162" s="410">
        <v>38.750207933311479</v>
      </c>
      <c r="AQ162" s="410">
        <v>33.233330679529807</v>
      </c>
      <c r="AR162" s="410">
        <v>60.533567336361784</v>
      </c>
      <c r="AS162" s="410">
        <v>55.274498977505104</v>
      </c>
      <c r="AT162" s="410">
        <v>21.589018873226244</v>
      </c>
      <c r="AU162" s="410">
        <v>23.997346977005574</v>
      </c>
      <c r="AV162" s="410">
        <v>21.951596887244573</v>
      </c>
      <c r="AW162" s="410">
        <v>26.056577686195538</v>
      </c>
      <c r="AX162" s="410">
        <v>27.164771694843818</v>
      </c>
      <c r="AY162" s="410">
        <v>28.027126008835605</v>
      </c>
      <c r="AZ162" s="410">
        <v>33.643658190105995</v>
      </c>
      <c r="BA162" s="410">
        <v>38.292935418910687</v>
      </c>
      <c r="BB162" s="410">
        <v>28.620896048954872</v>
      </c>
      <c r="BC162" s="410">
        <v>29.182389984233282</v>
      </c>
      <c r="BD162" s="410">
        <v>32.491598370252419</v>
      </c>
      <c r="BE162" s="410">
        <v>27.233096052076988</v>
      </c>
      <c r="BF162" s="410">
        <v>34.468081924475861</v>
      </c>
      <c r="BG162" s="410">
        <v>24.442895221592593</v>
      </c>
      <c r="BH162" s="410">
        <v>19.398945971682352</v>
      </c>
      <c r="BI162" s="410">
        <v>20.317239185750633</v>
      </c>
      <c r="BJ162" s="410">
        <v>29.23394105434053</v>
      </c>
      <c r="BK162" s="410">
        <v>31.620191854384238</v>
      </c>
      <c r="BL162" s="410">
        <v>26.053345197396148</v>
      </c>
      <c r="BM162" s="358">
        <v>447.8</v>
      </c>
      <c r="BN162" s="358">
        <v>950</v>
      </c>
      <c r="BO162" s="358">
        <v>1348.08</v>
      </c>
      <c r="BP162" s="358">
        <v>4427.46</v>
      </c>
      <c r="BQ162" s="358">
        <v>66.25</v>
      </c>
      <c r="BR162" s="358">
        <v>154.85</v>
      </c>
      <c r="BS162" s="358">
        <v>447.8</v>
      </c>
      <c r="BT162" s="358">
        <v>1370.91</v>
      </c>
      <c r="BU162" s="358">
        <v>7353.4800000000005</v>
      </c>
      <c r="BV162" s="358">
        <v>448.95000000000005</v>
      </c>
      <c r="BW162" s="358">
        <v>66.25</v>
      </c>
      <c r="BX162" s="358">
        <v>154.85</v>
      </c>
      <c r="BY162" s="358">
        <v>509.2</v>
      </c>
      <c r="BZ162" s="358">
        <v>1495.6</v>
      </c>
      <c r="CA162" s="358">
        <v>2342.2999999999997</v>
      </c>
      <c r="CB162" s="358">
        <v>2291.8000000000002</v>
      </c>
      <c r="CC162" s="358">
        <v>1851.1899999999998</v>
      </c>
      <c r="CD162" s="358">
        <v>154.85</v>
      </c>
      <c r="CE162" s="358">
        <v>1174.6000000000001</v>
      </c>
      <c r="CF162" s="358">
        <v>1438.8500000000001</v>
      </c>
      <c r="CG162" s="358">
        <v>2212.4</v>
      </c>
      <c r="CH162" s="358">
        <v>2185.1</v>
      </c>
      <c r="CI162" s="358">
        <v>403.4</v>
      </c>
      <c r="CJ162" s="358">
        <v>3101.7400000000002</v>
      </c>
      <c r="CK162" s="358">
        <v>66.25</v>
      </c>
      <c r="CL162" s="358">
        <v>154.85</v>
      </c>
      <c r="CM162" s="358">
        <v>702.63</v>
      </c>
      <c r="CN162" s="358">
        <v>2588.0199999999995</v>
      </c>
      <c r="CO162" s="359"/>
    </row>
    <row r="163" spans="1:93" s="334" customFormat="1">
      <c r="A163" s="19"/>
      <c r="B163" s="338"/>
      <c r="C163" s="90" t="s">
        <v>315</v>
      </c>
      <c r="D163" s="90"/>
      <c r="E163" s="90" t="s">
        <v>311</v>
      </c>
      <c r="F163" s="353"/>
      <c r="G163" s="358">
        <v>93.68</v>
      </c>
      <c r="H163" s="358">
        <v>70.739999999999995</v>
      </c>
      <c r="I163" s="358">
        <v>88.72</v>
      </c>
      <c r="J163" s="358">
        <v>62.38</v>
      </c>
      <c r="K163" s="358">
        <v>60.3</v>
      </c>
      <c r="L163" s="358">
        <v>4.3449337748344368</v>
      </c>
      <c r="M163" s="358">
        <v>17.815454545454543</v>
      </c>
      <c r="N163" s="358">
        <v>98.070000000000007</v>
      </c>
      <c r="O163" s="358">
        <v>110.5</v>
      </c>
      <c r="P163" s="358">
        <v>111.52</v>
      </c>
      <c r="Q163" s="358">
        <v>127.67</v>
      </c>
      <c r="R163" s="358">
        <v>121.39999999999999</v>
      </c>
      <c r="S163" s="358">
        <v>147</v>
      </c>
      <c r="T163" s="358">
        <v>65.67</v>
      </c>
      <c r="U163" s="358">
        <v>68.27</v>
      </c>
      <c r="V163" s="358">
        <v>74.039999999999992</v>
      </c>
      <c r="W163" s="358">
        <v>81.8</v>
      </c>
      <c r="X163" s="358">
        <v>82.6</v>
      </c>
      <c r="Y163" s="358">
        <v>88.2</v>
      </c>
      <c r="Z163" s="358">
        <v>63.67</v>
      </c>
      <c r="AA163" s="358">
        <v>47.76</v>
      </c>
      <c r="AB163" s="358">
        <v>55</v>
      </c>
      <c r="AC163" s="358">
        <v>57</v>
      </c>
      <c r="AD163" s="358">
        <v>82.1</v>
      </c>
      <c r="AE163" s="358">
        <v>61.239999999999995</v>
      </c>
      <c r="AF163" s="358">
        <v>64.849999999999994</v>
      </c>
      <c r="AG163" s="358">
        <v>50.97</v>
      </c>
      <c r="AH163" s="358">
        <v>43.26</v>
      </c>
      <c r="AI163" s="358">
        <v>52.23</v>
      </c>
      <c r="AJ163" s="358">
        <v>55.7</v>
      </c>
      <c r="AK163" s="358">
        <v>64.97</v>
      </c>
      <c r="AL163" s="358">
        <v>57.62</v>
      </c>
      <c r="AM163" s="358">
        <v>64.3</v>
      </c>
      <c r="AN163" s="358">
        <v>21.432344869573367</v>
      </c>
      <c r="AO163" s="358">
        <v>26.907375076101715</v>
      </c>
      <c r="AP163" s="358">
        <v>29.242548900232595</v>
      </c>
      <c r="AQ163" s="358">
        <v>37.342288827487167</v>
      </c>
      <c r="AR163" s="358">
        <v>23.486626391295523</v>
      </c>
      <c r="AS163" s="358">
        <v>26.413496151984887</v>
      </c>
      <c r="AT163" s="358">
        <v>15.599946309424521</v>
      </c>
      <c r="AU163" s="358">
        <v>18.449116451209338</v>
      </c>
      <c r="AV163" s="358">
        <v>14.051138709341112</v>
      </c>
      <c r="AW163" s="358">
        <v>17.168362176814011</v>
      </c>
      <c r="AX163" s="358">
        <v>17.305516836947458</v>
      </c>
      <c r="AY163" s="358">
        <v>20.146454018107274</v>
      </c>
      <c r="AZ163" s="358">
        <v>15.784172673326186</v>
      </c>
      <c r="BA163" s="358">
        <v>15.535335824460462</v>
      </c>
      <c r="BB163" s="358">
        <v>17.838711160178768</v>
      </c>
      <c r="BC163" s="358">
        <v>12.417593231494356</v>
      </c>
      <c r="BD163" s="358">
        <v>18.41818165412257</v>
      </c>
      <c r="BE163" s="358">
        <v>18.250699037165212</v>
      </c>
      <c r="BF163" s="358">
        <v>23.732189008557256</v>
      </c>
      <c r="BG163" s="358">
        <v>12.004877993701728</v>
      </c>
      <c r="BH163" s="358">
        <v>15.774433720119207</v>
      </c>
      <c r="BI163" s="358">
        <v>14.103332520229793</v>
      </c>
      <c r="BJ163" s="358">
        <v>18.40974384630017</v>
      </c>
      <c r="BK163" s="358">
        <v>19.677164884915356</v>
      </c>
      <c r="BL163" s="358">
        <v>12.712899363795811</v>
      </c>
      <c r="BM163" s="358">
        <v>1052</v>
      </c>
      <c r="BN163" s="358">
        <v>1608</v>
      </c>
      <c r="BO163" s="358">
        <v>2866</v>
      </c>
      <c r="BP163" s="358">
        <v>4266.08</v>
      </c>
      <c r="BQ163" s="358">
        <v>80.5</v>
      </c>
      <c r="BR163" s="358">
        <v>80.5</v>
      </c>
      <c r="BS163" s="358">
        <v>1052</v>
      </c>
      <c r="BT163" s="358">
        <v>1462</v>
      </c>
      <c r="BU163" s="358">
        <v>0</v>
      </c>
      <c r="BV163" s="358">
        <v>579.5</v>
      </c>
      <c r="BW163" s="358">
        <v>80.5</v>
      </c>
      <c r="BX163" s="358">
        <v>80.5</v>
      </c>
      <c r="BY163" s="358">
        <v>565.5</v>
      </c>
      <c r="BZ163" s="358">
        <v>934.8</v>
      </c>
      <c r="CA163" s="358">
        <v>1871</v>
      </c>
      <c r="CB163" s="358">
        <v>2851.6</v>
      </c>
      <c r="CC163" s="358">
        <v>749.33999999999992</v>
      </c>
      <c r="CD163" s="358">
        <v>80.5</v>
      </c>
      <c r="CE163" s="358">
        <v>1384</v>
      </c>
      <c r="CF163" s="358">
        <v>1987</v>
      </c>
      <c r="CG163" s="358">
        <v>3492</v>
      </c>
      <c r="CH163" s="358">
        <v>2404</v>
      </c>
      <c r="CI163" s="358">
        <v>2224</v>
      </c>
      <c r="CJ163" s="358">
        <v>7230</v>
      </c>
      <c r="CK163" s="358">
        <v>80.5</v>
      </c>
      <c r="CL163" s="358">
        <v>80.5</v>
      </c>
      <c r="CM163" s="358">
        <v>1551.99</v>
      </c>
      <c r="CN163" s="358">
        <v>18719.400000000001</v>
      </c>
      <c r="CO163" s="359"/>
    </row>
    <row r="164" spans="1:93" s="334" customFormat="1">
      <c r="A164" s="19"/>
      <c r="B164" s="338"/>
      <c r="C164" s="90" t="s">
        <v>316</v>
      </c>
      <c r="D164" s="90"/>
      <c r="E164" s="90" t="s">
        <v>311</v>
      </c>
      <c r="F164" s="353"/>
      <c r="G164" s="358">
        <v>55.990000000000009</v>
      </c>
      <c r="H164" s="358">
        <v>28.45</v>
      </c>
      <c r="I164" s="358">
        <v>22.89</v>
      </c>
      <c r="J164" s="358">
        <v>16.36</v>
      </c>
      <c r="K164" s="358">
        <v>17.420000000000002</v>
      </c>
      <c r="L164" s="358">
        <v>4.3329635761589396</v>
      </c>
      <c r="M164" s="358">
        <v>23.74606060606061</v>
      </c>
      <c r="N164" s="358">
        <v>28.360000000000007</v>
      </c>
      <c r="O164" s="358">
        <v>38.079999999999991</v>
      </c>
      <c r="P164" s="358">
        <v>31.400000000000002</v>
      </c>
      <c r="Q164" s="358">
        <v>39.079999999999991</v>
      </c>
      <c r="R164" s="358">
        <v>36.31</v>
      </c>
      <c r="S164" s="358">
        <v>44.779999999999994</v>
      </c>
      <c r="T164" s="358">
        <v>22.92</v>
      </c>
      <c r="U164" s="358">
        <v>30.180000000000003</v>
      </c>
      <c r="V164" s="358">
        <v>24.24</v>
      </c>
      <c r="W164" s="358">
        <v>27.220000000000002</v>
      </c>
      <c r="X164" s="358">
        <v>28.009999999999998</v>
      </c>
      <c r="Y164" s="358">
        <v>28.089999999999996</v>
      </c>
      <c r="Z164" s="358">
        <v>21.320000000000007</v>
      </c>
      <c r="AA164" s="358">
        <v>20.100000000000001</v>
      </c>
      <c r="AB164" s="358">
        <v>26.599999999999994</v>
      </c>
      <c r="AC164" s="358">
        <v>18.840000000000003</v>
      </c>
      <c r="AD164" s="358">
        <v>23.380000000000003</v>
      </c>
      <c r="AE164" s="358">
        <v>27.05</v>
      </c>
      <c r="AF164" s="358">
        <v>19.330000000000002</v>
      </c>
      <c r="AG164" s="358">
        <v>19.3</v>
      </c>
      <c r="AH164" s="358">
        <v>19.86</v>
      </c>
      <c r="AI164" s="358">
        <v>24.98</v>
      </c>
      <c r="AJ164" s="358">
        <v>18.18</v>
      </c>
      <c r="AK164" s="358">
        <v>22.36</v>
      </c>
      <c r="AL164" s="358">
        <v>19.88</v>
      </c>
      <c r="AM164" s="358">
        <v>18.04</v>
      </c>
      <c r="AN164" s="358">
        <v>16.878712749184345</v>
      </c>
      <c r="AO164" s="358">
        <v>17.572547807489968</v>
      </c>
      <c r="AP164" s="358">
        <v>12.967492780093352</v>
      </c>
      <c r="AQ164" s="358">
        <v>16.955916576905658</v>
      </c>
      <c r="AR164" s="358">
        <v>17.528200877316223</v>
      </c>
      <c r="AS164" s="358">
        <v>19.372356109211818</v>
      </c>
      <c r="AT164" s="358">
        <v>17.056289095079244</v>
      </c>
      <c r="AU164" s="358">
        <v>19.487014439115928</v>
      </c>
      <c r="AV164" s="358">
        <v>11.065610665137612</v>
      </c>
      <c r="AW164" s="358">
        <v>14.343635581734778</v>
      </c>
      <c r="AX164" s="358">
        <v>18.786086582568803</v>
      </c>
      <c r="AY164" s="358">
        <v>18.421796027939948</v>
      </c>
      <c r="AZ164" s="358">
        <v>12.289253829577181</v>
      </c>
      <c r="BA164" s="358">
        <v>15.323843695926799</v>
      </c>
      <c r="BB164" s="358">
        <v>18.597685799513801</v>
      </c>
      <c r="BC164" s="358">
        <v>11.587737922102738</v>
      </c>
      <c r="BD164" s="358">
        <v>15.35176866487617</v>
      </c>
      <c r="BE164" s="358">
        <v>12.686795044638593</v>
      </c>
      <c r="BF164" s="358">
        <v>19.882548805214384</v>
      </c>
      <c r="BG164" s="358">
        <v>11.740173761968174</v>
      </c>
      <c r="BH164" s="358">
        <v>15.117722351150849</v>
      </c>
      <c r="BI164" s="358">
        <v>10.288248760382981</v>
      </c>
      <c r="BJ164" s="358">
        <v>16.257703683976924</v>
      </c>
      <c r="BK164" s="358">
        <v>19.669652399974638</v>
      </c>
      <c r="BL164" s="358">
        <v>14.914127905649611</v>
      </c>
      <c r="BM164" s="358">
        <v>400.79999999999995</v>
      </c>
      <c r="BN164" s="358">
        <v>175.92</v>
      </c>
      <c r="BO164" s="358">
        <v>421.1</v>
      </c>
      <c r="BP164" s="358">
        <v>788.18000000000006</v>
      </c>
      <c r="BQ164" s="358">
        <v>29.9</v>
      </c>
      <c r="BR164" s="358">
        <v>52.3</v>
      </c>
      <c r="BS164" s="358">
        <v>400.79999999999995</v>
      </c>
      <c r="BT164" s="358">
        <v>529.32000000000005</v>
      </c>
      <c r="BU164" s="358">
        <v>15081.93</v>
      </c>
      <c r="BV164" s="358">
        <v>90.79</v>
      </c>
      <c r="BW164" s="358">
        <v>29.9</v>
      </c>
      <c r="BX164" s="358">
        <v>52.3</v>
      </c>
      <c r="BY164" s="358">
        <v>140.5</v>
      </c>
      <c r="BZ164" s="358">
        <v>993.8</v>
      </c>
      <c r="CA164" s="358">
        <v>10229.200000000001</v>
      </c>
      <c r="CB164" s="358">
        <v>8977</v>
      </c>
      <c r="CC164" s="358">
        <v>962.82</v>
      </c>
      <c r="CD164" s="358">
        <v>52.3</v>
      </c>
      <c r="CE164" s="358">
        <v>423.05999999999995</v>
      </c>
      <c r="CF164" s="358">
        <v>603.12</v>
      </c>
      <c r="CG164" s="358">
        <v>1198</v>
      </c>
      <c r="CH164" s="358">
        <v>4184</v>
      </c>
      <c r="CI164" s="358">
        <v>177.4</v>
      </c>
      <c r="CJ164" s="358">
        <v>330.6</v>
      </c>
      <c r="CK164" s="358">
        <v>29.9</v>
      </c>
      <c r="CL164" s="358">
        <v>52.3</v>
      </c>
      <c r="CM164" s="358">
        <v>137.89999999999998</v>
      </c>
      <c r="CN164" s="358">
        <v>305.60000000000002</v>
      </c>
      <c r="CO164" s="359"/>
    </row>
    <row r="165" spans="1:93" s="334" customFormat="1">
      <c r="A165" s="19"/>
      <c r="B165" s="338"/>
      <c r="C165" s="90" t="s">
        <v>317</v>
      </c>
      <c r="D165" s="90"/>
      <c r="E165" s="90" t="s">
        <v>311</v>
      </c>
      <c r="F165" s="353"/>
      <c r="G165" s="358">
        <v>2.4700000000000002</v>
      </c>
      <c r="H165" s="358">
        <v>2.4</v>
      </c>
      <c r="I165" s="358">
        <v>4.9400000000000004</v>
      </c>
      <c r="J165" s="358">
        <v>2.4700000000000002</v>
      </c>
      <c r="K165" s="358">
        <v>2.4700000000000002</v>
      </c>
      <c r="L165" s="358">
        <v>0</v>
      </c>
      <c r="M165" s="358">
        <v>0.37454545454545451</v>
      </c>
      <c r="N165" s="358">
        <v>7.82</v>
      </c>
      <c r="O165" s="358">
        <v>7.67</v>
      </c>
      <c r="P165" s="358">
        <v>7.1</v>
      </c>
      <c r="Q165" s="358">
        <v>9.89</v>
      </c>
      <c r="R165" s="358">
        <v>10.199999999999999</v>
      </c>
      <c r="S165" s="358">
        <v>9.65</v>
      </c>
      <c r="T165" s="358">
        <v>6.58</v>
      </c>
      <c r="U165" s="358">
        <v>5.88</v>
      </c>
      <c r="V165" s="358">
        <v>6.05</v>
      </c>
      <c r="W165" s="358">
        <v>6.63</v>
      </c>
      <c r="X165" s="358">
        <v>8.4</v>
      </c>
      <c r="Y165" s="358">
        <v>7.25</v>
      </c>
      <c r="Z165" s="358">
        <v>7.28</v>
      </c>
      <c r="AA165" s="358">
        <v>4.75</v>
      </c>
      <c r="AB165" s="358">
        <v>4.7</v>
      </c>
      <c r="AC165" s="358">
        <v>4.51</v>
      </c>
      <c r="AD165" s="358">
        <v>6.75</v>
      </c>
      <c r="AE165" s="358">
        <v>5.08</v>
      </c>
      <c r="AF165" s="358">
        <v>5.4</v>
      </c>
      <c r="AG165" s="358">
        <v>6.3</v>
      </c>
      <c r="AH165" s="358">
        <v>4.75</v>
      </c>
      <c r="AI165" s="358">
        <v>4.55</v>
      </c>
      <c r="AJ165" s="358">
        <v>4.4400000000000004</v>
      </c>
      <c r="AK165" s="358">
        <v>5.0599999999999996</v>
      </c>
      <c r="AL165" s="358">
        <v>6.38</v>
      </c>
      <c r="AM165" s="358">
        <v>5.0599999999999996</v>
      </c>
      <c r="AN165" s="358">
        <v>5.9458569443794005</v>
      </c>
      <c r="AO165" s="358">
        <v>6.1066137467022577</v>
      </c>
      <c r="AP165" s="358">
        <v>4.57817184158354</v>
      </c>
      <c r="AQ165" s="358">
        <v>4.6784901419004354</v>
      </c>
      <c r="AR165" s="358">
        <v>6.4824922337220379</v>
      </c>
      <c r="AS165" s="358">
        <v>6.4462595419847331</v>
      </c>
      <c r="AT165" s="358">
        <v>4.5725465586412524</v>
      </c>
      <c r="AU165" s="358">
        <v>4.3858268159040881</v>
      </c>
      <c r="AV165" s="358">
        <v>4.0458592079177009</v>
      </c>
      <c r="AW165" s="358">
        <v>3.8118364320392142</v>
      </c>
      <c r="AX165" s="358">
        <v>4.6757583633837561</v>
      </c>
      <c r="AY165" s="358">
        <v>4.7808446119983143</v>
      </c>
      <c r="AZ165" s="358">
        <v>4.4956288733823513</v>
      </c>
      <c r="BA165" s="358">
        <v>5.5915223465867419</v>
      </c>
      <c r="BB165" s="358">
        <v>4.2551638333411379</v>
      </c>
      <c r="BC165" s="358">
        <v>4.2221857974679597</v>
      </c>
      <c r="BD165" s="358">
        <v>3.0675837899436456</v>
      </c>
      <c r="BE165" s="358">
        <v>3.006020231349225</v>
      </c>
      <c r="BF165" s="358">
        <v>3.4326726923617294</v>
      </c>
      <c r="BG165" s="358">
        <v>3.1383583103076855</v>
      </c>
      <c r="BH165" s="358">
        <v>1.9784831951794439</v>
      </c>
      <c r="BI165" s="358">
        <v>2.1140156730514055</v>
      </c>
      <c r="BJ165" s="358">
        <v>3.8150910098502941</v>
      </c>
      <c r="BK165" s="358">
        <v>2.317670428823428</v>
      </c>
      <c r="BL165" s="358">
        <v>3.3272580745874891</v>
      </c>
      <c r="BM165" s="358">
        <v>59.2</v>
      </c>
      <c r="BN165" s="358">
        <v>14.610000000000001</v>
      </c>
      <c r="BO165" s="358">
        <v>24</v>
      </c>
      <c r="BP165" s="358">
        <v>24.29</v>
      </c>
      <c r="BQ165" s="358">
        <v>3.75</v>
      </c>
      <c r="BR165" s="358">
        <v>3.75</v>
      </c>
      <c r="BS165" s="358">
        <v>59.2</v>
      </c>
      <c r="BT165" s="358">
        <v>7.41</v>
      </c>
      <c r="BU165" s="358">
        <v>12.21</v>
      </c>
      <c r="BV165" s="358">
        <v>2.4700000000000002</v>
      </c>
      <c r="BW165" s="358">
        <v>3.75</v>
      </c>
      <c r="BX165" s="358">
        <v>3.75</v>
      </c>
      <c r="BY165" s="358">
        <v>0</v>
      </c>
      <c r="BZ165" s="358">
        <v>0</v>
      </c>
      <c r="CA165" s="358">
        <v>0</v>
      </c>
      <c r="CB165" s="358">
        <v>36.6</v>
      </c>
      <c r="CC165" s="358">
        <v>4.79</v>
      </c>
      <c r="CD165" s="358">
        <v>3.75</v>
      </c>
      <c r="CE165" s="358">
        <v>6.14</v>
      </c>
      <c r="CF165" s="358">
        <v>7.4</v>
      </c>
      <c r="CG165" s="358">
        <v>2.4700000000000002</v>
      </c>
      <c r="CH165" s="358">
        <v>0</v>
      </c>
      <c r="CI165" s="358">
        <v>19.8</v>
      </c>
      <c r="CJ165" s="358">
        <v>60.210000000000008</v>
      </c>
      <c r="CK165" s="358">
        <v>3.75</v>
      </c>
      <c r="CL165" s="358">
        <v>3.75</v>
      </c>
      <c r="CM165" s="358">
        <v>9.89</v>
      </c>
      <c r="CN165" s="358">
        <v>73.22</v>
      </c>
      <c r="CO165" s="359"/>
    </row>
    <row r="166" spans="1:93" s="334" customFormat="1">
      <c r="A166" s="19"/>
      <c r="B166" s="336" t="s">
        <v>206</v>
      </c>
      <c r="C166" s="90" t="s">
        <v>318</v>
      </c>
      <c r="D166" s="90"/>
      <c r="E166" s="90" t="s">
        <v>311</v>
      </c>
      <c r="F166" s="352"/>
      <c r="G166" s="357">
        <f t="shared" ref="G166:AL166" si="20">0.7*G161+SUM(G162:G165)</f>
        <v>380.21000000000004</v>
      </c>
      <c r="H166" s="357">
        <f t="shared" si="20"/>
        <v>248.94</v>
      </c>
      <c r="I166" s="357">
        <f t="shared" si="20"/>
        <v>249.26199999999997</v>
      </c>
      <c r="J166" s="357">
        <f t="shared" si="20"/>
        <v>151.76400000000001</v>
      </c>
      <c r="K166" s="357">
        <f t="shared" si="20"/>
        <v>176.87</v>
      </c>
      <c r="L166" s="357">
        <f t="shared" si="20"/>
        <v>18.897350993377483</v>
      </c>
      <c r="M166" s="357">
        <f t="shared" si="20"/>
        <v>93.834333333333319</v>
      </c>
      <c r="N166" s="357">
        <f t="shared" si="20"/>
        <v>314.322</v>
      </c>
      <c r="O166" s="357">
        <f t="shared" si="20"/>
        <v>347.41</v>
      </c>
      <c r="P166" s="357">
        <f t="shared" si="20"/>
        <v>329.14300000000003</v>
      </c>
      <c r="Q166" s="357">
        <f t="shared" si="20"/>
        <v>374.01</v>
      </c>
      <c r="R166" s="357">
        <f t="shared" si="20"/>
        <v>384.94699999999995</v>
      </c>
      <c r="S166" s="357">
        <f t="shared" si="20"/>
        <v>423.89</v>
      </c>
      <c r="T166" s="357">
        <f t="shared" si="20"/>
        <v>218.1345</v>
      </c>
      <c r="U166" s="357">
        <f t="shared" si="20"/>
        <v>233.61500000000001</v>
      </c>
      <c r="V166" s="357">
        <f t="shared" si="20"/>
        <v>233.01600000000002</v>
      </c>
      <c r="W166" s="357">
        <f t="shared" si="20"/>
        <v>253.96800000000002</v>
      </c>
      <c r="X166" s="357">
        <f t="shared" si="20"/>
        <v>269.80599999999998</v>
      </c>
      <c r="Y166" s="357">
        <f t="shared" si="20"/>
        <v>261.59699999999998</v>
      </c>
      <c r="Z166" s="357">
        <f t="shared" si="20"/>
        <v>212.255</v>
      </c>
      <c r="AA166" s="357">
        <f t="shared" si="20"/>
        <v>184.03</v>
      </c>
      <c r="AB166" s="357">
        <f t="shared" si="20"/>
        <v>206.31899999999996</v>
      </c>
      <c r="AC166" s="357">
        <f t="shared" si="20"/>
        <v>199.45999999999998</v>
      </c>
      <c r="AD166" s="357">
        <f t="shared" si="20"/>
        <v>250.95699999999999</v>
      </c>
      <c r="AE166" s="357">
        <f t="shared" si="20"/>
        <v>243.55</v>
      </c>
      <c r="AF166" s="357">
        <f t="shared" si="20"/>
        <v>227.34</v>
      </c>
      <c r="AG166" s="357">
        <f t="shared" si="20"/>
        <v>147.97299999999998</v>
      </c>
      <c r="AH166" s="357">
        <f t="shared" si="20"/>
        <v>135.66899999999998</v>
      </c>
      <c r="AI166" s="357">
        <f t="shared" si="20"/>
        <v>151.64600000000002</v>
      </c>
      <c r="AJ166" s="357">
        <f t="shared" si="20"/>
        <v>147.67400000000001</v>
      </c>
      <c r="AK166" s="357">
        <f t="shared" si="20"/>
        <v>171.45299999999997</v>
      </c>
      <c r="AL166" s="357">
        <f t="shared" si="20"/>
        <v>160.44</v>
      </c>
      <c r="AM166" s="357">
        <f t="shared" ref="AM166:BR166" si="21">0.7*AM161+SUM(AM162:AM165)</f>
        <v>165.30999999999997</v>
      </c>
      <c r="AN166" s="357">
        <f t="shared" si="21"/>
        <v>92.973901395588456</v>
      </c>
      <c r="AO166" s="357">
        <f t="shared" si="21"/>
        <v>94.412065119655296</v>
      </c>
      <c r="AP166" s="357">
        <f t="shared" si="21"/>
        <v>94.973206380055885</v>
      </c>
      <c r="AQ166" s="357">
        <f t="shared" si="21"/>
        <v>101.42165922821148</v>
      </c>
      <c r="AR166" s="357">
        <f t="shared" si="21"/>
        <v>117.41896029441607</v>
      </c>
      <c r="AS166" s="357">
        <f t="shared" si="21"/>
        <v>119.12849057119217</v>
      </c>
      <c r="AT166" s="357">
        <f t="shared" si="21"/>
        <v>66.828650561402526</v>
      </c>
      <c r="AU166" s="357">
        <f t="shared" si="21"/>
        <v>75.149567232755345</v>
      </c>
      <c r="AV166" s="357">
        <f t="shared" si="21"/>
        <v>58.585300288239836</v>
      </c>
      <c r="AW166" s="357">
        <f t="shared" si="21"/>
        <v>68.679056346133009</v>
      </c>
      <c r="AX166" s="357">
        <f t="shared" si="21"/>
        <v>76.358431916547005</v>
      </c>
      <c r="AY166" s="357">
        <f t="shared" si="21"/>
        <v>81.906256464942018</v>
      </c>
      <c r="AZ166" s="357">
        <f t="shared" si="21"/>
        <v>76.087001058031916</v>
      </c>
      <c r="BA166" s="357">
        <f t="shared" si="21"/>
        <v>84.933695438133597</v>
      </c>
      <c r="BB166" s="357">
        <f t="shared" si="21"/>
        <v>79.641701828772156</v>
      </c>
      <c r="BC166" s="357">
        <f t="shared" si="21"/>
        <v>67.587659337077511</v>
      </c>
      <c r="BD166" s="357">
        <f t="shared" si="21"/>
        <v>80.887543796484422</v>
      </c>
      <c r="BE166" s="357">
        <f t="shared" si="21"/>
        <v>72.688188984352962</v>
      </c>
      <c r="BF166" s="357">
        <f t="shared" si="21"/>
        <v>94.488666345960453</v>
      </c>
      <c r="BG166" s="357">
        <f t="shared" si="21"/>
        <v>58.69517168792526</v>
      </c>
      <c r="BH166" s="357">
        <f t="shared" si="21"/>
        <v>56.355513334004016</v>
      </c>
      <c r="BI166" s="357">
        <f t="shared" si="21"/>
        <v>53.992299077719295</v>
      </c>
      <c r="BJ166" s="357">
        <f t="shared" si="21"/>
        <v>79.021500721853613</v>
      </c>
      <c r="BK166" s="357">
        <f t="shared" si="21"/>
        <v>83.687413416300075</v>
      </c>
      <c r="BL166" s="357">
        <f t="shared" si="21"/>
        <v>71.385458042538687</v>
      </c>
      <c r="BM166" s="357">
        <f t="shared" si="21"/>
        <v>2744.5</v>
      </c>
      <c r="BN166" s="357">
        <f t="shared" si="21"/>
        <v>3848.9300000000003</v>
      </c>
      <c r="BO166" s="357">
        <f t="shared" si="21"/>
        <v>6638.92</v>
      </c>
      <c r="BP166" s="357">
        <f t="shared" si="21"/>
        <v>11929.263000000003</v>
      </c>
      <c r="BQ166" s="357">
        <f t="shared" si="21"/>
        <v>236.75</v>
      </c>
      <c r="BR166" s="357">
        <f t="shared" si="21"/>
        <v>347.75</v>
      </c>
      <c r="BS166" s="357">
        <f t="shared" ref="BS166:CN166" si="22">0.7*BS161+SUM(BS162:BS165)</f>
        <v>2744.5</v>
      </c>
      <c r="BT166" s="357">
        <f t="shared" si="22"/>
        <v>4393.2359999999999</v>
      </c>
      <c r="BU166" s="357">
        <f t="shared" si="22"/>
        <v>27513.918999999998</v>
      </c>
      <c r="BV166" s="357">
        <f t="shared" si="22"/>
        <v>1534.143</v>
      </c>
      <c r="BW166" s="357">
        <f t="shared" si="22"/>
        <v>236.75</v>
      </c>
      <c r="BX166" s="357">
        <f t="shared" si="22"/>
        <v>347.75</v>
      </c>
      <c r="BY166" s="357">
        <f t="shared" si="22"/>
        <v>1613.08</v>
      </c>
      <c r="BZ166" s="357">
        <f t="shared" si="22"/>
        <v>4078.5599999999995</v>
      </c>
      <c r="CA166" s="357">
        <f t="shared" si="22"/>
        <v>15825.56</v>
      </c>
      <c r="CB166" s="357">
        <f t="shared" si="22"/>
        <v>17182.400000000001</v>
      </c>
      <c r="CC166" s="357">
        <f t="shared" si="22"/>
        <v>4013.62</v>
      </c>
      <c r="CD166" s="357">
        <f t="shared" si="22"/>
        <v>347.75</v>
      </c>
      <c r="CE166" s="357">
        <f t="shared" si="22"/>
        <v>3965</v>
      </c>
      <c r="CF166" s="357">
        <f t="shared" si="22"/>
        <v>5449.67</v>
      </c>
      <c r="CG166" s="357">
        <f t="shared" si="22"/>
        <v>9422.35</v>
      </c>
      <c r="CH166" s="357">
        <f t="shared" si="22"/>
        <v>10472.588</v>
      </c>
      <c r="CI166" s="357">
        <f t="shared" si="22"/>
        <v>4381.4000000000005</v>
      </c>
      <c r="CJ166" s="357">
        <f t="shared" si="22"/>
        <v>15550.897999999999</v>
      </c>
      <c r="CK166" s="357">
        <f t="shared" si="22"/>
        <v>236.75</v>
      </c>
      <c r="CL166" s="357">
        <f t="shared" si="22"/>
        <v>347.75</v>
      </c>
      <c r="CM166" s="357">
        <f t="shared" si="22"/>
        <v>3424.3329999999996</v>
      </c>
      <c r="CN166" s="357">
        <f t="shared" si="22"/>
        <v>34699.520000000004</v>
      </c>
      <c r="CO166" s="356"/>
    </row>
    <row r="167" spans="1:93" s="334" customFormat="1">
      <c r="A167" s="19"/>
      <c r="B167" s="339"/>
      <c r="C167" s="90" t="s">
        <v>319</v>
      </c>
      <c r="D167" s="90"/>
      <c r="E167" s="90" t="s">
        <v>320</v>
      </c>
      <c r="F167" s="90"/>
      <c r="G167" s="331">
        <f t="shared" ref="G167:AL167" si="23">IF(G159=0,0,G166/G159)</f>
        <v>2.1038623284639222</v>
      </c>
      <c r="H167" s="331">
        <f t="shared" si="23"/>
        <v>1.8672367236723673</v>
      </c>
      <c r="I167" s="331">
        <f t="shared" si="23"/>
        <v>2.6393689114781869</v>
      </c>
      <c r="J167" s="331">
        <f t="shared" si="23"/>
        <v>1.3787953120741347</v>
      </c>
      <c r="K167" s="331">
        <f t="shared" si="23"/>
        <v>2.030654420206659</v>
      </c>
      <c r="L167" s="331">
        <f t="shared" si="23"/>
        <v>0.51477602011478052</v>
      </c>
      <c r="M167" s="331">
        <f t="shared" si="23"/>
        <v>0.95870862875011587</v>
      </c>
      <c r="N167" s="331">
        <f t="shared" si="23"/>
        <v>2.0506393528183717</v>
      </c>
      <c r="O167" s="331">
        <f t="shared" si="23"/>
        <v>1.9861079350560258</v>
      </c>
      <c r="P167" s="331">
        <f t="shared" si="23"/>
        <v>2.0443664596273292</v>
      </c>
      <c r="Q167" s="331">
        <f t="shared" si="23"/>
        <v>2.0941209406494963</v>
      </c>
      <c r="R167" s="331">
        <f t="shared" si="23"/>
        <v>1.9394750100765819</v>
      </c>
      <c r="S167" s="331">
        <f t="shared" si="23"/>
        <v>2.093800938503334</v>
      </c>
      <c r="T167" s="331">
        <f t="shared" si="23"/>
        <v>1.7750386524534136</v>
      </c>
      <c r="U167" s="331">
        <f t="shared" si="23"/>
        <v>1.7435256362415106</v>
      </c>
      <c r="V167" s="331">
        <f t="shared" si="23"/>
        <v>1.7951926040061634</v>
      </c>
      <c r="W167" s="331">
        <f t="shared" si="23"/>
        <v>1.7648922863099374</v>
      </c>
      <c r="X167" s="331">
        <f t="shared" si="23"/>
        <v>1.7627466353064156</v>
      </c>
      <c r="Y167" s="331">
        <f t="shared" si="23"/>
        <v>1.7943411756636258</v>
      </c>
      <c r="Z167" s="331">
        <f t="shared" si="23"/>
        <v>1.9165237020316026</v>
      </c>
      <c r="AA167" s="331">
        <f t="shared" si="23"/>
        <v>1.8238850346878097</v>
      </c>
      <c r="AB167" s="331">
        <f t="shared" si="23"/>
        <v>1.7792255950327698</v>
      </c>
      <c r="AC167" s="331">
        <f t="shared" si="23"/>
        <v>1.7656014871204744</v>
      </c>
      <c r="AD167" s="331">
        <f t="shared" si="23"/>
        <v>1.9485751999378835</v>
      </c>
      <c r="AE167" s="331">
        <f t="shared" si="23"/>
        <v>1.7820297065925224</v>
      </c>
      <c r="AF167" s="331">
        <f t="shared" si="23"/>
        <v>1.8921348314606741</v>
      </c>
      <c r="AG167" s="331">
        <f t="shared" si="23"/>
        <v>1.3580488252569749</v>
      </c>
      <c r="AH167" s="331">
        <f t="shared" si="23"/>
        <v>1.3862164095228362</v>
      </c>
      <c r="AI167" s="331">
        <f t="shared" si="23"/>
        <v>1.3198085291557877</v>
      </c>
      <c r="AJ167" s="331">
        <f t="shared" si="23"/>
        <v>1.2999471830985916</v>
      </c>
      <c r="AK167" s="331">
        <f t="shared" si="23"/>
        <v>1.3776858175974285</v>
      </c>
      <c r="AL167" s="331">
        <f t="shared" si="23"/>
        <v>1.346764039284815</v>
      </c>
      <c r="AM167" s="331">
        <f t="shared" ref="AM167:BR167" si="24">IF(AM159=0,0,AM166/AM159)</f>
        <v>1.3997459779847585</v>
      </c>
      <c r="AN167" s="331">
        <f t="shared" si="24"/>
        <v>0.9358425204673041</v>
      </c>
      <c r="AO167" s="331">
        <f t="shared" si="24"/>
        <v>1.0584839246387978</v>
      </c>
      <c r="AP167" s="331">
        <f t="shared" si="24"/>
        <v>1.0732566174194103</v>
      </c>
      <c r="AQ167" s="331">
        <f t="shared" si="24"/>
        <v>1.0484253739402942</v>
      </c>
      <c r="AR167" s="331">
        <f t="shared" si="24"/>
        <v>1.0273067779925298</v>
      </c>
      <c r="AS167" s="331">
        <f t="shared" si="24"/>
        <v>1.0033701773878732</v>
      </c>
      <c r="AT167" s="331">
        <f t="shared" si="24"/>
        <v>0.92469395416765943</v>
      </c>
      <c r="AU167" s="331">
        <f t="shared" si="24"/>
        <v>0.91185070674903212</v>
      </c>
      <c r="AV167" s="331">
        <f t="shared" si="24"/>
        <v>0.87651864740180629</v>
      </c>
      <c r="AW167" s="331">
        <f t="shared" si="24"/>
        <v>0.85405715400595195</v>
      </c>
      <c r="AX167" s="331">
        <f t="shared" si="24"/>
        <v>0.8762727321609316</v>
      </c>
      <c r="AY167" s="331">
        <f t="shared" si="24"/>
        <v>0.96974409249863736</v>
      </c>
      <c r="AZ167" s="331">
        <f t="shared" si="24"/>
        <v>1.2012625406784287</v>
      </c>
      <c r="BA167" s="331">
        <f t="shared" si="24"/>
        <v>1.2476914155135095</v>
      </c>
      <c r="BB167" s="331">
        <f t="shared" si="24"/>
        <v>1.0027911038438637</v>
      </c>
      <c r="BC167" s="331">
        <f t="shared" si="24"/>
        <v>0.98090318944465682</v>
      </c>
      <c r="BD167" s="331">
        <f t="shared" si="24"/>
        <v>0.94672814285173745</v>
      </c>
      <c r="BE167" s="331">
        <f t="shared" si="24"/>
        <v>0.95116172256057085</v>
      </c>
      <c r="BF167" s="331">
        <f t="shared" si="24"/>
        <v>1.1800218313728477</v>
      </c>
      <c r="BG167" s="331">
        <f t="shared" si="24"/>
        <v>0.85891076579807912</v>
      </c>
      <c r="BH167" s="331">
        <f t="shared" si="24"/>
        <v>0.73432725501384855</v>
      </c>
      <c r="BI167" s="331">
        <f t="shared" si="24"/>
        <v>0.78686990997663264</v>
      </c>
      <c r="BJ167" s="331">
        <f t="shared" si="24"/>
        <v>0.85361115833913481</v>
      </c>
      <c r="BK167" s="331">
        <f t="shared" si="24"/>
        <v>0.91692921379629899</v>
      </c>
      <c r="BL167" s="331">
        <f t="shared" si="24"/>
        <v>0.83089379616858405</v>
      </c>
      <c r="BM167" s="331">
        <f t="shared" si="24"/>
        <v>1.5121378747975187</v>
      </c>
      <c r="BN167" s="331">
        <f t="shared" si="24"/>
        <v>1.6084658074653562</v>
      </c>
      <c r="BO167" s="331">
        <f t="shared" si="24"/>
        <v>1.3182922954725973</v>
      </c>
      <c r="BP167" s="331">
        <f t="shared" si="24"/>
        <v>1.1033426039569256</v>
      </c>
      <c r="BQ167" s="331">
        <f t="shared" si="24"/>
        <v>2.8627569528415959</v>
      </c>
      <c r="BR167" s="331">
        <f t="shared" si="24"/>
        <v>2.1996963754823207</v>
      </c>
      <c r="BS167" s="331">
        <f t="shared" ref="BS167:CN167" si="25">IF(BS159=0,0,BS166/BS159)</f>
        <v>1.5121378747975187</v>
      </c>
      <c r="BT167" s="331">
        <f t="shared" si="25"/>
        <v>0.77008385803031787</v>
      </c>
      <c r="BU167" s="331">
        <f t="shared" si="25"/>
        <v>0.78147847391693592</v>
      </c>
      <c r="BV167" s="331">
        <f t="shared" si="25"/>
        <v>1.74835095956603</v>
      </c>
      <c r="BW167" s="331">
        <f t="shared" si="25"/>
        <v>2.8627569528415959</v>
      </c>
      <c r="BX167" s="331">
        <f t="shared" si="25"/>
        <v>2.1996963754823207</v>
      </c>
      <c r="BY167" s="331">
        <f t="shared" si="25"/>
        <v>0.95990383585446837</v>
      </c>
      <c r="BZ167" s="331">
        <f t="shared" si="25"/>
        <v>0.93054072553045852</v>
      </c>
      <c r="CA167" s="331">
        <f t="shared" si="25"/>
        <v>0.64249222134890571</v>
      </c>
      <c r="CB167" s="331">
        <f t="shared" si="25"/>
        <v>0.70314977740110729</v>
      </c>
      <c r="CC167" s="331">
        <f t="shared" si="25"/>
        <v>1.0583185012327123</v>
      </c>
      <c r="CD167" s="331">
        <f t="shared" si="25"/>
        <v>2.1996963754823207</v>
      </c>
      <c r="CE167" s="331">
        <f t="shared" si="25"/>
        <v>1.6800847457627119</v>
      </c>
      <c r="CF167" s="331">
        <f t="shared" si="25"/>
        <v>1.421776676232716</v>
      </c>
      <c r="CG167" s="331">
        <f t="shared" si="25"/>
        <v>1.1070010338831713</v>
      </c>
      <c r="CH167" s="331">
        <f t="shared" si="25"/>
        <v>0.66581397418780597</v>
      </c>
      <c r="CI167" s="331">
        <f t="shared" si="25"/>
        <v>1.3890465245303956</v>
      </c>
      <c r="CJ167" s="331">
        <f t="shared" si="25"/>
        <v>1.7844280635885246</v>
      </c>
      <c r="CK167" s="331">
        <f t="shared" si="25"/>
        <v>2.8627569528415959</v>
      </c>
      <c r="CL167" s="331">
        <f t="shared" si="25"/>
        <v>2.1996963754823207</v>
      </c>
      <c r="CM167" s="331">
        <f t="shared" si="25"/>
        <v>2.2046386907367825</v>
      </c>
      <c r="CN167" s="331">
        <f t="shared" si="25"/>
        <v>1.5071453577109146</v>
      </c>
      <c r="CO167" s="337"/>
    </row>
    <row r="168" spans="1:93" s="334" customFormat="1">
      <c r="A168" s="19"/>
      <c r="B168" s="339"/>
      <c r="C168" s="90" t="s">
        <v>321</v>
      </c>
      <c r="D168" s="90"/>
      <c r="E168" s="90" t="s">
        <v>320</v>
      </c>
      <c r="F168" s="90"/>
      <c r="G168" s="331">
        <f t="shared" ref="G168:AL168" si="26">IF(G159=0,0,G164/G159)</f>
        <v>0.30981629039397968</v>
      </c>
      <c r="H168" s="331">
        <f t="shared" si="26"/>
        <v>0.2133963396339634</v>
      </c>
      <c r="I168" s="331">
        <f t="shared" si="26"/>
        <v>0.2423761118170267</v>
      </c>
      <c r="J168" s="331">
        <f t="shared" si="26"/>
        <v>0.14863268828927048</v>
      </c>
      <c r="K168" s="331">
        <f t="shared" si="26"/>
        <v>0.20000000000000004</v>
      </c>
      <c r="L168" s="331">
        <f t="shared" si="26"/>
        <v>0.11803272034366508</v>
      </c>
      <c r="M168" s="331">
        <f t="shared" si="26"/>
        <v>0.24261432242484288</v>
      </c>
      <c r="N168" s="331">
        <f t="shared" si="26"/>
        <v>0.18502087682672239</v>
      </c>
      <c r="O168" s="331">
        <f t="shared" si="26"/>
        <v>0.21769951978047103</v>
      </c>
      <c r="P168" s="331">
        <f t="shared" si="26"/>
        <v>0.19503105590062114</v>
      </c>
      <c r="Q168" s="331">
        <f t="shared" si="26"/>
        <v>0.21881298992161249</v>
      </c>
      <c r="R168" s="331">
        <f t="shared" si="26"/>
        <v>0.18294034663442163</v>
      </c>
      <c r="S168" s="331">
        <f t="shared" si="26"/>
        <v>0.22119041738700912</v>
      </c>
      <c r="T168" s="331">
        <f t="shared" si="26"/>
        <v>0.1865082594189926</v>
      </c>
      <c r="U168" s="331">
        <f t="shared" si="26"/>
        <v>0.22524068960370178</v>
      </c>
      <c r="V168" s="331">
        <f t="shared" si="26"/>
        <v>0.18674884437596298</v>
      </c>
      <c r="W168" s="331">
        <f t="shared" si="26"/>
        <v>0.18915913829047951</v>
      </c>
      <c r="X168" s="331">
        <f t="shared" si="26"/>
        <v>0.18300013066771198</v>
      </c>
      <c r="Y168" s="331">
        <f t="shared" si="26"/>
        <v>0.19267439467727551</v>
      </c>
      <c r="Z168" s="331">
        <f t="shared" si="26"/>
        <v>0.19250564334085785</v>
      </c>
      <c r="AA168" s="331">
        <f t="shared" si="26"/>
        <v>0.19920713577799803</v>
      </c>
      <c r="AB168" s="331">
        <f t="shared" si="26"/>
        <v>0.22938944463608138</v>
      </c>
      <c r="AC168" s="331">
        <f t="shared" si="26"/>
        <v>0.1667699389218377</v>
      </c>
      <c r="AD168" s="331">
        <f t="shared" si="26"/>
        <v>0.18153583352744782</v>
      </c>
      <c r="AE168" s="331">
        <f t="shared" si="26"/>
        <v>0.19792200190239265</v>
      </c>
      <c r="AF168" s="331">
        <f t="shared" si="26"/>
        <v>0.16088223054515191</v>
      </c>
      <c r="AG168" s="331">
        <f t="shared" si="26"/>
        <v>0.17712922173274598</v>
      </c>
      <c r="AH168" s="331">
        <f t="shared" si="26"/>
        <v>0.20292224379278634</v>
      </c>
      <c r="AI168" s="331">
        <f t="shared" si="26"/>
        <v>0.21740644038294168</v>
      </c>
      <c r="AJ168" s="331">
        <f t="shared" si="26"/>
        <v>0.16003521126760564</v>
      </c>
      <c r="AK168" s="331">
        <f t="shared" si="26"/>
        <v>0.17967055042185615</v>
      </c>
      <c r="AL168" s="331">
        <f t="shared" si="26"/>
        <v>0.16687652144715856</v>
      </c>
      <c r="AM168" s="331">
        <f t="shared" ref="AM168:BR168" si="27">IF(AM159=0,0,AM164/AM159)</f>
        <v>0.1527519051651143</v>
      </c>
      <c r="AN168" s="331">
        <f t="shared" si="27"/>
        <v>0.16989517320814287</v>
      </c>
      <c r="AO168" s="331">
        <f t="shared" si="27"/>
        <v>0.19701146612566328</v>
      </c>
      <c r="AP168" s="331">
        <f t="shared" si="27"/>
        <v>0.14654077679424585</v>
      </c>
      <c r="AQ168" s="331">
        <f t="shared" si="27"/>
        <v>0.17527827204682417</v>
      </c>
      <c r="AR168" s="331">
        <f t="shared" si="27"/>
        <v>0.15335546765302002</v>
      </c>
      <c r="AS168" s="331">
        <f t="shared" si="27"/>
        <v>0.16316537120987706</v>
      </c>
      <c r="AT168" s="331">
        <f t="shared" si="27"/>
        <v>0.23600427772014185</v>
      </c>
      <c r="AU168" s="331">
        <f t="shared" si="27"/>
        <v>0.23645176603214546</v>
      </c>
      <c r="AV168" s="331">
        <f t="shared" si="27"/>
        <v>0.1655571285827889</v>
      </c>
      <c r="AW168" s="331">
        <f t="shared" si="27"/>
        <v>0.17837001896611915</v>
      </c>
      <c r="AX168" s="331">
        <f t="shared" si="27"/>
        <v>0.21558503760672562</v>
      </c>
      <c r="AY168" s="331">
        <f t="shared" si="27"/>
        <v>0.21810822081651432</v>
      </c>
      <c r="AZ168" s="331">
        <f t="shared" si="27"/>
        <v>0.19402289580450771</v>
      </c>
      <c r="BA168" s="331">
        <f t="shared" si="27"/>
        <v>0.22511004770780785</v>
      </c>
      <c r="BB168" s="331">
        <f t="shared" si="27"/>
        <v>0.23416870111505145</v>
      </c>
      <c r="BC168" s="331">
        <f t="shared" si="27"/>
        <v>0.16817343872720744</v>
      </c>
      <c r="BD168" s="331">
        <f t="shared" si="27"/>
        <v>0.17968095896391151</v>
      </c>
      <c r="BE168" s="331">
        <f t="shared" si="27"/>
        <v>0.16601313084067856</v>
      </c>
      <c r="BF168" s="331">
        <f t="shared" si="27"/>
        <v>0.24830323636472973</v>
      </c>
      <c r="BG168" s="331">
        <f t="shared" si="27"/>
        <v>0.17179882682869851</v>
      </c>
      <c r="BH168" s="331">
        <f t="shared" si="27"/>
        <v>0.19698792361959955</v>
      </c>
      <c r="BI168" s="331">
        <f t="shared" si="27"/>
        <v>0.14993829701985203</v>
      </c>
      <c r="BJ168" s="331">
        <f t="shared" si="27"/>
        <v>0.17562001666435106</v>
      </c>
      <c r="BK168" s="331">
        <f t="shared" si="27"/>
        <v>0.21551244296483851</v>
      </c>
      <c r="BL168" s="331">
        <f t="shared" si="27"/>
        <v>0.17359356781999741</v>
      </c>
      <c r="BM168" s="331">
        <f t="shared" si="27"/>
        <v>0.22082887965707612</v>
      </c>
      <c r="BN168" s="331">
        <f t="shared" si="27"/>
        <v>7.3516874780602773E-2</v>
      </c>
      <c r="BO168" s="331">
        <f t="shared" si="27"/>
        <v>8.3617950754567127E-2</v>
      </c>
      <c r="BP168" s="331">
        <f t="shared" si="27"/>
        <v>7.2899103120349473E-2</v>
      </c>
      <c r="BQ168" s="331">
        <f t="shared" si="27"/>
        <v>0.36154776299879077</v>
      </c>
      <c r="BR168" s="331">
        <f t="shared" si="27"/>
        <v>0.330824214055285</v>
      </c>
      <c r="BS168" s="331">
        <f t="shared" ref="BS168:CN168" si="28">IF(BS159=0,0,BS164/BS159)</f>
        <v>0.22082887965707612</v>
      </c>
      <c r="BT168" s="331">
        <f t="shared" si="28"/>
        <v>9.2783722006422584E-2</v>
      </c>
      <c r="BU168" s="331">
        <f t="shared" si="28"/>
        <v>0.42837240453175918</v>
      </c>
      <c r="BV168" s="331">
        <f t="shared" si="28"/>
        <v>0.10346674568081324</v>
      </c>
      <c r="BW168" s="331">
        <f t="shared" si="28"/>
        <v>0.36154776299879077</v>
      </c>
      <c r="BX168" s="331">
        <f t="shared" si="28"/>
        <v>0.330824214055285</v>
      </c>
      <c r="BY168" s="331">
        <f t="shared" si="28"/>
        <v>8.3608059697939843E-2</v>
      </c>
      <c r="BZ168" s="331">
        <f t="shared" si="28"/>
        <v>0.22673967602099018</v>
      </c>
      <c r="CA168" s="331">
        <f t="shared" si="28"/>
        <v>0.41528902804211842</v>
      </c>
      <c r="CB168" s="331">
        <f t="shared" si="28"/>
        <v>0.36736285686107528</v>
      </c>
      <c r="CC168" s="331">
        <f t="shared" si="28"/>
        <v>0.25387809990902976</v>
      </c>
      <c r="CD168" s="331">
        <f t="shared" si="28"/>
        <v>0.330824214055285</v>
      </c>
      <c r="CE168" s="331">
        <f t="shared" si="28"/>
        <v>0.17926271186440676</v>
      </c>
      <c r="CF168" s="331">
        <f t="shared" si="28"/>
        <v>0.15734933472475868</v>
      </c>
      <c r="CG168" s="331">
        <f t="shared" si="28"/>
        <v>0.14074909535222518</v>
      </c>
      <c r="CH168" s="331">
        <f t="shared" si="28"/>
        <v>0.2660054676076038</v>
      </c>
      <c r="CI168" s="331">
        <f t="shared" si="28"/>
        <v>5.6241578822223984E-2</v>
      </c>
      <c r="CJ168" s="331">
        <f t="shared" si="28"/>
        <v>3.7935553163705803E-2</v>
      </c>
      <c r="CK168" s="331">
        <f t="shared" si="28"/>
        <v>0.36154776299879077</v>
      </c>
      <c r="CL168" s="331">
        <f t="shared" si="28"/>
        <v>0.330824214055285</v>
      </c>
      <c r="CM168" s="331">
        <f t="shared" si="28"/>
        <v>8.8782158584635978E-2</v>
      </c>
      <c r="CN168" s="331">
        <f t="shared" si="28"/>
        <v>1.3273486818159314E-2</v>
      </c>
      <c r="CO168" s="337"/>
    </row>
    <row r="169" spans="1:93" s="334" customFormat="1" ht="32">
      <c r="A169" s="19"/>
      <c r="B169" s="339"/>
      <c r="C169" s="90" t="s">
        <v>322</v>
      </c>
      <c r="D169" s="90"/>
      <c r="E169" s="90"/>
      <c r="F169" s="90"/>
      <c r="G169" s="332" t="s">
        <v>323</v>
      </c>
      <c r="H169" s="332" t="s">
        <v>323</v>
      </c>
      <c r="I169" s="332" t="s">
        <v>323</v>
      </c>
      <c r="J169" s="332" t="s">
        <v>323</v>
      </c>
      <c r="K169" s="332" t="s">
        <v>323</v>
      </c>
      <c r="L169" s="332" t="s">
        <v>323</v>
      </c>
      <c r="M169" s="332" t="s">
        <v>323</v>
      </c>
      <c r="N169" s="332" t="s">
        <v>324</v>
      </c>
      <c r="O169" s="332" t="s">
        <v>324</v>
      </c>
      <c r="P169" s="332" t="s">
        <v>324</v>
      </c>
      <c r="Q169" s="332" t="s">
        <v>324</v>
      </c>
      <c r="R169" s="332" t="s">
        <v>324</v>
      </c>
      <c r="S169" s="332" t="s">
        <v>324</v>
      </c>
      <c r="T169" s="332" t="s">
        <v>324</v>
      </c>
      <c r="U169" s="332" t="s">
        <v>324</v>
      </c>
      <c r="V169" s="332" t="s">
        <v>324</v>
      </c>
      <c r="W169" s="332" t="s">
        <v>324</v>
      </c>
      <c r="X169" s="332" t="s">
        <v>324</v>
      </c>
      <c r="Y169" s="332" t="s">
        <v>324</v>
      </c>
      <c r="Z169" s="332" t="s">
        <v>324</v>
      </c>
      <c r="AA169" s="332" t="s">
        <v>324</v>
      </c>
      <c r="AB169" s="332" t="s">
        <v>324</v>
      </c>
      <c r="AC169" s="332" t="s">
        <v>324</v>
      </c>
      <c r="AD169" s="332" t="s">
        <v>324</v>
      </c>
      <c r="AE169" s="332" t="s">
        <v>324</v>
      </c>
      <c r="AF169" s="332" t="s">
        <v>324</v>
      </c>
      <c r="AG169" s="332" t="s">
        <v>324</v>
      </c>
      <c r="AH169" s="332" t="s">
        <v>324</v>
      </c>
      <c r="AI169" s="332" t="s">
        <v>324</v>
      </c>
      <c r="AJ169" s="332" t="s">
        <v>324</v>
      </c>
      <c r="AK169" s="332" t="s">
        <v>324</v>
      </c>
      <c r="AL169" s="332" t="s">
        <v>324</v>
      </c>
      <c r="AM169" s="332" t="s">
        <v>324</v>
      </c>
      <c r="AN169" s="332" t="s">
        <v>324</v>
      </c>
      <c r="AO169" s="332" t="s">
        <v>324</v>
      </c>
      <c r="AP169" s="332" t="s">
        <v>324</v>
      </c>
      <c r="AQ169" s="332" t="s">
        <v>324</v>
      </c>
      <c r="AR169" s="332" t="s">
        <v>324</v>
      </c>
      <c r="AS169" s="332" t="s">
        <v>324</v>
      </c>
      <c r="AT169" s="332" t="s">
        <v>324</v>
      </c>
      <c r="AU169" s="332" t="s">
        <v>324</v>
      </c>
      <c r="AV169" s="332" t="s">
        <v>324</v>
      </c>
      <c r="AW169" s="332" t="s">
        <v>324</v>
      </c>
      <c r="AX169" s="332" t="s">
        <v>324</v>
      </c>
      <c r="AY169" s="332" t="s">
        <v>324</v>
      </c>
      <c r="AZ169" s="332" t="s">
        <v>324</v>
      </c>
      <c r="BA169" s="332" t="s">
        <v>324</v>
      </c>
      <c r="BB169" s="332" t="s">
        <v>324</v>
      </c>
      <c r="BC169" s="332" t="s">
        <v>324</v>
      </c>
      <c r="BD169" s="332" t="s">
        <v>324</v>
      </c>
      <c r="BE169" s="332" t="s">
        <v>324</v>
      </c>
      <c r="BF169" s="332" t="s">
        <v>324</v>
      </c>
      <c r="BG169" s="332" t="s">
        <v>324</v>
      </c>
      <c r="BH169" s="332" t="s">
        <v>324</v>
      </c>
      <c r="BI169" s="332" t="s">
        <v>324</v>
      </c>
      <c r="BJ169" s="332" t="s">
        <v>324</v>
      </c>
      <c r="BK169" s="332" t="s">
        <v>324</v>
      </c>
      <c r="BL169" s="332" t="s">
        <v>324</v>
      </c>
      <c r="BM169" s="332" t="s">
        <v>325</v>
      </c>
      <c r="BN169" s="332" t="s">
        <v>325</v>
      </c>
      <c r="BO169" s="332" t="s">
        <v>325</v>
      </c>
      <c r="BP169" s="332" t="s">
        <v>325</v>
      </c>
      <c r="BQ169" s="332" t="s">
        <v>325</v>
      </c>
      <c r="BR169" s="332" t="s">
        <v>325</v>
      </c>
      <c r="BS169" s="332" t="s">
        <v>325</v>
      </c>
      <c r="BT169" s="332" t="s">
        <v>325</v>
      </c>
      <c r="BU169" s="332" t="s">
        <v>325</v>
      </c>
      <c r="BV169" s="332" t="s">
        <v>325</v>
      </c>
      <c r="BW169" s="332" t="s">
        <v>325</v>
      </c>
      <c r="BX169" s="332" t="s">
        <v>325</v>
      </c>
      <c r="BY169" s="332" t="s">
        <v>325</v>
      </c>
      <c r="BZ169" s="332" t="s">
        <v>325</v>
      </c>
      <c r="CA169" s="332" t="s">
        <v>325</v>
      </c>
      <c r="CB169" s="332" t="s">
        <v>325</v>
      </c>
      <c r="CC169" s="332" t="s">
        <v>325</v>
      </c>
      <c r="CD169" s="332" t="s">
        <v>325</v>
      </c>
      <c r="CE169" s="332" t="s">
        <v>325</v>
      </c>
      <c r="CF169" s="332" t="s">
        <v>325</v>
      </c>
      <c r="CG169" s="332" t="s">
        <v>325</v>
      </c>
      <c r="CH169" s="332" t="s">
        <v>325</v>
      </c>
      <c r="CI169" s="332" t="s">
        <v>325</v>
      </c>
      <c r="CJ169" s="332" t="s">
        <v>325</v>
      </c>
      <c r="CK169" s="332" t="s">
        <v>325</v>
      </c>
      <c r="CL169" s="332" t="s">
        <v>325</v>
      </c>
      <c r="CM169" s="332" t="s">
        <v>325</v>
      </c>
      <c r="CN169" s="332" t="s">
        <v>325</v>
      </c>
      <c r="CO169" s="340"/>
    </row>
    <row r="170" spans="1:93">
      <c r="C170" s="703"/>
      <c r="D170" s="703"/>
      <c r="E170" s="703"/>
      <c r="F170" s="703"/>
      <c r="G170" s="707"/>
      <c r="H170" s="707"/>
      <c r="I170" s="707"/>
      <c r="J170" s="707"/>
      <c r="K170" s="707"/>
      <c r="L170" s="707"/>
      <c r="M170" s="707"/>
      <c r="N170" s="707"/>
      <c r="O170" s="707"/>
      <c r="P170" s="707"/>
      <c r="Q170" s="707"/>
      <c r="R170" s="707"/>
      <c r="S170" s="707"/>
      <c r="T170" s="707"/>
      <c r="U170" s="707"/>
      <c r="V170" s="707"/>
      <c r="W170" s="707"/>
      <c r="X170" s="707"/>
      <c r="Y170" s="707"/>
      <c r="Z170" s="707"/>
      <c r="AA170" s="707"/>
      <c r="AB170" s="707"/>
      <c r="AC170" s="707"/>
      <c r="AD170" s="707"/>
      <c r="AE170" s="707"/>
      <c r="AF170" s="707"/>
      <c r="AG170" s="707"/>
      <c r="AH170" s="707"/>
      <c r="AI170" s="707"/>
      <c r="AJ170" s="707"/>
      <c r="AK170" s="707"/>
      <c r="AL170" s="707"/>
      <c r="AM170" s="707"/>
      <c r="AN170" s="707"/>
      <c r="AO170" s="707"/>
      <c r="AP170" s="707"/>
      <c r="AQ170" s="707"/>
      <c r="AR170" s="707"/>
      <c r="AS170" s="707"/>
      <c r="AT170" s="707"/>
      <c r="AU170" s="707"/>
      <c r="AV170" s="707"/>
      <c r="AW170" s="707"/>
      <c r="AX170" s="707"/>
      <c r="AY170" s="707"/>
      <c r="AZ170" s="707"/>
      <c r="BA170" s="707"/>
      <c r="BB170" s="707"/>
      <c r="BC170" s="707"/>
      <c r="BD170" s="707"/>
      <c r="BE170" s="707"/>
      <c r="BF170" s="707"/>
      <c r="BG170" s="707"/>
      <c r="BH170" s="707"/>
      <c r="BI170" s="707"/>
      <c r="BJ170" s="707"/>
      <c r="BK170" s="707"/>
      <c r="BL170" s="707"/>
      <c r="BM170" s="707"/>
      <c r="BN170" s="707"/>
      <c r="BO170" s="707"/>
      <c r="BP170" s="707"/>
      <c r="BQ170" s="707"/>
      <c r="BR170" s="707"/>
      <c r="BS170" s="707"/>
      <c r="BT170" s="707"/>
      <c r="BU170" s="707"/>
      <c r="BV170" s="707"/>
      <c r="BW170" s="707"/>
      <c r="BX170" s="707"/>
      <c r="BY170" s="707"/>
      <c r="BZ170" s="707"/>
      <c r="CA170" s="707"/>
      <c r="CB170" s="707"/>
      <c r="CC170" s="707"/>
      <c r="CD170" s="707"/>
      <c r="CE170" s="707"/>
      <c r="CF170" s="707"/>
      <c r="CG170" s="707"/>
      <c r="CH170" s="707"/>
      <c r="CI170" s="707"/>
      <c r="CJ170" s="707"/>
      <c r="CK170" s="707"/>
      <c r="CL170" s="707"/>
      <c r="CM170" s="707"/>
      <c r="CN170" s="707"/>
      <c r="CO170" s="703"/>
    </row>
    <row r="171" spans="1:93">
      <c r="B171" s="88">
        <f ca="1">MAX(tabellen!$B$1:OFFSET(B171,-1,0))+1</f>
        <v>12</v>
      </c>
      <c r="C171" s="89" t="s">
        <v>326</v>
      </c>
      <c r="D171" s="89"/>
      <c r="E171" s="89"/>
      <c r="F171" s="122"/>
      <c r="G171" s="123"/>
      <c r="H171" s="122"/>
      <c r="I171" s="703"/>
      <c r="J171" s="703"/>
      <c r="L171" s="703"/>
      <c r="M171" s="703"/>
      <c r="N171" s="703"/>
      <c r="O171" s="703"/>
      <c r="P171" s="703"/>
      <c r="Q171" s="703"/>
      <c r="R171" s="703"/>
      <c r="S171" s="703"/>
      <c r="T171" s="703"/>
      <c r="U171" s="703"/>
      <c r="V171" s="703"/>
      <c r="W171" s="703"/>
      <c r="X171" s="703"/>
      <c r="Y171" s="703"/>
      <c r="Z171" s="703"/>
      <c r="AA171" s="703"/>
      <c r="AB171" s="703"/>
      <c r="AC171" s="703"/>
      <c r="AD171" s="703"/>
      <c r="AE171" s="703"/>
      <c r="AF171" s="703"/>
      <c r="AG171" s="703"/>
      <c r="AH171" s="703"/>
      <c r="AI171" s="703"/>
      <c r="AJ171" s="703"/>
      <c r="AK171" s="703"/>
      <c r="AL171" s="703"/>
      <c r="AM171" s="703"/>
      <c r="AN171" s="703"/>
      <c r="AO171" s="703"/>
      <c r="AP171" s="703"/>
      <c r="AQ171" s="703"/>
      <c r="AR171" s="703"/>
      <c r="AS171" s="703"/>
      <c r="AT171" s="703"/>
      <c r="AU171" s="703"/>
      <c r="AV171" s="703"/>
      <c r="AW171" s="703"/>
      <c r="AX171" s="703"/>
      <c r="AY171" s="703"/>
      <c r="AZ171" s="703"/>
      <c r="BA171" s="703"/>
      <c r="BB171" s="703"/>
      <c r="BC171" s="703"/>
      <c r="BD171" s="703"/>
      <c r="BE171" s="703"/>
      <c r="BF171" s="703"/>
      <c r="BG171" s="703"/>
      <c r="BH171" s="703"/>
      <c r="BI171" s="703"/>
      <c r="BJ171" s="703"/>
      <c r="BK171" s="703"/>
      <c r="BL171" s="703"/>
      <c r="BM171" s="703"/>
      <c r="BN171" s="703"/>
      <c r="BO171" s="703"/>
      <c r="BP171" s="703"/>
      <c r="BQ171" s="703"/>
      <c r="BR171" s="703"/>
      <c r="BS171" s="703"/>
      <c r="BT171" s="703"/>
      <c r="BU171" s="703"/>
      <c r="BV171" s="703"/>
      <c r="BW171" s="703"/>
      <c r="BX171" s="703"/>
      <c r="BY171" s="703"/>
      <c r="BZ171" s="703"/>
      <c r="CA171" s="703"/>
      <c r="CB171" s="703"/>
      <c r="CC171" s="703"/>
      <c r="CD171" s="703"/>
      <c r="CE171" s="703"/>
      <c r="CF171" s="703"/>
      <c r="CG171" s="703"/>
      <c r="CH171" s="703"/>
      <c r="CI171" s="703"/>
      <c r="CJ171" s="703"/>
      <c r="CK171" s="703"/>
      <c r="CL171" s="703"/>
      <c r="CM171" s="703"/>
      <c r="CN171" s="703"/>
      <c r="CO171" s="703"/>
    </row>
    <row r="172" spans="1:93">
      <c r="C172" s="57" t="s">
        <v>327</v>
      </c>
      <c r="D172" s="57"/>
      <c r="E172" s="57" t="s">
        <v>204</v>
      </c>
      <c r="F172" s="64"/>
      <c r="G172" s="64">
        <f ca="1">OFFSET(G172,0,-1)+1</f>
        <v>1</v>
      </c>
      <c r="H172" s="64"/>
      <c r="I172" s="703"/>
      <c r="J172" s="703"/>
      <c r="L172" s="703"/>
      <c r="M172" s="703"/>
      <c r="N172" s="703"/>
      <c r="O172" s="703"/>
      <c r="P172" s="703"/>
      <c r="Q172" s="703"/>
      <c r="R172" s="703"/>
      <c r="S172" s="703"/>
      <c r="T172" s="703"/>
      <c r="U172" s="703"/>
      <c r="V172" s="703"/>
      <c r="W172" s="703"/>
      <c r="X172" s="703"/>
      <c r="Y172" s="703"/>
      <c r="Z172" s="703"/>
      <c r="AA172" s="703"/>
      <c r="AB172" s="703"/>
      <c r="AC172" s="703"/>
      <c r="AD172" s="703"/>
      <c r="AE172" s="703"/>
      <c r="AF172" s="703"/>
      <c r="AG172" s="703"/>
      <c r="AH172" s="703"/>
      <c r="AI172" s="703"/>
      <c r="AJ172" s="703"/>
      <c r="AK172" s="703"/>
      <c r="AL172" s="703"/>
      <c r="AM172" s="703"/>
      <c r="AN172" s="703"/>
      <c r="AO172" s="703"/>
      <c r="AP172" s="703"/>
      <c r="AQ172" s="703"/>
      <c r="AR172" s="703"/>
      <c r="AS172" s="703"/>
      <c r="AT172" s="703"/>
      <c r="AU172" s="703"/>
      <c r="AV172" s="703"/>
      <c r="AW172" s="703"/>
      <c r="AX172" s="703"/>
      <c r="AY172" s="703"/>
      <c r="AZ172" s="703"/>
      <c r="BA172" s="703"/>
      <c r="BB172" s="703"/>
      <c r="BC172" s="703"/>
      <c r="BD172" s="703"/>
      <c r="BE172" s="703"/>
      <c r="BF172" s="703"/>
      <c r="BG172" s="703"/>
      <c r="BH172" s="703"/>
      <c r="BI172" s="703"/>
      <c r="BJ172" s="703"/>
      <c r="BK172" s="703"/>
      <c r="BL172" s="703"/>
      <c r="BM172" s="703"/>
      <c r="BN172" s="703"/>
      <c r="BO172" s="703"/>
      <c r="BP172" s="703"/>
      <c r="BQ172" s="703"/>
      <c r="BR172" s="703"/>
      <c r="BS172" s="703"/>
      <c r="BT172" s="703"/>
      <c r="BU172" s="703"/>
      <c r="BV172" s="703"/>
      <c r="BW172" s="703"/>
      <c r="BX172" s="703"/>
      <c r="BY172" s="703"/>
      <c r="BZ172" s="703"/>
      <c r="CA172" s="703"/>
      <c r="CB172" s="703"/>
      <c r="CC172" s="703"/>
      <c r="CD172" s="703"/>
      <c r="CE172" s="703"/>
      <c r="CF172" s="703"/>
      <c r="CG172" s="703"/>
      <c r="CH172" s="703"/>
      <c r="CI172" s="703"/>
      <c r="CJ172" s="703"/>
      <c r="CK172" s="703"/>
      <c r="CL172" s="703"/>
      <c r="CM172" s="703"/>
      <c r="CN172" s="703"/>
      <c r="CO172" s="703"/>
    </row>
    <row r="173" spans="1:93">
      <c r="C173" s="330" t="s">
        <v>328</v>
      </c>
      <c r="D173" s="23"/>
      <c r="E173" s="23"/>
      <c r="F173" s="23"/>
      <c r="G173" s="23"/>
      <c r="H173" s="23"/>
      <c r="I173" s="703"/>
      <c r="J173" s="703"/>
      <c r="L173" s="703"/>
      <c r="M173" s="703"/>
      <c r="N173" s="703"/>
      <c r="O173" s="703"/>
      <c r="P173" s="703"/>
      <c r="Q173" s="703"/>
      <c r="R173" s="703"/>
      <c r="S173" s="703"/>
      <c r="T173" s="703"/>
      <c r="U173" s="703"/>
      <c r="V173" s="703"/>
      <c r="W173" s="703"/>
      <c r="X173" s="703"/>
      <c r="Y173" s="703"/>
      <c r="Z173" s="703"/>
      <c r="AA173" s="703"/>
      <c r="AB173" s="703"/>
      <c r="AC173" s="703"/>
      <c r="AD173" s="703"/>
      <c r="AE173" s="703"/>
      <c r="AF173" s="703"/>
      <c r="AG173" s="703"/>
      <c r="AH173" s="703"/>
      <c r="AI173" s="703"/>
      <c r="AJ173" s="703"/>
      <c r="AK173" s="703"/>
      <c r="AL173" s="703"/>
      <c r="AM173" s="703"/>
      <c r="AN173" s="703"/>
      <c r="AO173" s="703"/>
      <c r="AP173" s="703"/>
      <c r="AQ173" s="703"/>
      <c r="AR173" s="703"/>
      <c r="AS173" s="703"/>
      <c r="AT173" s="703"/>
      <c r="AU173" s="703"/>
      <c r="AV173" s="703"/>
      <c r="AW173" s="703"/>
      <c r="AX173" s="703"/>
      <c r="AY173" s="703"/>
      <c r="AZ173" s="703"/>
      <c r="BA173" s="703"/>
      <c r="BB173" s="703"/>
      <c r="BC173" s="703"/>
      <c r="BD173" s="703"/>
      <c r="BE173" s="703"/>
      <c r="BF173" s="703"/>
      <c r="BG173" s="703"/>
      <c r="BH173" s="703"/>
      <c r="BI173" s="703"/>
      <c r="BJ173" s="703"/>
      <c r="BK173" s="703"/>
      <c r="BL173" s="703"/>
      <c r="BM173" s="703"/>
      <c r="BN173" s="703"/>
      <c r="BO173" s="703"/>
      <c r="BP173" s="703"/>
      <c r="BQ173" s="703"/>
      <c r="BR173" s="703"/>
      <c r="BS173" s="703"/>
      <c r="BT173" s="703"/>
      <c r="BU173" s="703"/>
      <c r="BV173" s="703"/>
      <c r="BW173" s="703"/>
      <c r="BX173" s="703"/>
      <c r="BY173" s="703"/>
      <c r="BZ173" s="703"/>
      <c r="CA173" s="703"/>
      <c r="CB173" s="703"/>
      <c r="CC173" s="703"/>
      <c r="CD173" s="703"/>
      <c r="CE173" s="703"/>
      <c r="CF173" s="703"/>
      <c r="CG173" s="703"/>
      <c r="CH173" s="703"/>
      <c r="CI173" s="703"/>
      <c r="CJ173" s="703"/>
      <c r="CK173" s="703"/>
      <c r="CL173" s="703"/>
      <c r="CM173" s="703"/>
      <c r="CN173" s="703"/>
      <c r="CO173" s="703"/>
    </row>
    <row r="174" spans="1:93">
      <c r="C174" s="90" t="s">
        <v>329</v>
      </c>
      <c r="D174" s="90"/>
      <c r="E174" s="90" t="s">
        <v>330</v>
      </c>
      <c r="F174" s="90"/>
      <c r="G174" s="262">
        <v>1</v>
      </c>
      <c r="H174" s="23"/>
      <c r="I174" s="703"/>
      <c r="J174" s="703"/>
      <c r="L174" s="703"/>
      <c r="M174" s="703"/>
      <c r="N174" s="703"/>
      <c r="O174" s="703"/>
      <c r="P174" s="703"/>
      <c r="Q174" s="703"/>
      <c r="R174" s="703"/>
      <c r="S174" s="703"/>
      <c r="T174" s="703"/>
      <c r="U174" s="703"/>
      <c r="V174" s="703"/>
      <c r="W174" s="703"/>
      <c r="X174" s="703"/>
      <c r="Y174" s="703"/>
      <c r="Z174" s="703"/>
      <c r="AA174" s="703"/>
      <c r="AB174" s="703"/>
      <c r="AC174" s="703"/>
      <c r="AD174" s="703"/>
      <c r="AE174" s="703"/>
      <c r="AF174" s="703"/>
      <c r="AG174" s="703"/>
      <c r="AH174" s="703"/>
      <c r="AI174" s="703"/>
      <c r="AJ174" s="703"/>
      <c r="AK174" s="703"/>
      <c r="AL174" s="703"/>
      <c r="AM174" s="703"/>
      <c r="AN174" s="703"/>
      <c r="AO174" s="703"/>
      <c r="AP174" s="703"/>
      <c r="AQ174" s="703"/>
      <c r="AR174" s="703"/>
      <c r="AS174" s="703"/>
      <c r="AT174" s="703"/>
      <c r="AU174" s="703"/>
      <c r="AV174" s="703"/>
      <c r="AW174" s="703"/>
      <c r="AX174" s="703"/>
      <c r="AY174" s="703"/>
      <c r="AZ174" s="703"/>
      <c r="BA174" s="703"/>
      <c r="BB174" s="703"/>
      <c r="BC174" s="703"/>
      <c r="BD174" s="703"/>
      <c r="BE174" s="703"/>
      <c r="BF174" s="703"/>
      <c r="BG174" s="703"/>
      <c r="BH174" s="703"/>
      <c r="BI174" s="703"/>
      <c r="BJ174" s="703"/>
      <c r="BK174" s="703"/>
      <c r="BL174" s="703"/>
      <c r="BM174" s="703"/>
      <c r="BN174" s="703"/>
      <c r="BO174" s="703"/>
      <c r="BP174" s="703"/>
      <c r="BQ174" s="703"/>
      <c r="BR174" s="703"/>
      <c r="BS174" s="703"/>
      <c r="BT174" s="703"/>
      <c r="BU174" s="703"/>
      <c r="BV174" s="703"/>
      <c r="BW174" s="703"/>
      <c r="BX174" s="703"/>
      <c r="BY174" s="703"/>
      <c r="BZ174" s="703"/>
      <c r="CA174" s="703"/>
      <c r="CB174" s="703"/>
      <c r="CC174" s="703"/>
      <c r="CD174" s="703"/>
      <c r="CE174" s="703"/>
      <c r="CF174" s="703"/>
      <c r="CG174" s="703"/>
      <c r="CH174" s="703"/>
      <c r="CI174" s="703"/>
      <c r="CJ174" s="703"/>
      <c r="CK174" s="703"/>
      <c r="CL174" s="703"/>
      <c r="CM174" s="703"/>
      <c r="CN174" s="703"/>
      <c r="CO174" s="703"/>
    </row>
    <row r="175" spans="1:93">
      <c r="C175" s="90" t="s">
        <v>331</v>
      </c>
      <c r="D175" s="90"/>
      <c r="E175" s="90" t="s">
        <v>330</v>
      </c>
      <c r="F175" s="90"/>
      <c r="G175" s="262">
        <v>1</v>
      </c>
      <c r="H175" s="23"/>
      <c r="I175" s="703"/>
      <c r="J175" s="703"/>
      <c r="L175" s="703"/>
      <c r="M175" s="703"/>
      <c r="N175" s="703"/>
      <c r="O175" s="703"/>
      <c r="P175" s="703"/>
      <c r="Q175" s="703"/>
      <c r="R175" s="703"/>
      <c r="S175" s="703"/>
      <c r="T175" s="703"/>
      <c r="U175" s="703"/>
      <c r="V175" s="703"/>
      <c r="W175" s="703"/>
      <c r="X175" s="703"/>
      <c r="Y175" s="703"/>
      <c r="Z175" s="703"/>
      <c r="AA175" s="703"/>
      <c r="AB175" s="703"/>
      <c r="AC175" s="703"/>
      <c r="AD175" s="703"/>
      <c r="AE175" s="703"/>
      <c r="AF175" s="703"/>
      <c r="AG175" s="703"/>
      <c r="AH175" s="703"/>
      <c r="AI175" s="703"/>
      <c r="AJ175" s="703"/>
      <c r="AK175" s="703"/>
      <c r="AL175" s="703"/>
      <c r="AM175" s="703"/>
      <c r="AN175" s="703"/>
      <c r="AO175" s="703"/>
      <c r="AP175" s="703"/>
      <c r="AQ175" s="703"/>
      <c r="AR175" s="703"/>
      <c r="AS175" s="703"/>
      <c r="AT175" s="703"/>
      <c r="AU175" s="703"/>
      <c r="AV175" s="703"/>
      <c r="AW175" s="703"/>
      <c r="AX175" s="703"/>
      <c r="AY175" s="703"/>
      <c r="AZ175" s="703"/>
      <c r="BA175" s="703"/>
      <c r="BB175" s="703"/>
      <c r="BC175" s="703"/>
      <c r="BD175" s="703"/>
      <c r="BE175" s="703"/>
      <c r="BF175" s="703"/>
      <c r="BG175" s="703"/>
      <c r="BH175" s="703"/>
      <c r="BI175" s="703"/>
      <c r="BJ175" s="703"/>
      <c r="BK175" s="703"/>
      <c r="BL175" s="703"/>
      <c r="BM175" s="703"/>
      <c r="BN175" s="703"/>
      <c r="BO175" s="703"/>
      <c r="BP175" s="703"/>
      <c r="BQ175" s="703"/>
      <c r="BR175" s="703"/>
      <c r="BS175" s="703"/>
      <c r="BT175" s="703"/>
      <c r="BU175" s="703"/>
      <c r="BV175" s="703"/>
      <c r="BW175" s="703"/>
      <c r="BX175" s="703"/>
      <c r="BY175" s="703"/>
      <c r="BZ175" s="703"/>
      <c r="CA175" s="703"/>
      <c r="CB175" s="703"/>
      <c r="CC175" s="703"/>
      <c r="CD175" s="703"/>
      <c r="CE175" s="703"/>
      <c r="CF175" s="703"/>
      <c r="CG175" s="703"/>
      <c r="CH175" s="703"/>
      <c r="CI175" s="703"/>
      <c r="CJ175" s="703"/>
      <c r="CK175" s="703"/>
      <c r="CL175" s="703"/>
      <c r="CM175" s="703"/>
      <c r="CN175" s="703"/>
      <c r="CO175" s="703"/>
    </row>
    <row r="176" spans="1:93">
      <c r="C176" s="345" t="s">
        <v>332</v>
      </c>
      <c r="D176" s="703"/>
      <c r="E176" s="703"/>
      <c r="F176" s="703"/>
      <c r="G176" s="703"/>
      <c r="H176" s="703"/>
      <c r="I176" s="703"/>
      <c r="J176" s="703"/>
      <c r="L176" s="703"/>
      <c r="M176" s="703"/>
      <c r="N176" s="703"/>
      <c r="O176" s="703"/>
      <c r="P176" s="703"/>
      <c r="Q176" s="703"/>
      <c r="R176" s="703"/>
      <c r="S176" s="703"/>
      <c r="T176" s="703"/>
      <c r="U176" s="703"/>
      <c r="V176" s="703"/>
      <c r="W176" s="703"/>
      <c r="X176" s="703"/>
      <c r="Y176" s="703"/>
      <c r="Z176" s="703"/>
      <c r="AA176" s="703"/>
      <c r="AB176" s="703"/>
      <c r="AC176" s="703"/>
      <c r="AD176" s="703"/>
      <c r="AE176" s="703"/>
      <c r="AF176" s="703"/>
      <c r="AG176" s="703"/>
      <c r="AH176" s="703"/>
      <c r="AI176" s="703"/>
      <c r="AJ176" s="703"/>
      <c r="AK176" s="703"/>
      <c r="AL176" s="703"/>
      <c r="AM176" s="703"/>
      <c r="AN176" s="703"/>
      <c r="AO176" s="703"/>
      <c r="AP176" s="703"/>
      <c r="AQ176" s="703"/>
      <c r="AR176" s="703"/>
      <c r="AS176" s="703"/>
      <c r="AT176" s="703"/>
      <c r="AU176" s="703"/>
      <c r="AV176" s="703"/>
      <c r="AW176" s="703"/>
      <c r="AX176" s="703"/>
      <c r="AY176" s="703"/>
      <c r="AZ176" s="703"/>
      <c r="BA176" s="703"/>
      <c r="BB176" s="703"/>
      <c r="BC176" s="703"/>
      <c r="BD176" s="703"/>
      <c r="BE176" s="703"/>
      <c r="BF176" s="703"/>
      <c r="BG176" s="703"/>
      <c r="BH176" s="703"/>
      <c r="BI176" s="703"/>
      <c r="BJ176" s="703"/>
      <c r="BK176" s="703"/>
      <c r="BL176" s="703"/>
      <c r="BM176" s="703"/>
      <c r="BN176" s="703"/>
      <c r="BO176" s="703"/>
      <c r="BP176" s="703"/>
      <c r="BQ176" s="703"/>
      <c r="BR176" s="703"/>
      <c r="BS176" s="703"/>
      <c r="BT176" s="703"/>
      <c r="BU176" s="703"/>
      <c r="BV176" s="703"/>
      <c r="BW176" s="703"/>
      <c r="BX176" s="703"/>
      <c r="BY176" s="703"/>
      <c r="BZ176" s="703"/>
      <c r="CA176" s="703"/>
      <c r="CB176" s="703"/>
      <c r="CC176" s="703"/>
      <c r="CD176" s="703"/>
      <c r="CE176" s="703"/>
      <c r="CF176" s="703"/>
      <c r="CG176" s="703"/>
      <c r="CH176" s="703"/>
      <c r="CI176" s="703"/>
      <c r="CJ176" s="703"/>
      <c r="CK176" s="703"/>
      <c r="CL176" s="703"/>
      <c r="CM176" s="703"/>
      <c r="CN176" s="703"/>
      <c r="CO176" s="703"/>
    </row>
    <row r="177" spans="1:93" s="5" customFormat="1">
      <c r="A177" s="19"/>
      <c r="B177" s="88">
        <f ca="1">MAX(tabellen!$B$1:OFFSET(B177,-1,0))+1</f>
        <v>13</v>
      </c>
      <c r="C177" s="89" t="s">
        <v>333</v>
      </c>
      <c r="D177" s="89"/>
      <c r="E177" s="89" t="s">
        <v>334</v>
      </c>
      <c r="F177" s="122"/>
      <c r="G177" s="123"/>
      <c r="H177" s="123"/>
      <c r="I177" s="123"/>
      <c r="J177" s="123"/>
      <c r="K177" s="123"/>
      <c r="L177" s="123"/>
      <c r="M177" s="123"/>
      <c r="N177" s="123"/>
      <c r="O177" s="123"/>
      <c r="P177" s="123"/>
      <c r="Q177" s="123"/>
      <c r="R177" s="123"/>
      <c r="S177" s="123"/>
      <c r="T177" s="705"/>
      <c r="U177" s="705"/>
      <c r="V177" s="705"/>
      <c r="W177" s="705"/>
      <c r="X177" s="705"/>
      <c r="Y177" s="705"/>
      <c r="Z177" s="705"/>
      <c r="AA177" s="705"/>
      <c r="AB177" s="705"/>
      <c r="AC177" s="705"/>
      <c r="AD177" s="705"/>
      <c r="AE177" s="705"/>
      <c r="AF177" s="705"/>
      <c r="AG177" s="705"/>
      <c r="AH177" s="705"/>
      <c r="AI177" s="705"/>
      <c r="AJ177" s="705"/>
      <c r="AK177" s="705"/>
      <c r="AL177" s="705"/>
      <c r="AM177" s="705"/>
      <c r="AN177" s="705"/>
      <c r="AO177" s="705"/>
      <c r="AP177" s="705"/>
      <c r="AQ177" s="705"/>
      <c r="AR177" s="705"/>
      <c r="AS177" s="705"/>
      <c r="AT177" s="705"/>
      <c r="AU177" s="705"/>
      <c r="AV177" s="705"/>
      <c r="AW177" s="705"/>
      <c r="AX177" s="705"/>
      <c r="AY177" s="705"/>
      <c r="AZ177" s="705"/>
      <c r="BA177" s="705"/>
      <c r="BB177" s="705"/>
      <c r="BC177" s="705"/>
      <c r="BD177" s="705"/>
      <c r="BE177" s="705"/>
      <c r="BF177" s="705"/>
      <c r="BG177" s="705"/>
      <c r="BH177" s="705"/>
      <c r="BI177" s="705"/>
      <c r="BJ177" s="705"/>
      <c r="BK177" s="705"/>
      <c r="BL177" s="705"/>
      <c r="BM177" s="705"/>
      <c r="BN177" s="705"/>
      <c r="BO177" s="705"/>
      <c r="BP177" s="705"/>
      <c r="BQ177" s="705"/>
      <c r="BR177" s="705"/>
      <c r="BS177" s="705"/>
      <c r="BT177" s="705"/>
      <c r="BU177" s="705"/>
      <c r="BV177" s="705"/>
      <c r="BW177" s="705"/>
      <c r="BX177" s="705"/>
      <c r="BY177" s="705"/>
      <c r="BZ177" s="705"/>
      <c r="CA177" s="705"/>
      <c r="CB177" s="705"/>
      <c r="CC177" s="705"/>
      <c r="CD177" s="705"/>
      <c r="CE177" s="705"/>
      <c r="CF177" s="705"/>
      <c r="CG177" s="705"/>
      <c r="CH177" s="705"/>
      <c r="CI177" s="705"/>
      <c r="CJ177" s="705"/>
      <c r="CK177" s="705"/>
      <c r="CL177" s="705"/>
      <c r="CM177" s="705"/>
      <c r="CN177" s="705"/>
      <c r="CO177" s="705"/>
    </row>
    <row r="178" spans="1:93" s="5" customFormat="1">
      <c r="A178" s="19"/>
      <c r="B178" s="120"/>
      <c r="C178" s="57" t="s">
        <v>327</v>
      </c>
      <c r="D178" s="57"/>
      <c r="E178" s="57" t="s">
        <v>204</v>
      </c>
      <c r="F178" s="64"/>
      <c r="G178" s="64">
        <v>1</v>
      </c>
      <c r="H178" s="64">
        <v>2</v>
      </c>
      <c r="I178" s="64">
        <v>3</v>
      </c>
      <c r="J178" s="64">
        <v>4</v>
      </c>
      <c r="K178" s="64">
        <v>5</v>
      </c>
      <c r="L178" s="64">
        <v>6</v>
      </c>
      <c r="M178" s="64">
        <v>7</v>
      </c>
      <c r="N178" s="64">
        <v>8</v>
      </c>
      <c r="O178" s="64">
        <v>9</v>
      </c>
      <c r="P178" s="64">
        <v>10</v>
      </c>
      <c r="Q178" s="64">
        <v>11</v>
      </c>
      <c r="R178" s="64">
        <v>12</v>
      </c>
      <c r="S178" s="64"/>
      <c r="T178" s="705"/>
      <c r="U178" s="705"/>
      <c r="V178" s="705"/>
      <c r="W178" s="705"/>
      <c r="X178" s="705"/>
      <c r="Y178" s="705"/>
      <c r="Z178" s="705"/>
      <c r="AA178" s="705"/>
      <c r="AB178" s="705"/>
      <c r="AC178" s="705"/>
      <c r="AD178" s="705"/>
      <c r="AE178" s="705"/>
      <c r="AF178" s="705"/>
      <c r="AG178" s="705"/>
      <c r="AH178" s="705"/>
      <c r="AI178" s="705"/>
      <c r="AJ178" s="705"/>
      <c r="AK178" s="705"/>
      <c r="AL178" s="705"/>
      <c r="AM178" s="705"/>
      <c r="AN178" s="705"/>
      <c r="AO178" s="705"/>
      <c r="AP178" s="705"/>
      <c r="AQ178" s="705"/>
      <c r="AR178" s="705"/>
      <c r="AS178" s="705"/>
      <c r="AT178" s="705"/>
      <c r="AU178" s="705"/>
      <c r="AV178" s="705"/>
      <c r="AW178" s="705"/>
      <c r="AX178" s="705"/>
      <c r="AY178" s="705"/>
      <c r="AZ178" s="705"/>
      <c r="BA178" s="705"/>
      <c r="BB178" s="705"/>
      <c r="BC178" s="705"/>
      <c r="BD178" s="705"/>
      <c r="BE178" s="705"/>
      <c r="BF178" s="705"/>
      <c r="BG178" s="705"/>
      <c r="BH178" s="705"/>
      <c r="BI178" s="705"/>
      <c r="BJ178" s="705"/>
      <c r="BK178" s="705"/>
      <c r="BL178" s="705"/>
      <c r="BM178" s="705"/>
      <c r="BN178" s="705"/>
      <c r="BO178" s="705"/>
      <c r="BP178" s="705"/>
      <c r="BQ178" s="705"/>
      <c r="BR178" s="705"/>
      <c r="BS178" s="705"/>
      <c r="BT178" s="705"/>
      <c r="BU178" s="705"/>
      <c r="BV178" s="705"/>
      <c r="BW178" s="705"/>
      <c r="BX178" s="705"/>
      <c r="BY178" s="705"/>
      <c r="BZ178" s="705"/>
      <c r="CA178" s="705"/>
      <c r="CB178" s="705"/>
      <c r="CC178" s="705"/>
      <c r="CD178" s="705"/>
      <c r="CE178" s="705"/>
      <c r="CF178" s="705"/>
      <c r="CG178" s="705"/>
      <c r="CH178" s="705"/>
      <c r="CI178" s="705"/>
      <c r="CJ178" s="705"/>
      <c r="CK178" s="705"/>
      <c r="CL178" s="705"/>
      <c r="CM178" s="705"/>
      <c r="CN178" s="705"/>
      <c r="CO178" s="705"/>
    </row>
    <row r="179" spans="1:93" s="5" customFormat="1">
      <c r="A179" s="19"/>
      <c r="B179" s="120"/>
      <c r="C179" s="360" t="s">
        <v>295</v>
      </c>
      <c r="D179" s="351"/>
      <c r="E179" s="351"/>
      <c r="F179" s="351"/>
      <c r="G179" s="351"/>
      <c r="H179" s="351"/>
      <c r="I179" s="351"/>
      <c r="J179" s="351"/>
      <c r="K179" s="351"/>
      <c r="L179" s="351"/>
      <c r="M179" s="351"/>
      <c r="N179" s="351"/>
      <c r="O179" s="351"/>
      <c r="P179" s="351"/>
      <c r="Q179" s="351"/>
      <c r="R179" s="351"/>
      <c r="S179" s="351"/>
    </row>
    <row r="180" spans="1:93">
      <c r="C180" s="353" t="s">
        <v>295</v>
      </c>
      <c r="D180" s="382"/>
      <c r="E180" s="382" t="s">
        <v>132</v>
      </c>
      <c r="F180" s="382"/>
      <c r="G180" s="354" t="s">
        <v>303</v>
      </c>
      <c r="H180" s="354" t="s">
        <v>299</v>
      </c>
      <c r="I180" s="354" t="s">
        <v>300</v>
      </c>
      <c r="J180" s="354" t="s">
        <v>305</v>
      </c>
      <c r="K180" s="354" t="s">
        <v>302</v>
      </c>
      <c r="L180" s="354" t="s">
        <v>301</v>
      </c>
      <c r="M180" s="354" t="s">
        <v>307</v>
      </c>
      <c r="N180" s="354" t="s">
        <v>306</v>
      </c>
      <c r="O180" s="354" t="s">
        <v>304</v>
      </c>
      <c r="P180" s="354" t="s">
        <v>335</v>
      </c>
      <c r="Q180" s="354" t="s">
        <v>297</v>
      </c>
      <c r="R180" s="354" t="s">
        <v>298</v>
      </c>
      <c r="S180" s="383"/>
    </row>
    <row r="181" spans="1:93">
      <c r="C181" s="353" t="s">
        <v>336</v>
      </c>
      <c r="D181" s="382"/>
      <c r="E181" s="382" t="s">
        <v>132</v>
      </c>
      <c r="F181" s="382"/>
      <c r="G181" s="247">
        <v>0</v>
      </c>
      <c r="H181" s="247">
        <v>0</v>
      </c>
      <c r="I181" s="247">
        <v>0</v>
      </c>
      <c r="J181" s="247">
        <v>0</v>
      </c>
      <c r="K181" s="247">
        <v>0</v>
      </c>
      <c r="L181" s="247">
        <v>0</v>
      </c>
      <c r="M181" s="247">
        <v>0</v>
      </c>
      <c r="N181" s="247">
        <v>0</v>
      </c>
      <c r="O181" s="247">
        <v>0</v>
      </c>
      <c r="P181" s="247">
        <v>0</v>
      </c>
      <c r="Q181" s="247">
        <v>1</v>
      </c>
      <c r="R181" s="247">
        <v>1</v>
      </c>
      <c r="S181" s="383"/>
    </row>
    <row r="182" spans="1:93">
      <c r="C182" s="361" t="s">
        <v>337</v>
      </c>
      <c r="D182" s="373"/>
      <c r="E182" s="373"/>
      <c r="F182" s="373"/>
      <c r="G182" s="373"/>
      <c r="H182" s="373"/>
      <c r="I182" s="373"/>
      <c r="J182" s="373"/>
      <c r="K182" s="373"/>
      <c r="L182" s="373"/>
      <c r="M182" s="373"/>
      <c r="N182" s="373"/>
      <c r="O182" s="373"/>
      <c r="P182" s="373"/>
      <c r="Q182" s="373"/>
      <c r="R182" s="373"/>
      <c r="S182" s="373"/>
    </row>
    <row r="183" spans="1:93">
      <c r="C183" s="374" t="s">
        <v>338</v>
      </c>
      <c r="D183" s="363"/>
      <c r="E183" s="363" t="s">
        <v>132</v>
      </c>
      <c r="F183" s="363"/>
      <c r="G183" s="364">
        <v>20.02624802112777</v>
      </c>
      <c r="H183" s="364">
        <v>34.299319075568889</v>
      </c>
      <c r="I183" s="364">
        <v>99.238539082872478</v>
      </c>
      <c r="J183" s="364">
        <v>115.29174231627236</v>
      </c>
      <c r="K183" s="364">
        <v>28.334789816959571</v>
      </c>
      <c r="L183" s="364">
        <v>210.39900805470143</v>
      </c>
      <c r="M183" s="364">
        <v>-4.8408838135743082</v>
      </c>
      <c r="N183" s="364">
        <v>7.0849899417169198</v>
      </c>
      <c r="O183" s="364">
        <v>28.457713739169733</v>
      </c>
      <c r="P183" s="364">
        <v>95.43382554926778</v>
      </c>
      <c r="Q183" s="364">
        <v>38.618000678654255</v>
      </c>
      <c r="R183" s="364">
        <v>38.618000678654255</v>
      </c>
      <c r="S183" s="365"/>
    </row>
    <row r="184" spans="1:93">
      <c r="C184" s="375" t="s">
        <v>339</v>
      </c>
      <c r="D184" s="90"/>
      <c r="E184" s="90" t="s">
        <v>132</v>
      </c>
      <c r="F184" s="90"/>
      <c r="G184" s="367">
        <v>9.52567904300804</v>
      </c>
      <c r="H184" s="367">
        <v>23.87782493378424</v>
      </c>
      <c r="I184" s="367">
        <v>72.364083093398477</v>
      </c>
      <c r="J184" s="367">
        <v>78.530280213664923</v>
      </c>
      <c r="K184" s="367">
        <v>19.236017161415674</v>
      </c>
      <c r="L184" s="367">
        <v>137.55524515109298</v>
      </c>
      <c r="M184" s="367">
        <v>-7.1028695637824342</v>
      </c>
      <c r="N184" s="367">
        <v>3.45653472641132</v>
      </c>
      <c r="O184" s="367">
        <v>17.078579347364979</v>
      </c>
      <c r="P184" s="367">
        <v>58.61615397074381</v>
      </c>
      <c r="Q184" s="367">
        <v>27.193193282936754</v>
      </c>
      <c r="R184" s="367">
        <v>27.193193282936754</v>
      </c>
      <c r="S184" s="368"/>
    </row>
    <row r="185" spans="1:93">
      <c r="C185" s="375" t="s">
        <v>340</v>
      </c>
      <c r="D185" s="90"/>
      <c r="E185" s="90" t="s">
        <v>132</v>
      </c>
      <c r="F185" s="90"/>
      <c r="G185" s="367">
        <v>21.031177181891309</v>
      </c>
      <c r="H185" s="367">
        <v>35.214150027511238</v>
      </c>
      <c r="I185" s="367">
        <v>105.43887641220431</v>
      </c>
      <c r="J185" s="367">
        <v>122.08817166164043</v>
      </c>
      <c r="K185" s="367">
        <v>29.999184977975034</v>
      </c>
      <c r="L185" s="367">
        <v>223.40062500648355</v>
      </c>
      <c r="M185" s="367">
        <v>-4.5272159456650769</v>
      </c>
      <c r="N185" s="367">
        <v>7.4321209412760112</v>
      </c>
      <c r="O185" s="367">
        <v>30.104415901497418</v>
      </c>
      <c r="P185" s="367">
        <v>98.623504811545331</v>
      </c>
      <c r="Q185" s="367">
        <v>31.078098740325309</v>
      </c>
      <c r="R185" s="367">
        <v>31.078098740325309</v>
      </c>
      <c r="S185" s="368"/>
    </row>
    <row r="186" spans="1:93">
      <c r="C186" s="375" t="s">
        <v>341</v>
      </c>
      <c r="D186" s="90"/>
      <c r="E186" s="90" t="s">
        <v>132</v>
      </c>
      <c r="F186" s="90"/>
      <c r="G186" s="367">
        <v>3.7656737014058024</v>
      </c>
      <c r="H186" s="367">
        <v>19.034825981059939</v>
      </c>
      <c r="I186" s="367">
        <v>60.561957723059706</v>
      </c>
      <c r="J186" s="367">
        <v>62.927997035313709</v>
      </c>
      <c r="K186" s="367">
        <v>12.920536292784149</v>
      </c>
      <c r="L186" s="367">
        <v>107.06982036845993</v>
      </c>
      <c r="M186" s="367">
        <v>-9.562529305467848</v>
      </c>
      <c r="N186" s="367">
        <v>1.2868078741757643</v>
      </c>
      <c r="O186" s="367">
        <v>10.9250587432809</v>
      </c>
      <c r="P186" s="367">
        <v>44.915493827763981</v>
      </c>
      <c r="Q186" s="367">
        <v>17.129376136264504</v>
      </c>
      <c r="R186" s="367">
        <v>17.129376136264504</v>
      </c>
      <c r="S186" s="368"/>
    </row>
    <row r="187" spans="1:93">
      <c r="C187" s="375" t="s">
        <v>342</v>
      </c>
      <c r="D187" s="90"/>
      <c r="E187" s="90" t="s">
        <v>132</v>
      </c>
      <c r="F187" s="90"/>
      <c r="G187" s="367">
        <v>-6.6368470821465309</v>
      </c>
      <c r="H187" s="367">
        <v>8.5597865010770846</v>
      </c>
      <c r="I187" s="367">
        <v>34.108153675656325</v>
      </c>
      <c r="J187" s="367">
        <v>31.001592247959735</v>
      </c>
      <c r="K187" s="367">
        <v>3.0285314796346654</v>
      </c>
      <c r="L187" s="367">
        <v>46.136876209029381</v>
      </c>
      <c r="M187" s="367">
        <v>-12.722521250442561</v>
      </c>
      <c r="N187" s="367">
        <v>-2.770835937063822</v>
      </c>
      <c r="O187" s="367">
        <v>-0.67502154038665196</v>
      </c>
      <c r="P187" s="367">
        <v>13.559708494520848</v>
      </c>
      <c r="Q187" s="367">
        <v>12.991997402090661</v>
      </c>
      <c r="R187" s="367">
        <v>12.991997402090661</v>
      </c>
      <c r="S187" s="368"/>
    </row>
    <row r="188" spans="1:93">
      <c r="C188" s="376" t="s">
        <v>343</v>
      </c>
      <c r="D188" s="370"/>
      <c r="E188" s="370" t="s">
        <v>132</v>
      </c>
      <c r="F188" s="370"/>
      <c r="G188" s="371">
        <v>-13.362062493078682</v>
      </c>
      <c r="H188" s="371">
        <v>1.4927114817000984</v>
      </c>
      <c r="I188" s="371">
        <v>14.349149127815622</v>
      </c>
      <c r="J188" s="371">
        <v>4.1706230671210562</v>
      </c>
      <c r="K188" s="371">
        <v>-4.2705683574542945</v>
      </c>
      <c r="L188" s="371">
        <v>-2.3828016998972288</v>
      </c>
      <c r="M188" s="371">
        <v>-14.497795703970617</v>
      </c>
      <c r="N188" s="371">
        <v>-5.3881804566461255</v>
      </c>
      <c r="O188" s="371">
        <v>-8.3804727328037671</v>
      </c>
      <c r="P188" s="371">
        <v>-8.3106421557668995</v>
      </c>
      <c r="Q188" s="371">
        <v>-3.3046064480529935E-2</v>
      </c>
      <c r="R188" s="371">
        <v>-3.3046064480529935E-2</v>
      </c>
      <c r="S188" s="372"/>
    </row>
    <row r="189" spans="1:93">
      <c r="C189" s="361" t="s">
        <v>344</v>
      </c>
      <c r="D189" s="373"/>
      <c r="E189" s="373"/>
      <c r="F189" s="373"/>
      <c r="G189" s="373"/>
      <c r="H189" s="373"/>
      <c r="I189" s="373"/>
      <c r="J189" s="373"/>
      <c r="K189" s="373"/>
      <c r="L189" s="373"/>
      <c r="M189" s="373"/>
      <c r="N189" s="373"/>
      <c r="O189" s="373"/>
      <c r="P189" s="373"/>
      <c r="Q189" s="373"/>
      <c r="R189" s="373"/>
      <c r="S189" s="373"/>
    </row>
    <row r="190" spans="1:93">
      <c r="C190" s="362" t="str">
        <f>C$183</f>
        <v>natuurlijk (A)</v>
      </c>
      <c r="D190" s="363"/>
      <c r="E190" s="363" t="s">
        <v>132</v>
      </c>
      <c r="F190" s="363"/>
      <c r="G190" s="364">
        <v>60.890304562418386</v>
      </c>
      <c r="H190" s="364">
        <v>56.364740551833776</v>
      </c>
      <c r="I190" s="364">
        <v>50.464380048703227</v>
      </c>
      <c r="J190" s="364">
        <v>56.677173131618574</v>
      </c>
      <c r="K190" s="364">
        <v>50.832439261165149</v>
      </c>
      <c r="L190" s="364">
        <v>79.486416894931693</v>
      </c>
      <c r="M190" s="364">
        <v>49.75579684605394</v>
      </c>
      <c r="N190" s="364">
        <v>41.074889733365602</v>
      </c>
      <c r="O190" s="364">
        <v>56.946268597030389</v>
      </c>
      <c r="P190" s="364">
        <v>91.170001947107465</v>
      </c>
      <c r="Q190" s="364">
        <v>47.965745868732967</v>
      </c>
      <c r="R190" s="364">
        <v>47.965745868732967</v>
      </c>
      <c r="S190" s="365"/>
    </row>
    <row r="191" spans="1:93">
      <c r="C191" s="366" t="str">
        <f>C$184</f>
        <v>mech (B1)</v>
      </c>
      <c r="D191" s="90"/>
      <c r="E191" s="90" t="s">
        <v>132</v>
      </c>
      <c r="F191" s="90"/>
      <c r="G191" s="367">
        <v>59.915825704111938</v>
      </c>
      <c r="H191" s="367">
        <v>56.94419094567975</v>
      </c>
      <c r="I191" s="367">
        <v>51.889475543372086</v>
      </c>
      <c r="J191" s="367">
        <v>58.425436541590116</v>
      </c>
      <c r="K191" s="367">
        <v>50.256302365288498</v>
      </c>
      <c r="L191" s="367">
        <v>78.306915374465262</v>
      </c>
      <c r="M191" s="367">
        <v>49.740154080090548</v>
      </c>
      <c r="N191" s="367">
        <v>38.958890594680099</v>
      </c>
      <c r="O191" s="367">
        <v>57.498399242961234</v>
      </c>
      <c r="P191" s="367">
        <v>84.299225262747342</v>
      </c>
      <c r="Q191" s="367">
        <v>48.257822583944943</v>
      </c>
      <c r="R191" s="367">
        <v>48.257822583944943</v>
      </c>
      <c r="S191" s="368"/>
    </row>
    <row r="192" spans="1:93">
      <c r="C192" s="366" t="str">
        <f>C$185</f>
        <v>mech (C1)</v>
      </c>
      <c r="D192" s="90"/>
      <c r="E192" s="90" t="s">
        <v>132</v>
      </c>
      <c r="F192" s="90"/>
      <c r="G192" s="367">
        <v>61.986908894271721</v>
      </c>
      <c r="H192" s="367">
        <v>56.779231444989939</v>
      </c>
      <c r="I192" s="367">
        <v>52.429789388320209</v>
      </c>
      <c r="J192" s="367">
        <v>57.307902334110267</v>
      </c>
      <c r="K192" s="367">
        <v>52.165146234611761</v>
      </c>
      <c r="L192" s="367">
        <v>80.021376690459789</v>
      </c>
      <c r="M192" s="367">
        <v>50.788113245370702</v>
      </c>
      <c r="N192" s="367">
        <v>40.880166144206001</v>
      </c>
      <c r="O192" s="367">
        <v>57.987805076177374</v>
      </c>
      <c r="P192" s="367">
        <v>91.59141642154934</v>
      </c>
      <c r="Q192" s="367">
        <v>44.133463424115213</v>
      </c>
      <c r="R192" s="367">
        <v>44.133463424115213</v>
      </c>
      <c r="S192" s="368"/>
    </row>
    <row r="193" spans="1:19">
      <c r="C193" s="366" t="str">
        <f>C$186</f>
        <v>mech - CO2 (C4c)</v>
      </c>
      <c r="D193" s="90"/>
      <c r="E193" s="90" t="s">
        <v>132</v>
      </c>
      <c r="F193" s="90"/>
      <c r="G193" s="367">
        <v>60.018552280311589</v>
      </c>
      <c r="H193" s="367">
        <v>55.698019976783549</v>
      </c>
      <c r="I193" s="367">
        <v>51.679954416405891</v>
      </c>
      <c r="J193" s="367">
        <v>57.333562679452534</v>
      </c>
      <c r="K193" s="367">
        <v>51.568033144630029</v>
      </c>
      <c r="L193" s="367">
        <v>79.583059845107954</v>
      </c>
      <c r="M193" s="367">
        <v>49.652580414407957</v>
      </c>
      <c r="N193" s="367">
        <v>37.096042134290258</v>
      </c>
      <c r="O193" s="367">
        <v>57.868905796347946</v>
      </c>
      <c r="P193" s="367">
        <v>83.747304189215512</v>
      </c>
      <c r="Q193" s="367">
        <v>43.659344891707278</v>
      </c>
      <c r="R193" s="367">
        <v>43.659344891707278</v>
      </c>
      <c r="S193" s="368"/>
    </row>
    <row r="194" spans="1:19">
      <c r="C194" s="366" t="str">
        <f>C$187</f>
        <v>balans (D1)</v>
      </c>
      <c r="D194" s="90"/>
      <c r="E194" s="90" t="s">
        <v>132</v>
      </c>
      <c r="F194" s="90"/>
      <c r="G194" s="367">
        <v>57.539511163381086</v>
      </c>
      <c r="H194" s="367">
        <v>54.039779048480767</v>
      </c>
      <c r="I194" s="367">
        <v>51.020620542936136</v>
      </c>
      <c r="J194" s="367">
        <v>56.295605134855123</v>
      </c>
      <c r="K194" s="367">
        <v>50.80847518085411</v>
      </c>
      <c r="L194" s="367">
        <v>73.986489123682261</v>
      </c>
      <c r="M194" s="367">
        <v>49.292760674693064</v>
      </c>
      <c r="N194" s="367">
        <v>33.916232527432193</v>
      </c>
      <c r="O194" s="367">
        <v>57.053006555355765</v>
      </c>
      <c r="P194" s="367">
        <v>74.189954146507105</v>
      </c>
      <c r="Q194" s="367">
        <v>43.099152864230959</v>
      </c>
      <c r="R194" s="367">
        <v>43.099152864230959</v>
      </c>
      <c r="S194" s="368"/>
    </row>
    <row r="195" spans="1:19">
      <c r="C195" s="369" t="str">
        <f>C$188</f>
        <v>balans CO2 (D5a)</v>
      </c>
      <c r="D195" s="370"/>
      <c r="E195" s="370" t="s">
        <v>132</v>
      </c>
      <c r="F195" s="370"/>
      <c r="G195" s="371">
        <v>56.73803461519001</v>
      </c>
      <c r="H195" s="371">
        <v>53.668539374155515</v>
      </c>
      <c r="I195" s="371">
        <v>50.429650090418484</v>
      </c>
      <c r="J195" s="371">
        <v>56.375113101751076</v>
      </c>
      <c r="K195" s="371">
        <v>50.635052414036558</v>
      </c>
      <c r="L195" s="371">
        <v>72.003840447649011</v>
      </c>
      <c r="M195" s="371">
        <v>48.660005331934165</v>
      </c>
      <c r="N195" s="371">
        <v>32.72634939850245</v>
      </c>
      <c r="O195" s="371">
        <v>56.295960698907777</v>
      </c>
      <c r="P195" s="371">
        <v>70.040062654962028</v>
      </c>
      <c r="Q195" s="371">
        <v>48.298423583368368</v>
      </c>
      <c r="R195" s="371">
        <v>48.298423583368368</v>
      </c>
      <c r="S195" s="372"/>
    </row>
    <row r="196" spans="1:19">
      <c r="C196" s="361" t="s">
        <v>345</v>
      </c>
      <c r="D196" s="373"/>
      <c r="E196" s="373"/>
      <c r="F196" s="373"/>
      <c r="G196" s="373"/>
      <c r="H196" s="373"/>
      <c r="I196" s="373"/>
      <c r="J196" s="373"/>
      <c r="K196" s="373"/>
      <c r="L196" s="373"/>
      <c r="M196" s="373"/>
      <c r="N196" s="373"/>
      <c r="O196" s="373"/>
      <c r="P196" s="373"/>
      <c r="Q196" s="373"/>
      <c r="R196" s="373"/>
      <c r="S196" s="373"/>
    </row>
    <row r="197" spans="1:19">
      <c r="C197" s="362" t="str">
        <f>C$183</f>
        <v>natuurlijk (A)</v>
      </c>
      <c r="D197" s="363"/>
      <c r="E197" s="363" t="s">
        <v>132</v>
      </c>
      <c r="F197" s="363"/>
      <c r="G197" s="364">
        <v>0.95</v>
      </c>
      <c r="H197" s="364">
        <v>1</v>
      </c>
      <c r="I197" s="364">
        <v>1.1100000000000001</v>
      </c>
      <c r="J197" s="364">
        <v>0.95</v>
      </c>
      <c r="K197" s="364">
        <v>1.1499999999999999</v>
      </c>
      <c r="L197" s="364">
        <v>0.9</v>
      </c>
      <c r="M197" s="364">
        <v>1.2</v>
      </c>
      <c r="N197" s="364">
        <v>0.79</v>
      </c>
      <c r="O197" s="364">
        <v>1.1000000000000001</v>
      </c>
      <c r="P197" s="364">
        <v>0.14000000000000001</v>
      </c>
      <c r="Q197" s="364">
        <v>0.82</v>
      </c>
      <c r="R197" s="364">
        <v>0.82</v>
      </c>
      <c r="S197" s="365"/>
    </row>
    <row r="198" spans="1:19">
      <c r="C198" s="366" t="str">
        <f>C$184</f>
        <v>mech (B1)</v>
      </c>
      <c r="D198" s="90"/>
      <c r="E198" s="90" t="s">
        <v>132</v>
      </c>
      <c r="F198" s="90"/>
      <c r="G198" s="367">
        <v>0.99</v>
      </c>
      <c r="H198" s="367">
        <v>1.01</v>
      </c>
      <c r="I198" s="367">
        <v>1.1000000000000001</v>
      </c>
      <c r="J198" s="367">
        <v>0.94</v>
      </c>
      <c r="K198" s="367">
        <v>1.17</v>
      </c>
      <c r="L198" s="367">
        <v>0.97</v>
      </c>
      <c r="M198" s="367">
        <v>1.2</v>
      </c>
      <c r="N198" s="367">
        <v>0.86</v>
      </c>
      <c r="O198" s="367">
        <v>1.1000000000000001</v>
      </c>
      <c r="P198" s="367">
        <v>0.53</v>
      </c>
      <c r="Q198" s="367">
        <v>0.84</v>
      </c>
      <c r="R198" s="367">
        <v>0.84</v>
      </c>
      <c r="S198" s="368"/>
    </row>
    <row r="199" spans="1:19">
      <c r="C199" s="366" t="str">
        <f>C$185</f>
        <v>mech (C1)</v>
      </c>
      <c r="D199" s="90"/>
      <c r="E199" s="90" t="s">
        <v>132</v>
      </c>
      <c r="F199" s="90"/>
      <c r="G199" s="367">
        <v>0.94</v>
      </c>
      <c r="H199" s="367">
        <v>1</v>
      </c>
      <c r="I199" s="367">
        <v>1.08</v>
      </c>
      <c r="J199" s="367">
        <v>0.95</v>
      </c>
      <c r="K199" s="367">
        <v>1.1299999999999999</v>
      </c>
      <c r="L199" s="367">
        <v>0.92</v>
      </c>
      <c r="M199" s="367">
        <v>1.18</v>
      </c>
      <c r="N199" s="367">
        <v>0.8</v>
      </c>
      <c r="O199" s="367">
        <v>1.0900000000000001</v>
      </c>
      <c r="P199" s="367">
        <v>0.21</v>
      </c>
      <c r="Q199" s="367">
        <v>1.01</v>
      </c>
      <c r="R199" s="367">
        <v>1.01</v>
      </c>
      <c r="S199" s="368"/>
    </row>
    <row r="200" spans="1:19">
      <c r="C200" s="366" t="str">
        <f>C$186</f>
        <v>mech - CO2 (C4c)</v>
      </c>
      <c r="D200" s="90"/>
      <c r="E200" s="90" t="s">
        <v>132</v>
      </c>
      <c r="F200" s="90"/>
      <c r="G200" s="367">
        <v>0.98</v>
      </c>
      <c r="H200" s="367">
        <v>1.03</v>
      </c>
      <c r="I200" s="367">
        <v>1.1000000000000001</v>
      </c>
      <c r="J200" s="367">
        <v>0.96</v>
      </c>
      <c r="K200" s="367">
        <v>1.1399999999999999</v>
      </c>
      <c r="L200" s="367">
        <v>0.95</v>
      </c>
      <c r="M200" s="367">
        <v>1.2</v>
      </c>
      <c r="N200" s="367">
        <v>0.91</v>
      </c>
      <c r="O200" s="367">
        <v>1.0900000000000001</v>
      </c>
      <c r="P200" s="367">
        <v>0.53</v>
      </c>
      <c r="Q200" s="367">
        <v>1.04</v>
      </c>
      <c r="R200" s="367">
        <v>1.04</v>
      </c>
      <c r="S200" s="368"/>
    </row>
    <row r="201" spans="1:19">
      <c r="C201" s="366" t="str">
        <f>C$187</f>
        <v>balans (D1)</v>
      </c>
      <c r="D201" s="90"/>
      <c r="E201" s="90" t="s">
        <v>132</v>
      </c>
      <c r="F201" s="90"/>
      <c r="G201" s="367">
        <v>1.03</v>
      </c>
      <c r="H201" s="367">
        <v>1.07</v>
      </c>
      <c r="I201" s="367">
        <v>1.1100000000000001</v>
      </c>
      <c r="J201" s="367">
        <v>0.97</v>
      </c>
      <c r="K201" s="367">
        <v>1.1499999999999999</v>
      </c>
      <c r="L201" s="367">
        <v>1.04</v>
      </c>
      <c r="M201" s="367">
        <v>1.2</v>
      </c>
      <c r="N201" s="367">
        <v>1.01</v>
      </c>
      <c r="O201" s="367">
        <v>1.1000000000000001</v>
      </c>
      <c r="P201" s="367">
        <v>0.82</v>
      </c>
      <c r="Q201" s="367">
        <v>1.06</v>
      </c>
      <c r="R201" s="367">
        <v>1.06</v>
      </c>
      <c r="S201" s="368"/>
    </row>
    <row r="202" spans="1:19">
      <c r="C202" s="369" t="str">
        <f>C$188</f>
        <v>balans CO2 (D5a)</v>
      </c>
      <c r="D202" s="370"/>
      <c r="E202" s="370"/>
      <c r="F202" s="370"/>
      <c r="G202" s="371">
        <v>1.04</v>
      </c>
      <c r="H202" s="371">
        <v>1.08</v>
      </c>
      <c r="I202" s="371">
        <v>1.1200000000000001</v>
      </c>
      <c r="J202" s="371">
        <v>0.97</v>
      </c>
      <c r="K202" s="371">
        <v>1.1499999999999999</v>
      </c>
      <c r="L202" s="371">
        <v>1.06</v>
      </c>
      <c r="M202" s="371">
        <v>1.21</v>
      </c>
      <c r="N202" s="371">
        <v>1.05</v>
      </c>
      <c r="O202" s="371">
        <v>1.1100000000000001</v>
      </c>
      <c r="P202" s="371">
        <v>0.94</v>
      </c>
      <c r="Q202" s="371">
        <v>0.86</v>
      </c>
      <c r="R202" s="371">
        <v>0.86</v>
      </c>
      <c r="S202" s="372"/>
    </row>
    <row r="203" spans="1:19" s="349" customFormat="1">
      <c r="A203" s="346"/>
      <c r="B203" s="347"/>
      <c r="C203" s="377" t="s">
        <v>346</v>
      </c>
      <c r="D203" s="377"/>
      <c r="E203" s="377"/>
      <c r="F203" s="377"/>
      <c r="G203" s="377"/>
      <c r="H203" s="377"/>
      <c r="I203" s="377"/>
      <c r="J203" s="377"/>
      <c r="K203" s="377"/>
      <c r="L203" s="377"/>
      <c r="M203" s="377"/>
      <c r="N203" s="377"/>
      <c r="O203" s="377"/>
      <c r="P203" s="377"/>
      <c r="Q203" s="377"/>
      <c r="R203" s="377"/>
      <c r="S203" s="377"/>
    </row>
    <row r="204" spans="1:19" s="349" customFormat="1">
      <c r="A204" s="346"/>
      <c r="B204" s="347"/>
      <c r="C204" s="348" t="s">
        <v>347</v>
      </c>
      <c r="D204" s="348"/>
      <c r="E204" s="348"/>
      <c r="F204" s="348"/>
      <c r="G204" s="348"/>
      <c r="H204" s="348"/>
      <c r="I204" s="348"/>
      <c r="J204" s="348"/>
      <c r="K204" s="348"/>
      <c r="L204" s="348"/>
      <c r="M204" s="348"/>
      <c r="N204" s="348"/>
      <c r="O204" s="348"/>
      <c r="P204" s="348"/>
      <c r="Q204" s="348"/>
      <c r="R204" s="348"/>
      <c r="S204" s="348"/>
    </row>
    <row r="205" spans="1:19">
      <c r="C205" s="345"/>
      <c r="D205" s="341"/>
      <c r="E205" s="341"/>
      <c r="F205" s="342"/>
      <c r="G205" s="342"/>
      <c r="H205" s="342"/>
      <c r="I205" s="342"/>
      <c r="J205" s="342"/>
      <c r="K205" s="342"/>
      <c r="L205" s="342"/>
      <c r="M205" s="342"/>
      <c r="N205" s="342"/>
      <c r="O205" s="342"/>
      <c r="P205" s="342"/>
      <c r="Q205" s="342"/>
      <c r="R205" s="342"/>
      <c r="S205" s="342"/>
    </row>
    <row r="206" spans="1:19" s="5" customFormat="1">
      <c r="A206" s="19"/>
      <c r="B206" s="88">
        <f ca="1">MAX(tabellen!$B$1:OFFSET(B206,-1,0))+1</f>
        <v>14</v>
      </c>
      <c r="C206" s="89" t="s">
        <v>348</v>
      </c>
      <c r="D206" s="89"/>
      <c r="E206" s="89" t="s">
        <v>334</v>
      </c>
      <c r="F206" s="122"/>
      <c r="G206" s="123"/>
      <c r="H206" s="123"/>
      <c r="I206" s="123"/>
      <c r="J206" s="123"/>
      <c r="K206" s="123"/>
      <c r="L206" s="123"/>
      <c r="M206" s="123"/>
      <c r="N206" s="123"/>
      <c r="O206" s="123"/>
      <c r="P206" s="123"/>
      <c r="Q206" s="123"/>
      <c r="R206" s="123"/>
      <c r="S206" s="123"/>
    </row>
    <row r="207" spans="1:19" s="5" customFormat="1">
      <c r="A207" s="19"/>
      <c r="B207" s="120"/>
      <c r="C207" s="57" t="s">
        <v>327</v>
      </c>
      <c r="D207" s="57"/>
      <c r="E207" s="57" t="s">
        <v>204</v>
      </c>
      <c r="F207" s="64"/>
      <c r="G207" s="64">
        <v>1</v>
      </c>
      <c r="H207" s="64">
        <v>2</v>
      </c>
      <c r="I207" s="64">
        <v>3</v>
      </c>
      <c r="J207" s="64">
        <v>4</v>
      </c>
      <c r="K207" s="64">
        <v>5</v>
      </c>
      <c r="L207" s="64">
        <v>6</v>
      </c>
      <c r="M207" s="64">
        <v>7</v>
      </c>
      <c r="N207" s="64">
        <v>8</v>
      </c>
      <c r="O207" s="64">
        <v>9</v>
      </c>
      <c r="P207" s="64">
        <v>10</v>
      </c>
      <c r="Q207" s="64">
        <v>11</v>
      </c>
      <c r="R207" s="64">
        <v>12</v>
      </c>
      <c r="S207" s="64"/>
    </row>
    <row r="208" spans="1:19" s="5" customFormat="1">
      <c r="A208" s="19"/>
      <c r="B208" s="120"/>
      <c r="C208" s="360" t="s">
        <v>295</v>
      </c>
      <c r="D208" s="351"/>
      <c r="E208" s="351"/>
      <c r="F208" s="351"/>
      <c r="G208" s="351"/>
      <c r="H208" s="351"/>
      <c r="I208" s="351"/>
      <c r="J208" s="351"/>
      <c r="K208" s="351"/>
      <c r="L208" s="351"/>
      <c r="M208" s="351"/>
      <c r="N208" s="351"/>
      <c r="O208" s="351"/>
      <c r="P208" s="351"/>
      <c r="Q208" s="351"/>
      <c r="R208" s="351"/>
      <c r="S208" s="351"/>
    </row>
    <row r="209" spans="3:19">
      <c r="C209" s="353" t="s">
        <v>295</v>
      </c>
      <c r="D209" s="382"/>
      <c r="E209" s="382" t="s">
        <v>132</v>
      </c>
      <c r="F209" s="382"/>
      <c r="G209" s="388" t="str">
        <f>G$180</f>
        <v>kantoor</v>
      </c>
      <c r="H209" s="388" t="str">
        <f t="shared" ref="H209:R209" si="29">H$180</f>
        <v>bijeenkomst overig</v>
      </c>
      <c r="I209" s="388" t="str">
        <f t="shared" si="29"/>
        <v>bijeenkomst kinderopvang</v>
      </c>
      <c r="J209" s="388" t="str">
        <f t="shared" si="29"/>
        <v>onderwijs</v>
      </c>
      <c r="K209" s="388" t="str">
        <f t="shared" si="29"/>
        <v>gezondheid overig</v>
      </c>
      <c r="L209" s="388" t="str">
        <f t="shared" si="29"/>
        <v>gezondheid met bed</v>
      </c>
      <c r="M209" s="388" t="str">
        <f t="shared" si="29"/>
        <v>winkel</v>
      </c>
      <c r="N209" s="388" t="str">
        <f t="shared" si="29"/>
        <v>sport</v>
      </c>
      <c r="O209" s="388" t="str">
        <f t="shared" si="29"/>
        <v>logies</v>
      </c>
      <c r="P209" s="388" t="str">
        <f t="shared" si="29"/>
        <v>cellengebouw</v>
      </c>
      <c r="Q209" s="388" t="str">
        <f t="shared" si="29"/>
        <v>woning</v>
      </c>
      <c r="R209" s="388" t="str">
        <f t="shared" si="29"/>
        <v>woongebouw</v>
      </c>
      <c r="S209" s="383"/>
    </row>
    <row r="210" spans="3:19">
      <c r="C210" s="361" t="s">
        <v>337</v>
      </c>
      <c r="D210" s="373"/>
      <c r="E210" s="373"/>
      <c r="F210" s="373"/>
      <c r="G210" s="373"/>
      <c r="H210" s="373"/>
      <c r="I210" s="373"/>
      <c r="J210" s="373"/>
      <c r="K210" s="373"/>
      <c r="L210" s="373"/>
      <c r="M210" s="373"/>
      <c r="N210" s="373"/>
      <c r="O210" s="373"/>
      <c r="P210" s="373"/>
      <c r="Q210" s="373"/>
      <c r="R210" s="373"/>
      <c r="S210" s="373"/>
    </row>
    <row r="211" spans="3:19">
      <c r="C211" s="362" t="str">
        <f>C$183</f>
        <v>natuurlijk (A)</v>
      </c>
      <c r="D211" s="363"/>
      <c r="E211" s="363" t="s">
        <v>132</v>
      </c>
      <c r="F211" s="363"/>
      <c r="G211" s="364">
        <v>18.319774857455897</v>
      </c>
      <c r="H211" s="364">
        <v>3.0749216257882126</v>
      </c>
      <c r="I211" s="364">
        <v>-1.5903919785816769</v>
      </c>
      <c r="J211" s="364">
        <v>11.12058055594961</v>
      </c>
      <c r="K211" s="364">
        <v>0.90733018840969493</v>
      </c>
      <c r="L211" s="364">
        <v>-150.31633008361669</v>
      </c>
      <c r="M211" s="364">
        <v>-3.75387488955778</v>
      </c>
      <c r="N211" s="364">
        <v>-10.64622830954076</v>
      </c>
      <c r="O211" s="364">
        <v>1.4946876153652167</v>
      </c>
      <c r="P211" s="364">
        <v>3.4089110591960319</v>
      </c>
      <c r="Q211" s="364">
        <v>-4.7243717931199924</v>
      </c>
      <c r="R211" s="364">
        <v>-4.7243717931199924</v>
      </c>
      <c r="S211" s="365"/>
    </row>
    <row r="212" spans="3:19">
      <c r="C212" s="366" t="str">
        <f>C$184</f>
        <v>mech (B1)</v>
      </c>
      <c r="D212" s="90"/>
      <c r="E212" s="90" t="s">
        <v>132</v>
      </c>
      <c r="F212" s="90"/>
      <c r="G212" s="367">
        <v>26.747953283151158</v>
      </c>
      <c r="H212" s="367">
        <v>2.2485496876942932</v>
      </c>
      <c r="I212" s="367">
        <v>1.3860159839577619</v>
      </c>
      <c r="J212" s="367">
        <v>8.753100874692338</v>
      </c>
      <c r="K212" s="367">
        <v>15.397749152968986</v>
      </c>
      <c r="L212" s="367">
        <v>119.9977787822656</v>
      </c>
      <c r="M212" s="367">
        <v>-2.054147622725683</v>
      </c>
      <c r="N212" s="367">
        <v>-7.9800280684966349</v>
      </c>
      <c r="O212" s="367">
        <v>1.6525168946894606</v>
      </c>
      <c r="P212" s="367">
        <v>14.085589185932729</v>
      </c>
      <c r="Q212" s="367">
        <v>-4.1337838731656138</v>
      </c>
      <c r="R212" s="367">
        <v>-4.1337838731656138</v>
      </c>
      <c r="S212" s="368"/>
    </row>
    <row r="213" spans="3:19">
      <c r="C213" s="366" t="str">
        <f>C$185</f>
        <v>mech (C1)</v>
      </c>
      <c r="D213" s="90"/>
      <c r="E213" s="90" t="s">
        <v>132</v>
      </c>
      <c r="F213" s="90"/>
      <c r="G213" s="367">
        <v>-19.199694690381449</v>
      </c>
      <c r="H213" s="367">
        <v>-52.894573595272448</v>
      </c>
      <c r="I213" s="367">
        <v>0.24716480614372038</v>
      </c>
      <c r="J213" s="367">
        <v>-21.207330746852339</v>
      </c>
      <c r="K213" s="367">
        <v>-1.732414715710453</v>
      </c>
      <c r="L213" s="367">
        <v>-5.29581766753574</v>
      </c>
      <c r="M213" s="367">
        <v>-4.3148308386685219</v>
      </c>
      <c r="N213" s="367">
        <v>-27.66259662121432</v>
      </c>
      <c r="O213" s="367">
        <v>1.1065250620956433</v>
      </c>
      <c r="P213" s="367">
        <v>109.29731060490685</v>
      </c>
      <c r="Q213" s="367">
        <v>-3.4826208736148931</v>
      </c>
      <c r="R213" s="367">
        <v>-3.4826208736148931</v>
      </c>
      <c r="S213" s="368"/>
    </row>
    <row r="214" spans="3:19">
      <c r="C214" s="366" t="str">
        <f>C$186</f>
        <v>mech - CO2 (C4c)</v>
      </c>
      <c r="D214" s="90"/>
      <c r="E214" s="90" t="s">
        <v>132</v>
      </c>
      <c r="F214" s="90"/>
      <c r="G214" s="367">
        <v>82.161180469601803</v>
      </c>
      <c r="H214" s="367">
        <v>0.34427200419514437</v>
      </c>
      <c r="I214" s="367">
        <v>-2.4189689787422868</v>
      </c>
      <c r="J214" s="367">
        <v>7.2027522713055721</v>
      </c>
      <c r="K214" s="367">
        <v>24.572893553104624</v>
      </c>
      <c r="L214" s="367">
        <v>-121.2514245240061</v>
      </c>
      <c r="M214" s="367">
        <v>-2.9385454319619004</v>
      </c>
      <c r="N214" s="367">
        <v>6.4097074515305117</v>
      </c>
      <c r="O214" s="367">
        <v>-2.2725640864719292</v>
      </c>
      <c r="P214" s="367">
        <v>45.348381122880483</v>
      </c>
      <c r="Q214" s="367">
        <v>-4.9458582652064038</v>
      </c>
      <c r="R214" s="367">
        <v>-4.9458582652064038</v>
      </c>
      <c r="S214" s="368"/>
    </row>
    <row r="215" spans="3:19">
      <c r="C215" s="366" t="str">
        <f>C$187</f>
        <v>balans (D1)</v>
      </c>
      <c r="D215" s="90"/>
      <c r="E215" s="90" t="s">
        <v>132</v>
      </c>
      <c r="F215" s="90"/>
      <c r="G215" s="367">
        <v>73.742064730761456</v>
      </c>
      <c r="H215" s="367">
        <v>0.69467669389043341</v>
      </c>
      <c r="I215" s="367">
        <v>-32.092319688427956</v>
      </c>
      <c r="J215" s="367">
        <v>-6.3905627698378886</v>
      </c>
      <c r="K215" s="367">
        <v>-32.9632013419995</v>
      </c>
      <c r="L215" s="367">
        <v>446.04552484680482</v>
      </c>
      <c r="M215" s="367">
        <v>1.1214672497220111</v>
      </c>
      <c r="N215" s="367">
        <v>4.0935123878262587</v>
      </c>
      <c r="O215" s="367">
        <v>2.0170200393548208</v>
      </c>
      <c r="P215" s="367">
        <v>17.733979512941094</v>
      </c>
      <c r="Q215" s="367">
        <v>-14.172321175718285</v>
      </c>
      <c r="R215" s="367">
        <v>-14.172321175718285</v>
      </c>
      <c r="S215" s="368"/>
    </row>
    <row r="216" spans="3:19">
      <c r="C216" s="369" t="str">
        <f>C$188</f>
        <v>balans CO2 (D5a)</v>
      </c>
      <c r="D216" s="370"/>
      <c r="E216" s="370" t="s">
        <v>132</v>
      </c>
      <c r="F216" s="370"/>
      <c r="G216" s="371">
        <v>73.31409402987849</v>
      </c>
      <c r="H216" s="371">
        <v>-0.30691279094867596</v>
      </c>
      <c r="I216" s="371">
        <v>-232.78419604060798</v>
      </c>
      <c r="J216" s="371">
        <v>-1.6401836153893132</v>
      </c>
      <c r="K216" s="371">
        <v>-47.627724736980618</v>
      </c>
      <c r="L216" s="371">
        <v>85.678428233043945</v>
      </c>
      <c r="M216" s="371">
        <v>-1.1611860117024246</v>
      </c>
      <c r="N216" s="371">
        <v>5.8046331618728484</v>
      </c>
      <c r="O216" s="371">
        <v>-4.2303239820752836</v>
      </c>
      <c r="P216" s="371">
        <v>40.364699841309324</v>
      </c>
      <c r="Q216" s="371">
        <v>-2.7678062526360172</v>
      </c>
      <c r="R216" s="371">
        <v>-2.7678062526360172</v>
      </c>
      <c r="S216" s="372"/>
    </row>
    <row r="217" spans="3:19">
      <c r="C217" s="361" t="s">
        <v>349</v>
      </c>
      <c r="D217" s="373"/>
      <c r="E217" s="373"/>
      <c r="F217" s="373"/>
      <c r="G217" s="373"/>
      <c r="H217" s="373"/>
      <c r="I217" s="373"/>
      <c r="J217" s="373"/>
      <c r="K217" s="373"/>
      <c r="L217" s="373"/>
      <c r="M217" s="373"/>
      <c r="N217" s="373"/>
      <c r="O217" s="373"/>
      <c r="P217" s="373"/>
      <c r="Q217" s="373"/>
      <c r="R217" s="373"/>
      <c r="S217" s="373"/>
    </row>
    <row r="218" spans="3:19">
      <c r="C218" s="362" t="str">
        <f>C$183</f>
        <v>natuurlijk (A)</v>
      </c>
      <c r="D218" s="363"/>
      <c r="E218" s="363" t="s">
        <v>132</v>
      </c>
      <c r="F218" s="363"/>
      <c r="G218" s="364">
        <v>13.760796944763944</v>
      </c>
      <c r="H218" s="364">
        <v>-2.5263033741070609</v>
      </c>
      <c r="I218" s="364">
        <v>-17.384508461920387</v>
      </c>
      <c r="J218" s="364">
        <v>0.11772106277532085</v>
      </c>
      <c r="K218" s="364">
        <v>-25.876711876554442</v>
      </c>
      <c r="L218" s="364">
        <v>-1.7177314984684336E-13</v>
      </c>
      <c r="M218" s="364">
        <v>-105.99324855520454</v>
      </c>
      <c r="N218" s="364">
        <v>68.228683024540558</v>
      </c>
      <c r="O218" s="364">
        <v>-1.7240965742019022E-11</v>
      </c>
      <c r="P218" s="364">
        <v>-2.6285894877301176E-13</v>
      </c>
      <c r="Q218" s="364">
        <v>-4.4658067256647402E-3</v>
      </c>
      <c r="R218" s="364">
        <v>-4.4658067256647402E-3</v>
      </c>
      <c r="S218" s="365"/>
    </row>
    <row r="219" spans="3:19">
      <c r="C219" s="366" t="str">
        <f>C$184</f>
        <v>mech (B1)</v>
      </c>
      <c r="D219" s="90"/>
      <c r="E219" s="90" t="s">
        <v>132</v>
      </c>
      <c r="F219" s="90"/>
      <c r="G219" s="367">
        <v>-30.443303189141481</v>
      </c>
      <c r="H219" s="367">
        <v>-2.9285001926698206</v>
      </c>
      <c r="I219" s="367">
        <v>-21.555885591855674</v>
      </c>
      <c r="J219" s="367">
        <v>0.86860742353855902</v>
      </c>
      <c r="K219" s="367">
        <v>-37.504572750184835</v>
      </c>
      <c r="L219" s="367">
        <v>-1.7809869951753133E-13</v>
      </c>
      <c r="M219" s="367">
        <v>-98.821885853299307</v>
      </c>
      <c r="N219" s="367">
        <v>52.561347408094917</v>
      </c>
      <c r="O219" s="367">
        <v>9.6580985168202571E-3</v>
      </c>
      <c r="P219" s="367">
        <v>-3.2727495833962005E-13</v>
      </c>
      <c r="Q219" s="367">
        <v>-5.7236656607872385E-3</v>
      </c>
      <c r="R219" s="367">
        <v>-5.7236656607872385E-3</v>
      </c>
      <c r="S219" s="368"/>
    </row>
    <row r="220" spans="3:19">
      <c r="C220" s="366" t="str">
        <f>C$185</f>
        <v>mech (C1)</v>
      </c>
      <c r="D220" s="90"/>
      <c r="E220" s="90" t="s">
        <v>132</v>
      </c>
      <c r="F220" s="90"/>
      <c r="G220" s="367">
        <v>-190.23309029356389</v>
      </c>
      <c r="H220" s="367">
        <v>54.099438853551611</v>
      </c>
      <c r="I220" s="367">
        <v>-6.3911908744631205</v>
      </c>
      <c r="J220" s="367">
        <v>8.3759045806826041E-2</v>
      </c>
      <c r="K220" s="367">
        <v>-22.78549955229871</v>
      </c>
      <c r="L220" s="367">
        <v>-1.4699066836972845E-13</v>
      </c>
      <c r="M220" s="367">
        <v>-92.731466804036359</v>
      </c>
      <c r="N220" s="367">
        <v>70.273844482362918</v>
      </c>
      <c r="O220" s="367">
        <v>-1.3816600818753604E-11</v>
      </c>
      <c r="P220" s="367">
        <v>-2.5405693235594076E-13</v>
      </c>
      <c r="Q220" s="367">
        <v>-4.0768989825160987E-3</v>
      </c>
      <c r="R220" s="367">
        <v>-4.0768989825160987E-3</v>
      </c>
      <c r="S220" s="368"/>
    </row>
    <row r="221" spans="3:19">
      <c r="C221" s="366" t="str">
        <f>C$186</f>
        <v>mech - CO2 (C4c)</v>
      </c>
      <c r="D221" s="90"/>
      <c r="E221" s="90" t="s">
        <v>132</v>
      </c>
      <c r="F221" s="90"/>
      <c r="G221" s="367">
        <v>-39.918134928238047</v>
      </c>
      <c r="H221" s="367">
        <v>-1.7032911136537905</v>
      </c>
      <c r="I221" s="367">
        <v>-9.3229843982704494</v>
      </c>
      <c r="J221" s="367">
        <v>0.2638760186746606</v>
      </c>
      <c r="K221" s="367">
        <v>-48.027078544917252</v>
      </c>
      <c r="L221" s="367">
        <v>-1.8344168769068834E-13</v>
      </c>
      <c r="M221" s="367">
        <v>-90.830796748068863</v>
      </c>
      <c r="N221" s="367">
        <v>-4.0472474899811166</v>
      </c>
      <c r="O221" s="367">
        <v>-1.1694805758807479E-11</v>
      </c>
      <c r="P221" s="367">
        <v>-3.3635962174168975E-13</v>
      </c>
      <c r="Q221" s="367">
        <v>-7.9446169951281516E-3</v>
      </c>
      <c r="R221" s="367">
        <v>-7.9446169951281516E-3</v>
      </c>
      <c r="S221" s="368"/>
    </row>
    <row r="222" spans="3:19">
      <c r="C222" s="366" t="str">
        <f>C$187</f>
        <v>balans (D1)</v>
      </c>
      <c r="D222" s="90"/>
      <c r="E222" s="90" t="s">
        <v>132</v>
      </c>
      <c r="F222" s="90"/>
      <c r="G222" s="367">
        <v>-73.118168863361504</v>
      </c>
      <c r="H222" s="367">
        <v>-2.8795114639334005</v>
      </c>
      <c r="I222" s="367">
        <v>-11.077688559414703</v>
      </c>
      <c r="J222" s="367">
        <v>0.13598961336175547</v>
      </c>
      <c r="K222" s="367">
        <v>-66.785657896264453</v>
      </c>
      <c r="L222" s="367">
        <v>-2.5396020153125023E-13</v>
      </c>
      <c r="M222" s="367">
        <v>-73.098343645425146</v>
      </c>
      <c r="N222" s="367">
        <v>-3.4228812144216243</v>
      </c>
      <c r="O222" s="367">
        <v>1.4984839280687145E-2</v>
      </c>
      <c r="P222" s="367">
        <v>-141.46011852876882</v>
      </c>
      <c r="Q222" s="367">
        <v>-1.1773620050648708E-2</v>
      </c>
      <c r="R222" s="367">
        <v>-1.1773620050648708E-2</v>
      </c>
      <c r="S222" s="368"/>
    </row>
    <row r="223" spans="3:19">
      <c r="C223" s="369" t="str">
        <f>C$188</f>
        <v>balans CO2 (D5a)</v>
      </c>
      <c r="D223" s="370"/>
      <c r="E223" s="370" t="s">
        <v>132</v>
      </c>
      <c r="F223" s="370"/>
      <c r="G223" s="371">
        <v>-73.852262001800256</v>
      </c>
      <c r="H223" s="371">
        <v>-2.1742520078617451</v>
      </c>
      <c r="I223" s="371">
        <v>-11.535606065288905</v>
      </c>
      <c r="J223" s="371">
        <v>0.14582103539334607</v>
      </c>
      <c r="K223" s="371">
        <v>-58.561199571922806</v>
      </c>
      <c r="L223" s="371">
        <v>-2.4271490424932928E-13</v>
      </c>
      <c r="M223" s="371">
        <v>-91.122228979994333</v>
      </c>
      <c r="N223" s="371">
        <v>-4.5169460045005421</v>
      </c>
      <c r="O223" s="371">
        <v>7.1423817669214948E-2</v>
      </c>
      <c r="P223" s="371">
        <v>-151.50802665421523</v>
      </c>
      <c r="Q223" s="371">
        <v>-1.3282607646745152E-2</v>
      </c>
      <c r="R223" s="371">
        <v>-1.3282607646745152E-2</v>
      </c>
      <c r="S223" s="372"/>
    </row>
    <row r="224" spans="3:19">
      <c r="C224" s="361" t="s">
        <v>350</v>
      </c>
      <c r="D224" s="373"/>
      <c r="E224" s="373"/>
      <c r="F224" s="373"/>
      <c r="G224" s="373"/>
      <c r="H224" s="373"/>
      <c r="I224" s="373"/>
      <c r="J224" s="373"/>
      <c r="K224" s="373"/>
      <c r="L224" s="373"/>
      <c r="M224" s="373"/>
      <c r="N224" s="373"/>
      <c r="O224" s="373"/>
      <c r="P224" s="373"/>
      <c r="Q224" s="373"/>
      <c r="R224" s="373"/>
      <c r="S224" s="373"/>
    </row>
    <row r="225" spans="3:19">
      <c r="C225" s="362" t="str">
        <f>C$183</f>
        <v>natuurlijk (A)</v>
      </c>
      <c r="D225" s="363"/>
      <c r="E225" s="363" t="s">
        <v>132</v>
      </c>
      <c r="F225" s="363"/>
      <c r="G225" s="364">
        <v>-5.6262925165908442</v>
      </c>
      <c r="H225" s="364">
        <v>1.0880673230794466</v>
      </c>
      <c r="I225" s="364">
        <v>1.6854177328198914E-3</v>
      </c>
      <c r="J225" s="364">
        <v>-14.387618306582207</v>
      </c>
      <c r="K225" s="364">
        <v>-5.123326057208935</v>
      </c>
      <c r="L225" s="364">
        <v>-2.0872816872856284</v>
      </c>
      <c r="M225" s="364">
        <v>-4.3730065702250354</v>
      </c>
      <c r="N225" s="364">
        <v>-1.3393926590859526</v>
      </c>
      <c r="O225" s="364">
        <v>-0.12008385890585961</v>
      </c>
      <c r="P225" s="364">
        <v>-5.0501734920305443</v>
      </c>
      <c r="Q225" s="364">
        <v>-2.6588509432129608</v>
      </c>
      <c r="R225" s="364">
        <v>-2.6588509432129608</v>
      </c>
      <c r="S225" s="365"/>
    </row>
    <row r="226" spans="3:19">
      <c r="C226" s="366" t="str">
        <f>C$184</f>
        <v>mech (B1)</v>
      </c>
      <c r="D226" s="90"/>
      <c r="E226" s="90" t="s">
        <v>132</v>
      </c>
      <c r="F226" s="90"/>
      <c r="G226" s="367">
        <v>-7.8070659787909488E-2</v>
      </c>
      <c r="H226" s="367">
        <v>1.6581567915541455</v>
      </c>
      <c r="I226" s="367">
        <v>-0.27885011514329067</v>
      </c>
      <c r="J226" s="367">
        <v>-15.758913485571036</v>
      </c>
      <c r="K226" s="367">
        <v>-20.733884523599439</v>
      </c>
      <c r="L226" s="367">
        <v>-2.551805669649609</v>
      </c>
      <c r="M226" s="367">
        <v>-4.7676568921492333</v>
      </c>
      <c r="N226" s="367">
        <v>-1.5327256329603758</v>
      </c>
      <c r="O226" s="367">
        <v>-0.16894449517177823</v>
      </c>
      <c r="P226" s="367">
        <v>-5.5366848924303751</v>
      </c>
      <c r="Q226" s="367">
        <v>-3.4806866384150434</v>
      </c>
      <c r="R226" s="367">
        <v>-3.4806866384150434</v>
      </c>
      <c r="S226" s="368"/>
    </row>
    <row r="227" spans="3:19">
      <c r="C227" s="366" t="str">
        <f>C$185</f>
        <v>mech (C1)</v>
      </c>
      <c r="D227" s="90"/>
      <c r="E227" s="90" t="s">
        <v>132</v>
      </c>
      <c r="F227" s="90"/>
      <c r="G227" s="367">
        <v>-5.3645889091371401</v>
      </c>
      <c r="H227" s="367">
        <v>5.9155284274749241E-3</v>
      </c>
      <c r="I227" s="367">
        <v>1.052244570735658</v>
      </c>
      <c r="J227" s="367">
        <v>20.382444742189222</v>
      </c>
      <c r="K227" s="367">
        <v>-1.4182921169783607</v>
      </c>
      <c r="L227" s="367">
        <v>-0.89299641419903275</v>
      </c>
      <c r="M227" s="367">
        <v>-3.734762598833905</v>
      </c>
      <c r="N227" s="367">
        <v>-0.84709758141380143</v>
      </c>
      <c r="O227" s="367">
        <v>-0.10874283810057435</v>
      </c>
      <c r="P227" s="367">
        <v>-0.13771424790164591</v>
      </c>
      <c r="Q227" s="367">
        <v>-2.8408916046869348</v>
      </c>
      <c r="R227" s="367">
        <v>-2.8408916046869348</v>
      </c>
      <c r="S227" s="368"/>
    </row>
    <row r="228" spans="3:19">
      <c r="C228" s="366" t="str">
        <f>C$186</f>
        <v>mech - CO2 (C4c)</v>
      </c>
      <c r="D228" s="90"/>
      <c r="E228" s="90" t="s">
        <v>132</v>
      </c>
      <c r="F228" s="90"/>
      <c r="G228" s="367">
        <v>-4.6821349102931107</v>
      </c>
      <c r="H228" s="367">
        <v>1.6148951725787475</v>
      </c>
      <c r="I228" s="367">
        <v>-0.51351479605542538</v>
      </c>
      <c r="J228" s="367">
        <v>-12.458485169457804</v>
      </c>
      <c r="K228" s="367">
        <v>-28.450774985991185</v>
      </c>
      <c r="L228" s="367">
        <v>-1.9359507980327122</v>
      </c>
      <c r="M228" s="367">
        <v>-4.9223108979769084</v>
      </c>
      <c r="N228" s="367">
        <v>37.397019753964436</v>
      </c>
      <c r="O228" s="367">
        <v>-0.18216035529720717</v>
      </c>
      <c r="P228" s="367">
        <v>-6.2207446152106396</v>
      </c>
      <c r="Q228" s="367">
        <v>-4.7182050112594967</v>
      </c>
      <c r="R228" s="367">
        <v>-4.7182050112594967</v>
      </c>
      <c r="S228" s="368"/>
    </row>
    <row r="229" spans="3:19">
      <c r="C229" s="366" t="str">
        <f>C$187</f>
        <v>balans (D1)</v>
      </c>
      <c r="D229" s="90"/>
      <c r="E229" s="90" t="s">
        <v>132</v>
      </c>
      <c r="F229" s="90"/>
      <c r="G229" s="367">
        <v>-1.7542369692273254</v>
      </c>
      <c r="H229" s="367">
        <v>2.293101249263974</v>
      </c>
      <c r="I229" s="367">
        <v>-1.8731089539722872</v>
      </c>
      <c r="J229" s="367">
        <v>-5.7247751735648578</v>
      </c>
      <c r="K229" s="367">
        <v>27.915298032359555</v>
      </c>
      <c r="L229" s="367">
        <v>-6.5879947835647501</v>
      </c>
      <c r="M229" s="367">
        <v>-5.4637868373603595</v>
      </c>
      <c r="N229" s="367">
        <v>33.9629915770346</v>
      </c>
      <c r="O229" s="367">
        <v>-0.23507522332080832</v>
      </c>
      <c r="P229" s="367">
        <v>-7.5308605215491022</v>
      </c>
      <c r="Q229" s="367">
        <v>-8.8947111811217301</v>
      </c>
      <c r="R229" s="367">
        <v>-8.8947111811217301</v>
      </c>
      <c r="S229" s="368"/>
    </row>
    <row r="230" spans="3:19">
      <c r="C230" s="369" t="str">
        <f>C$188</f>
        <v>balans CO2 (D5a)</v>
      </c>
      <c r="D230" s="370"/>
      <c r="E230" s="370" t="s">
        <v>132</v>
      </c>
      <c r="F230" s="370"/>
      <c r="G230" s="371">
        <v>-2.874238302295991</v>
      </c>
      <c r="H230" s="371">
        <v>2.0582405095419478</v>
      </c>
      <c r="I230" s="371">
        <v>-1.4439919404679724</v>
      </c>
      <c r="J230" s="371">
        <v>-5.9614822078481469</v>
      </c>
      <c r="K230" s="371">
        <v>41.077056449966356</v>
      </c>
      <c r="L230" s="371">
        <v>-7.8552649709021045</v>
      </c>
      <c r="M230" s="371">
        <v>-5.0753207717783004</v>
      </c>
      <c r="N230" s="371">
        <v>34.248024174781591</v>
      </c>
      <c r="O230" s="371">
        <v>-0.21746969870519015</v>
      </c>
      <c r="P230" s="371">
        <v>-7.2175891841988342</v>
      </c>
      <c r="Q230" s="371">
        <v>-8.8825509143584682</v>
      </c>
      <c r="R230" s="371">
        <v>-8.8825509143584682</v>
      </c>
      <c r="S230" s="372"/>
    </row>
    <row r="231" spans="3:19">
      <c r="C231" s="361" t="s">
        <v>351</v>
      </c>
      <c r="D231" s="373"/>
      <c r="E231" s="373"/>
      <c r="F231" s="373"/>
      <c r="G231" s="373"/>
      <c r="H231" s="373"/>
      <c r="I231" s="373"/>
      <c r="J231" s="373"/>
      <c r="K231" s="373"/>
      <c r="L231" s="373"/>
      <c r="M231" s="373"/>
      <c r="N231" s="373"/>
      <c r="O231" s="373"/>
      <c r="P231" s="373"/>
      <c r="Q231" s="373"/>
      <c r="R231" s="373"/>
      <c r="S231" s="373"/>
    </row>
    <row r="232" spans="3:19">
      <c r="C232" s="362" t="str">
        <f>C$183</f>
        <v>natuurlijk (A)</v>
      </c>
      <c r="D232" s="378"/>
      <c r="E232" s="363" t="s">
        <v>132</v>
      </c>
      <c r="F232" s="363"/>
      <c r="G232" s="364">
        <v>7.8006938476436467</v>
      </c>
      <c r="H232" s="364">
        <v>2.5045401312600353</v>
      </c>
      <c r="I232" s="364">
        <v>2.8137766246308056</v>
      </c>
      <c r="J232" s="364">
        <v>0.45482868682391886</v>
      </c>
      <c r="K232" s="364">
        <v>3.8205965247038178</v>
      </c>
      <c r="L232" s="364">
        <v>-1.9264644697993549E-2</v>
      </c>
      <c r="M232" s="364">
        <v>12.975328657521759</v>
      </c>
      <c r="N232" s="364">
        <v>7.7239863880441204</v>
      </c>
      <c r="O232" s="364">
        <v>8.9258756262526031</v>
      </c>
      <c r="P232" s="364">
        <v>13.442987031600772</v>
      </c>
      <c r="Q232" s="364">
        <v>-3.6627550609734681E-2</v>
      </c>
      <c r="R232" s="364">
        <v>-3.6627550609734681E-2</v>
      </c>
      <c r="S232" s="365"/>
    </row>
    <row r="233" spans="3:19">
      <c r="C233" s="366" t="str">
        <f>C$184</f>
        <v>mech (B1)</v>
      </c>
      <c r="D233" s="23"/>
      <c r="E233" s="90" t="s">
        <v>132</v>
      </c>
      <c r="F233" s="90"/>
      <c r="G233" s="367">
        <v>13.740336295423036</v>
      </c>
      <c r="H233" s="367">
        <v>2.8561239720182252</v>
      </c>
      <c r="I233" s="367">
        <v>0.46459401633933611</v>
      </c>
      <c r="J233" s="367">
        <v>-3.9210276481047496E-2</v>
      </c>
      <c r="K233" s="367">
        <v>5.2473133430252297</v>
      </c>
      <c r="L233" s="367">
        <v>-0.57174077598212325</v>
      </c>
      <c r="M233" s="367">
        <v>12.73291344646371</v>
      </c>
      <c r="N233" s="367">
        <v>2.4886764072609542</v>
      </c>
      <c r="O233" s="367">
        <v>10.294872563813005</v>
      </c>
      <c r="P233" s="367">
        <v>7.0791093419510842</v>
      </c>
      <c r="Q233" s="367">
        <v>-1.1874779298046654</v>
      </c>
      <c r="R233" s="367">
        <v>-1.1874779298046654</v>
      </c>
      <c r="S233" s="368"/>
    </row>
    <row r="234" spans="3:19">
      <c r="C234" s="366" t="str">
        <f>C$185</f>
        <v>mech (C1)</v>
      </c>
      <c r="D234" s="23"/>
      <c r="E234" s="90" t="s">
        <v>132</v>
      </c>
      <c r="F234" s="90"/>
      <c r="G234" s="367">
        <v>8.1011462803369323</v>
      </c>
      <c r="H234" s="367">
        <v>2.8192770039362332</v>
      </c>
      <c r="I234" s="367">
        <v>-3.179706733335045E-2</v>
      </c>
      <c r="J234" s="367">
        <v>-2.6165037823728197</v>
      </c>
      <c r="K234" s="367">
        <v>3.4421296570163133</v>
      </c>
      <c r="L234" s="367">
        <v>-2.6290400034847849E-2</v>
      </c>
      <c r="M234" s="367">
        <v>12.748632461427144</v>
      </c>
      <c r="N234" s="367">
        <v>24.780483607610716</v>
      </c>
      <c r="O234" s="367">
        <v>8.8084732754575885</v>
      </c>
      <c r="P234" s="367">
        <v>-77.534428043435838</v>
      </c>
      <c r="Q234" s="367">
        <v>-4.2389899874930567E-2</v>
      </c>
      <c r="R234" s="367">
        <v>-4.2389899874930567E-2</v>
      </c>
      <c r="S234" s="368"/>
    </row>
    <row r="235" spans="3:19">
      <c r="C235" s="366" t="str">
        <f>C$186</f>
        <v>mech - CO2 (C4c)</v>
      </c>
      <c r="D235" s="23"/>
      <c r="E235" s="90" t="s">
        <v>132</v>
      </c>
      <c r="F235" s="90"/>
      <c r="G235" s="367">
        <v>16.692787794916068</v>
      </c>
      <c r="H235" s="367">
        <v>3.6977437780385607</v>
      </c>
      <c r="I235" s="367">
        <v>0.82882668095684253</v>
      </c>
      <c r="J235" s="367">
        <v>-4.1024677221530303E-3</v>
      </c>
      <c r="K235" s="367">
        <v>6.4837898421550966</v>
      </c>
      <c r="L235" s="367">
        <v>-5.314356151969702E-2</v>
      </c>
      <c r="M235" s="367">
        <v>14.157912525358485</v>
      </c>
      <c r="N235" s="367">
        <v>3.0020287835802897</v>
      </c>
      <c r="O235" s="367">
        <v>14.728682038405687</v>
      </c>
      <c r="P235" s="367">
        <v>-23.223301988355193</v>
      </c>
      <c r="Q235" s="367">
        <v>-4.75122240799222E-2</v>
      </c>
      <c r="R235" s="367">
        <v>-4.75122240799222E-2</v>
      </c>
      <c r="S235" s="368"/>
    </row>
    <row r="236" spans="3:19">
      <c r="C236" s="366" t="str">
        <f>C$187</f>
        <v>balans (D1)</v>
      </c>
      <c r="D236" s="23"/>
      <c r="E236" s="90" t="s">
        <v>132</v>
      </c>
      <c r="F236" s="90"/>
      <c r="G236" s="367">
        <v>17.484283173081437</v>
      </c>
      <c r="H236" s="367">
        <v>3.3145493649377666</v>
      </c>
      <c r="I236" s="367">
        <v>1.0145113729906474</v>
      </c>
      <c r="J236" s="367">
        <v>2.8981997214989801</v>
      </c>
      <c r="K236" s="367">
        <v>6.387153501108342</v>
      </c>
      <c r="L236" s="367">
        <v>12.910126899424556</v>
      </c>
      <c r="M236" s="367">
        <v>12.433981724675746</v>
      </c>
      <c r="N236" s="367">
        <v>2.5015362821768514</v>
      </c>
      <c r="O236" s="367">
        <v>11.756531610275081</v>
      </c>
      <c r="P236" s="367">
        <v>11.133841173875545</v>
      </c>
      <c r="Q236" s="367">
        <v>4.955450639272942</v>
      </c>
      <c r="R236" s="367">
        <v>4.955450639272942</v>
      </c>
      <c r="S236" s="368"/>
    </row>
    <row r="237" spans="3:19">
      <c r="C237" s="369" t="str">
        <f>C$188</f>
        <v>balans CO2 (D5a)</v>
      </c>
      <c r="D237" s="379"/>
      <c r="E237" s="370" t="s">
        <v>132</v>
      </c>
      <c r="F237" s="370"/>
      <c r="G237" s="371">
        <v>28.100022418447054</v>
      </c>
      <c r="H237" s="371">
        <v>4.3975651068556916</v>
      </c>
      <c r="I237" s="371">
        <v>5.3253613160891424</v>
      </c>
      <c r="J237" s="371">
        <v>-7.6656196855325626E-2</v>
      </c>
      <c r="K237" s="371">
        <v>7.9537290823684605</v>
      </c>
      <c r="L237" s="371">
        <v>-0.68608227531057708</v>
      </c>
      <c r="M237" s="371">
        <v>13.963653197900618</v>
      </c>
      <c r="N237" s="371">
        <v>3.1654053789869203</v>
      </c>
      <c r="O237" s="371">
        <v>17.698593636047981</v>
      </c>
      <c r="P237" s="371">
        <v>-12.756856674174919</v>
      </c>
      <c r="Q237" s="371">
        <v>-0.38008022213575465</v>
      </c>
      <c r="R237" s="371">
        <v>-0.38008022213575465</v>
      </c>
      <c r="S237" s="372"/>
    </row>
    <row r="238" spans="3:19">
      <c r="C238" s="361" t="s">
        <v>352</v>
      </c>
      <c r="D238" s="373"/>
      <c r="E238" s="373"/>
      <c r="F238" s="373"/>
      <c r="G238" s="373"/>
      <c r="H238" s="373"/>
      <c r="I238" s="373"/>
      <c r="J238" s="373"/>
      <c r="K238" s="373"/>
      <c r="L238" s="373"/>
      <c r="M238" s="373"/>
      <c r="N238" s="373"/>
      <c r="O238" s="373"/>
      <c r="P238" s="373"/>
      <c r="Q238" s="373"/>
      <c r="R238" s="373"/>
      <c r="S238" s="373"/>
    </row>
    <row r="239" spans="3:19">
      <c r="C239" s="362" t="str">
        <f>C$183</f>
        <v>natuurlijk (A)</v>
      </c>
      <c r="D239" s="378"/>
      <c r="E239" s="363" t="s">
        <v>132</v>
      </c>
      <c r="F239" s="363"/>
      <c r="G239" s="364">
        <v>-28.686392301895001</v>
      </c>
      <c r="H239" s="364">
        <v>50.918274723671892</v>
      </c>
      <c r="I239" s="364">
        <v>62.842229816881385</v>
      </c>
      <c r="J239" s="364">
        <v>217.203310210947</v>
      </c>
      <c r="K239" s="364">
        <v>73.113731872962759</v>
      </c>
      <c r="L239" s="364">
        <v>175.99542532830594</v>
      </c>
      <c r="M239" s="364">
        <v>143.52864789388235</v>
      </c>
      <c r="N239" s="364">
        <v>2.0634825593239077</v>
      </c>
      <c r="O239" s="364">
        <v>-9.3336399733109504E-3</v>
      </c>
      <c r="P239" s="364">
        <v>-7.4861081287789129E-3</v>
      </c>
      <c r="Q239" s="364">
        <v>43.222487146903546</v>
      </c>
      <c r="R239" s="364">
        <v>43.222487146903546</v>
      </c>
      <c r="S239" s="365"/>
    </row>
    <row r="240" spans="3:19">
      <c r="C240" s="366" t="str">
        <f>C$184</f>
        <v>mech (B1)</v>
      </c>
      <c r="D240" s="23"/>
      <c r="E240" s="90" t="s">
        <v>132</v>
      </c>
      <c r="F240" s="90"/>
      <c r="G240" s="367">
        <v>-15.127706335057027</v>
      </c>
      <c r="H240" s="367">
        <v>37.576668809507794</v>
      </c>
      <c r="I240" s="367">
        <v>106.0570385007388</v>
      </c>
      <c r="J240" s="367">
        <v>308.43906229968752</v>
      </c>
      <c r="K240" s="367">
        <v>89.200461070086277</v>
      </c>
      <c r="L240" s="367">
        <v>-89.073079084366299</v>
      </c>
      <c r="M240" s="367">
        <v>152.62137199910865</v>
      </c>
      <c r="N240" s="367">
        <v>10.183729603761355</v>
      </c>
      <c r="O240" s="367">
        <v>-1.0830749726124992E-2</v>
      </c>
      <c r="P240" s="367">
        <v>-9.4679427991424345E-3</v>
      </c>
      <c r="Q240" s="367">
        <v>47.80715598980013</v>
      </c>
      <c r="R240" s="367">
        <v>47.80715598980013</v>
      </c>
      <c r="S240" s="368"/>
    </row>
    <row r="241" spans="3:19">
      <c r="C241" s="366" t="str">
        <f>C$185</f>
        <v>mech (C1)</v>
      </c>
      <c r="D241" s="23"/>
      <c r="E241" s="90" t="s">
        <v>132</v>
      </c>
      <c r="F241" s="90"/>
      <c r="G241" s="367">
        <v>211.79036727390235</v>
      </c>
      <c r="H241" s="367">
        <v>49.178122350822456</v>
      </c>
      <c r="I241" s="367">
        <v>45.868055682067393</v>
      </c>
      <c r="J241" s="367">
        <v>65.502608046730245</v>
      </c>
      <c r="K241" s="367">
        <v>74.022614399773772</v>
      </c>
      <c r="L241" s="367">
        <v>39.7300259267572</v>
      </c>
      <c r="M241" s="367">
        <v>141.42152577557658</v>
      </c>
      <c r="N241" s="367">
        <v>2.7413333682203342</v>
      </c>
      <c r="O241" s="367">
        <v>-8.901063189757424E-3</v>
      </c>
      <c r="P241" s="367">
        <v>-11.5042767151209</v>
      </c>
      <c r="Q241" s="367">
        <v>46.930662800922057</v>
      </c>
      <c r="R241" s="367">
        <v>46.930662800922057</v>
      </c>
      <c r="S241" s="368"/>
    </row>
    <row r="242" spans="3:19">
      <c r="C242" s="366" t="str">
        <f>C$186</f>
        <v>mech - CO2 (C4c)</v>
      </c>
      <c r="D242" s="23"/>
      <c r="E242" s="90" t="s">
        <v>132</v>
      </c>
      <c r="F242" s="90"/>
      <c r="G242" s="367">
        <v>-54.421435075963004</v>
      </c>
      <c r="H242" s="367">
        <v>41.137600452136205</v>
      </c>
      <c r="I242" s="367">
        <v>44.272798426662256</v>
      </c>
      <c r="J242" s="367">
        <v>168.83464158637395</v>
      </c>
      <c r="K242" s="367">
        <v>124.39897505777087</v>
      </c>
      <c r="L242" s="367">
        <v>153.11293788709446</v>
      </c>
      <c r="M242" s="367">
        <v>151.93195650531482</v>
      </c>
      <c r="N242" s="367">
        <v>53.191099077070902</v>
      </c>
      <c r="O242" s="367">
        <v>-1.0480251234567946E-2</v>
      </c>
      <c r="P242" s="367">
        <v>-9.5621593862563557E-3</v>
      </c>
      <c r="Q242" s="367">
        <v>51.058877912739305</v>
      </c>
      <c r="R242" s="367">
        <v>51.058877912739305</v>
      </c>
      <c r="S242" s="368"/>
    </row>
    <row r="243" spans="3:19">
      <c r="C243" s="366" t="str">
        <f>C$187</f>
        <v>balans (D1)</v>
      </c>
      <c r="D243" s="23"/>
      <c r="E243" s="90" t="s">
        <v>132</v>
      </c>
      <c r="F243" s="90"/>
      <c r="G243" s="367">
        <v>-11.811245660988368</v>
      </c>
      <c r="H243" s="367">
        <v>33.584899394099011</v>
      </c>
      <c r="I243" s="367">
        <v>71.068412326221221</v>
      </c>
      <c r="J243" s="367">
        <v>99.425393669791347</v>
      </c>
      <c r="K243" s="367">
        <v>117.30982595943512</v>
      </c>
      <c r="L243" s="367">
        <v>-413.18942709448066</v>
      </c>
      <c r="M243" s="367">
        <v>158.76458605935639</v>
      </c>
      <c r="N243" s="367">
        <v>36.525195958958697</v>
      </c>
      <c r="O243" s="367">
        <v>-1.2437475800593244E-2</v>
      </c>
      <c r="P243" s="367">
        <v>-4.0875916209520621E-3</v>
      </c>
      <c r="Q243" s="367">
        <v>59.442498775350089</v>
      </c>
      <c r="R243" s="367">
        <v>59.442498775350089</v>
      </c>
      <c r="S243" s="368"/>
    </row>
    <row r="244" spans="3:19">
      <c r="C244" s="369" t="str">
        <f>C$188</f>
        <v>balans CO2 (D5a)</v>
      </c>
      <c r="D244" s="379"/>
      <c r="E244" s="370" t="s">
        <v>132</v>
      </c>
      <c r="F244" s="370"/>
      <c r="G244" s="371">
        <v>-20.121046207296423</v>
      </c>
      <c r="H244" s="371">
        <v>37.002125905574239</v>
      </c>
      <c r="I244" s="371">
        <v>260.4789687104344</v>
      </c>
      <c r="J244" s="371">
        <v>103.79530862246706</v>
      </c>
      <c r="K244" s="371">
        <v>106.90998058244244</v>
      </c>
      <c r="L244" s="371">
        <v>-41.809576380447069</v>
      </c>
      <c r="M244" s="371">
        <v>165.1621154690246</v>
      </c>
      <c r="N244" s="371">
        <v>39.008929521797313</v>
      </c>
      <c r="O244" s="371">
        <v>-1.153190204821331E-2</v>
      </c>
      <c r="P244" s="371">
        <v>-3.8101415068101732E-3</v>
      </c>
      <c r="Q244" s="371">
        <v>54.850538047830931</v>
      </c>
      <c r="R244" s="371">
        <v>54.850538047830931</v>
      </c>
      <c r="S244" s="372"/>
    </row>
    <row r="245" spans="3:19">
      <c r="C245" s="361" t="s">
        <v>353</v>
      </c>
      <c r="D245" s="373"/>
      <c r="E245" s="373"/>
      <c r="F245" s="373"/>
      <c r="G245" s="373"/>
      <c r="H245" s="373"/>
      <c r="I245" s="373"/>
      <c r="J245" s="373"/>
      <c r="K245" s="373"/>
      <c r="L245" s="373"/>
      <c r="M245" s="373"/>
      <c r="N245" s="373"/>
      <c r="O245" s="373"/>
      <c r="P245" s="373"/>
      <c r="Q245" s="373"/>
      <c r="R245" s="373"/>
      <c r="S245" s="373"/>
    </row>
    <row r="246" spans="3:19">
      <c r="C246" s="362" t="str">
        <f>C$183</f>
        <v>natuurlijk (A)</v>
      </c>
      <c r="D246" s="378"/>
      <c r="E246" s="363" t="s">
        <v>132</v>
      </c>
      <c r="F246" s="363"/>
      <c r="G246" s="364">
        <v>0.08</v>
      </c>
      <c r="H246" s="364">
        <v>0.12</v>
      </c>
      <c r="I246" s="364">
        <v>-0.62</v>
      </c>
      <c r="J246" s="364">
        <v>0.4</v>
      </c>
      <c r="K246" s="364">
        <v>-0.32</v>
      </c>
      <c r="L246" s="364">
        <v>3</v>
      </c>
      <c r="M246" s="364">
        <v>-0.54</v>
      </c>
      <c r="N246" s="364">
        <v>-0.27</v>
      </c>
      <c r="O246" s="364">
        <v>3</v>
      </c>
      <c r="P246" s="364">
        <v>3</v>
      </c>
      <c r="Q246" s="364">
        <v>1.1599999999999999</v>
      </c>
      <c r="R246" s="364">
        <v>1.1599999999999999</v>
      </c>
      <c r="S246" s="365"/>
    </row>
    <row r="247" spans="3:19">
      <c r="C247" s="366" t="str">
        <f>C$184</f>
        <v>mech (B1)</v>
      </c>
      <c r="D247" s="23"/>
      <c r="E247" s="90" t="s">
        <v>132</v>
      </c>
      <c r="F247" s="90"/>
      <c r="G247" s="367">
        <v>-0.34</v>
      </c>
      <c r="H247" s="367">
        <v>0.11</v>
      </c>
      <c r="I247" s="367">
        <v>-0.55000000000000004</v>
      </c>
      <c r="J247" s="367">
        <v>0.27</v>
      </c>
      <c r="K247" s="367">
        <v>-0.39</v>
      </c>
      <c r="L247" s="367">
        <v>3</v>
      </c>
      <c r="M247" s="367">
        <v>-0.51</v>
      </c>
      <c r="N247" s="367">
        <v>-0.2</v>
      </c>
      <c r="O247" s="367">
        <v>0.47</v>
      </c>
      <c r="P247" s="367">
        <v>3</v>
      </c>
      <c r="Q247" s="367">
        <v>1.1499999999999999</v>
      </c>
      <c r="R247" s="367">
        <v>1.1499999999999999</v>
      </c>
      <c r="S247" s="368"/>
    </row>
    <row r="248" spans="3:19">
      <c r="C248" s="366" t="str">
        <f>C$185</f>
        <v>mech (C1)</v>
      </c>
      <c r="D248" s="23"/>
      <c r="E248" s="90" t="s">
        <v>132</v>
      </c>
      <c r="F248" s="90"/>
      <c r="G248" s="367">
        <v>-0.01</v>
      </c>
      <c r="H248" s="367">
        <v>-0.01</v>
      </c>
      <c r="I248" s="367">
        <v>-0.27</v>
      </c>
      <c r="J248" s="367">
        <v>0.43</v>
      </c>
      <c r="K248" s="367">
        <v>-0.3</v>
      </c>
      <c r="L248" s="367">
        <v>3</v>
      </c>
      <c r="M248" s="367">
        <v>-0.51</v>
      </c>
      <c r="N248" s="367">
        <v>-0.28999999999999998</v>
      </c>
      <c r="O248" s="367">
        <v>3</v>
      </c>
      <c r="P248" s="367">
        <v>2.99</v>
      </c>
      <c r="Q248" s="367">
        <v>1.19</v>
      </c>
      <c r="R248" s="367">
        <v>1.19</v>
      </c>
      <c r="S248" s="368"/>
    </row>
    <row r="249" spans="3:19">
      <c r="C249" s="366" t="str">
        <f>C$186</f>
        <v>mech - CO2 (C4c)</v>
      </c>
      <c r="D249" s="23"/>
      <c r="E249" s="90" t="s">
        <v>132</v>
      </c>
      <c r="F249" s="90"/>
      <c r="G249" s="367">
        <v>-0.11</v>
      </c>
      <c r="H249" s="367">
        <v>0.15</v>
      </c>
      <c r="I249" s="367">
        <v>-0.25</v>
      </c>
      <c r="J249" s="367">
        <v>0.37</v>
      </c>
      <c r="K249" s="367">
        <v>-0.45</v>
      </c>
      <c r="L249" s="367">
        <v>3</v>
      </c>
      <c r="M249" s="367">
        <v>-0.47</v>
      </c>
      <c r="N249" s="367">
        <v>0.18</v>
      </c>
      <c r="O249" s="367">
        <v>3</v>
      </c>
      <c r="P249" s="367">
        <v>3</v>
      </c>
      <c r="Q249" s="367">
        <v>1.0900000000000001</v>
      </c>
      <c r="R249" s="367">
        <v>1.0900000000000001</v>
      </c>
      <c r="S249" s="368"/>
    </row>
    <row r="250" spans="3:19">
      <c r="C250" s="366" t="str">
        <f>C$187</f>
        <v>balans (D1)</v>
      </c>
      <c r="D250" s="23"/>
      <c r="E250" s="90" t="s">
        <v>132</v>
      </c>
      <c r="F250" s="90"/>
      <c r="G250" s="367">
        <v>-0.04</v>
      </c>
      <c r="H250" s="367">
        <v>0.11</v>
      </c>
      <c r="I250" s="367">
        <v>-0.17</v>
      </c>
      <c r="J250" s="367">
        <v>0.47</v>
      </c>
      <c r="K250" s="367">
        <v>-0.5</v>
      </c>
      <c r="L250" s="367">
        <v>2.99</v>
      </c>
      <c r="M250" s="367">
        <v>-0.38</v>
      </c>
      <c r="N250" s="367">
        <v>0.19</v>
      </c>
      <c r="O250" s="367">
        <v>0.52</v>
      </c>
      <c r="P250" s="367">
        <v>-0.34</v>
      </c>
      <c r="Q250" s="367">
        <v>1.04</v>
      </c>
      <c r="R250" s="367">
        <v>1.04</v>
      </c>
      <c r="S250" s="368"/>
    </row>
    <row r="251" spans="3:19">
      <c r="C251" s="369" t="str">
        <f>C$188</f>
        <v>balans CO2 (D5a)</v>
      </c>
      <c r="D251" s="379"/>
      <c r="E251" s="370"/>
      <c r="F251" s="370"/>
      <c r="G251" s="371">
        <v>-0.04</v>
      </c>
      <c r="H251" s="371">
        <v>0.13</v>
      </c>
      <c r="I251" s="371">
        <v>-0.15</v>
      </c>
      <c r="J251" s="371">
        <v>0.46</v>
      </c>
      <c r="K251" s="371">
        <v>-0.47</v>
      </c>
      <c r="L251" s="371">
        <v>3</v>
      </c>
      <c r="M251" s="371">
        <v>-0.45</v>
      </c>
      <c r="N251" s="371">
        <v>0.17</v>
      </c>
      <c r="O251" s="371">
        <v>0.33</v>
      </c>
      <c r="P251" s="371">
        <v>-0.37</v>
      </c>
      <c r="Q251" s="371">
        <v>1.01</v>
      </c>
      <c r="R251" s="371">
        <v>1.01</v>
      </c>
      <c r="S251" s="372"/>
    </row>
    <row r="252" spans="3:19">
      <c r="C252" s="361" t="s">
        <v>354</v>
      </c>
      <c r="D252" s="373"/>
      <c r="E252" s="373"/>
      <c r="F252" s="373"/>
      <c r="G252" s="373"/>
      <c r="H252" s="373"/>
      <c r="I252" s="373"/>
      <c r="J252" s="373"/>
      <c r="K252" s="373"/>
      <c r="L252" s="373"/>
      <c r="M252" s="373"/>
      <c r="N252" s="373"/>
      <c r="O252" s="373"/>
      <c r="P252" s="373"/>
      <c r="Q252" s="373"/>
      <c r="R252" s="373"/>
      <c r="S252" s="373"/>
    </row>
    <row r="253" spans="3:19">
      <c r="C253" s="362" t="str">
        <f>C$183</f>
        <v>natuurlijk (A)</v>
      </c>
      <c r="D253" s="378"/>
      <c r="E253" s="363" t="s">
        <v>132</v>
      </c>
      <c r="F253" s="363"/>
      <c r="G253" s="364">
        <v>-1.3</v>
      </c>
      <c r="H253" s="364">
        <v>-3</v>
      </c>
      <c r="I253" s="364">
        <v>1.58</v>
      </c>
      <c r="J253" s="364">
        <v>-0.25</v>
      </c>
      <c r="K253" s="364">
        <v>0.57999999999999996</v>
      </c>
      <c r="L253" s="364">
        <v>0.72</v>
      </c>
      <c r="M253" s="364">
        <v>1.5</v>
      </c>
      <c r="N253" s="364">
        <v>1.88</v>
      </c>
      <c r="O253" s="364">
        <v>3</v>
      </c>
      <c r="P253" s="364">
        <v>0.67</v>
      </c>
      <c r="Q253" s="364">
        <v>0.77</v>
      </c>
      <c r="R253" s="364">
        <v>0.77</v>
      </c>
      <c r="S253" s="365"/>
    </row>
    <row r="254" spans="3:19">
      <c r="C254" s="366" t="str">
        <f>C$184</f>
        <v>mech (B1)</v>
      </c>
      <c r="D254" s="23"/>
      <c r="E254" s="90" t="s">
        <v>132</v>
      </c>
      <c r="F254" s="90"/>
      <c r="G254" s="367">
        <v>3</v>
      </c>
      <c r="H254" s="367">
        <v>-3</v>
      </c>
      <c r="I254" s="367">
        <v>1.82</v>
      </c>
      <c r="J254" s="367">
        <v>-0.33</v>
      </c>
      <c r="K254" s="367">
        <v>0.25</v>
      </c>
      <c r="L254" s="367">
        <v>0.78</v>
      </c>
      <c r="M254" s="367">
        <v>1.5</v>
      </c>
      <c r="N254" s="367">
        <v>1.78</v>
      </c>
      <c r="O254" s="367">
        <v>3</v>
      </c>
      <c r="P254" s="367">
        <v>0.83</v>
      </c>
      <c r="Q254" s="367">
        <v>0.72</v>
      </c>
      <c r="R254" s="367">
        <v>0.72</v>
      </c>
      <c r="S254" s="368"/>
    </row>
    <row r="255" spans="3:19">
      <c r="C255" s="366" t="str">
        <f>C$185</f>
        <v>mech (C1)</v>
      </c>
      <c r="D255" s="23"/>
      <c r="E255" s="90" t="s">
        <v>132</v>
      </c>
      <c r="F255" s="90"/>
      <c r="G255" s="367">
        <v>-1.19</v>
      </c>
      <c r="H255" s="367">
        <v>2.99</v>
      </c>
      <c r="I255" s="367">
        <v>-0.21</v>
      </c>
      <c r="J255" s="367">
        <v>0.14000000000000001</v>
      </c>
      <c r="K255" s="367">
        <v>1.25</v>
      </c>
      <c r="L255" s="367">
        <v>1.2</v>
      </c>
      <c r="M255" s="367">
        <v>1.6</v>
      </c>
      <c r="N255" s="367">
        <v>2.21</v>
      </c>
      <c r="O255" s="367">
        <v>3</v>
      </c>
      <c r="P255" s="367">
        <v>2.99</v>
      </c>
      <c r="Q255" s="367">
        <v>0.78</v>
      </c>
      <c r="R255" s="367">
        <v>0.78</v>
      </c>
      <c r="S255" s="368"/>
    </row>
    <row r="256" spans="3:19">
      <c r="C256" s="366" t="str">
        <f>C$186</f>
        <v>mech - CO2 (C4c)</v>
      </c>
      <c r="D256" s="23"/>
      <c r="E256" s="90" t="s">
        <v>132</v>
      </c>
      <c r="F256" s="90"/>
      <c r="G256" s="367">
        <v>-1.0900000000000001</v>
      </c>
      <c r="H256" s="367">
        <v>-3</v>
      </c>
      <c r="I256" s="367">
        <v>1.25</v>
      </c>
      <c r="J256" s="367">
        <v>-0.4</v>
      </c>
      <c r="K256" s="367">
        <v>0.2</v>
      </c>
      <c r="L256" s="367">
        <v>0.88</v>
      </c>
      <c r="M256" s="367">
        <v>1.5</v>
      </c>
      <c r="N256" s="367">
        <v>-2.17</v>
      </c>
      <c r="O256" s="367">
        <v>3</v>
      </c>
      <c r="P256" s="367">
        <v>0.75</v>
      </c>
      <c r="Q256" s="367">
        <v>0.62</v>
      </c>
      <c r="R256" s="367">
        <v>0.62</v>
      </c>
      <c r="S256" s="368"/>
    </row>
    <row r="257" spans="3:19">
      <c r="C257" s="366" t="str">
        <f>C$187</f>
        <v>balans (D1)</v>
      </c>
      <c r="D257" s="23"/>
      <c r="E257" s="90" t="s">
        <v>132</v>
      </c>
      <c r="F257" s="90"/>
      <c r="G257" s="367">
        <v>-1.1599999999999999</v>
      </c>
      <c r="H257" s="367">
        <v>-3</v>
      </c>
      <c r="I257" s="367">
        <v>1</v>
      </c>
      <c r="J257" s="367">
        <v>-0.99</v>
      </c>
      <c r="K257" s="367">
        <v>-0.35</v>
      </c>
      <c r="L257" s="367">
        <v>0.64</v>
      </c>
      <c r="M257" s="367">
        <v>1.5</v>
      </c>
      <c r="N257" s="367">
        <v>-1.88</v>
      </c>
      <c r="O257" s="367">
        <v>3</v>
      </c>
      <c r="P257" s="367">
        <v>-3</v>
      </c>
      <c r="Q257" s="367">
        <v>0.47</v>
      </c>
      <c r="R257" s="367">
        <v>0.47</v>
      </c>
      <c r="S257" s="368"/>
    </row>
    <row r="258" spans="3:19">
      <c r="C258" s="369" t="str">
        <f>C$188</f>
        <v>balans CO2 (D5a)</v>
      </c>
      <c r="D258" s="379"/>
      <c r="E258" s="370"/>
      <c r="F258" s="370"/>
      <c r="G258" s="371">
        <v>-1.1599999999999999</v>
      </c>
      <c r="H258" s="371">
        <v>-3</v>
      </c>
      <c r="I258" s="371">
        <v>1</v>
      </c>
      <c r="J258" s="371">
        <v>-1.01</v>
      </c>
      <c r="K258" s="371">
        <v>-0.2</v>
      </c>
      <c r="L258" s="371">
        <v>0.55000000000000004</v>
      </c>
      <c r="M258" s="371">
        <v>1.55</v>
      </c>
      <c r="N258" s="371">
        <v>-1.92</v>
      </c>
      <c r="O258" s="371">
        <v>3</v>
      </c>
      <c r="P258" s="371">
        <v>-3</v>
      </c>
      <c r="Q258" s="371">
        <v>0.42</v>
      </c>
      <c r="R258" s="371">
        <v>0.42</v>
      </c>
      <c r="S258" s="372"/>
    </row>
    <row r="259" spans="3:19">
      <c r="C259" s="361" t="s">
        <v>355</v>
      </c>
      <c r="D259" s="373"/>
      <c r="E259" s="373"/>
      <c r="F259" s="373"/>
      <c r="G259" s="373"/>
      <c r="H259" s="373"/>
      <c r="I259" s="373"/>
      <c r="J259" s="373"/>
      <c r="K259" s="373"/>
      <c r="L259" s="373"/>
      <c r="M259" s="373"/>
      <c r="N259" s="373"/>
      <c r="O259" s="373"/>
      <c r="P259" s="373"/>
      <c r="Q259" s="373"/>
      <c r="R259" s="373"/>
      <c r="S259" s="373"/>
    </row>
    <row r="260" spans="3:19">
      <c r="C260" s="362" t="str">
        <f>C$183</f>
        <v>natuurlijk (A)</v>
      </c>
      <c r="D260" s="378"/>
      <c r="E260" s="363" t="s">
        <v>132</v>
      </c>
      <c r="F260" s="363"/>
      <c r="G260" s="364">
        <v>-0.46</v>
      </c>
      <c r="H260" s="364">
        <v>-0.46</v>
      </c>
      <c r="I260" s="364">
        <v>-0.08</v>
      </c>
      <c r="J260" s="364">
        <v>0.28999999999999998</v>
      </c>
      <c r="K260" s="364">
        <v>-0.55000000000000004</v>
      </c>
      <c r="L260" s="364">
        <v>3</v>
      </c>
      <c r="M260" s="364">
        <v>-0.44</v>
      </c>
      <c r="N260" s="364">
        <v>-0.15</v>
      </c>
      <c r="O260" s="364">
        <v>-0.34</v>
      </c>
      <c r="P260" s="364">
        <v>-0.08</v>
      </c>
      <c r="Q260" s="364">
        <v>3</v>
      </c>
      <c r="R260" s="364">
        <v>3</v>
      </c>
      <c r="S260" s="365"/>
    </row>
    <row r="261" spans="3:19">
      <c r="C261" s="366" t="str">
        <f>C$184</f>
        <v>mech (B1)</v>
      </c>
      <c r="D261" s="23"/>
      <c r="E261" s="90" t="s">
        <v>132</v>
      </c>
      <c r="F261" s="90"/>
      <c r="G261" s="367">
        <v>-0.39</v>
      </c>
      <c r="H261" s="367">
        <v>-0.57999999999999996</v>
      </c>
      <c r="I261" s="367">
        <v>-1.08</v>
      </c>
      <c r="J261" s="367">
        <v>2.99</v>
      </c>
      <c r="K261" s="367">
        <v>-0.57999999999999996</v>
      </c>
      <c r="L261" s="367">
        <v>1.19</v>
      </c>
      <c r="M261" s="367">
        <v>-0.49</v>
      </c>
      <c r="N261" s="367">
        <v>-0.46</v>
      </c>
      <c r="O261" s="367">
        <v>-0.41</v>
      </c>
      <c r="P261" s="367">
        <v>-0.32</v>
      </c>
      <c r="Q261" s="367">
        <v>0.48</v>
      </c>
      <c r="R261" s="367">
        <v>0.48</v>
      </c>
      <c r="S261" s="368"/>
    </row>
    <row r="262" spans="3:19">
      <c r="C262" s="366" t="str">
        <f>C$185</f>
        <v>mech (C1)</v>
      </c>
      <c r="D262" s="23"/>
      <c r="E262" s="90" t="s">
        <v>132</v>
      </c>
      <c r="F262" s="90"/>
      <c r="G262" s="367">
        <v>-0.42</v>
      </c>
      <c r="H262" s="367">
        <v>-0.37</v>
      </c>
      <c r="I262" s="367">
        <v>3</v>
      </c>
      <c r="J262" s="367">
        <v>-0.1</v>
      </c>
      <c r="K262" s="367">
        <v>-0.55000000000000004</v>
      </c>
      <c r="L262" s="367">
        <v>2.99</v>
      </c>
      <c r="M262" s="367">
        <v>-0.44</v>
      </c>
      <c r="N262" s="367">
        <v>-0.05</v>
      </c>
      <c r="O262" s="367">
        <v>-0.32</v>
      </c>
      <c r="P262" s="367">
        <v>0.01</v>
      </c>
      <c r="Q262" s="367">
        <v>3</v>
      </c>
      <c r="R262" s="367">
        <v>3</v>
      </c>
      <c r="S262" s="368"/>
    </row>
    <row r="263" spans="3:19">
      <c r="C263" s="366" t="str">
        <f>C$186</f>
        <v>mech - CO2 (C4c)</v>
      </c>
      <c r="D263" s="23"/>
      <c r="E263" s="90" t="s">
        <v>132</v>
      </c>
      <c r="F263" s="90"/>
      <c r="G263" s="367">
        <v>-0.3</v>
      </c>
      <c r="H263" s="367">
        <v>-0.43</v>
      </c>
      <c r="I263" s="367">
        <v>-0.41</v>
      </c>
      <c r="J263" s="367">
        <v>-3</v>
      </c>
      <c r="K263" s="367">
        <v>-0.46</v>
      </c>
      <c r="L263" s="367">
        <v>3</v>
      </c>
      <c r="M263" s="367">
        <v>-0.46</v>
      </c>
      <c r="N263" s="367">
        <v>-0.38</v>
      </c>
      <c r="O263" s="367">
        <v>-0.28000000000000003</v>
      </c>
      <c r="P263" s="367">
        <v>0.08</v>
      </c>
      <c r="Q263" s="367">
        <v>3</v>
      </c>
      <c r="R263" s="367">
        <v>3</v>
      </c>
      <c r="S263" s="368"/>
    </row>
    <row r="264" spans="3:19">
      <c r="C264" s="366" t="str">
        <f>C$187</f>
        <v>balans (D1)</v>
      </c>
      <c r="D264" s="23"/>
      <c r="E264" s="90" t="s">
        <v>132</v>
      </c>
      <c r="F264" s="90"/>
      <c r="G264" s="367">
        <v>-0.39</v>
      </c>
      <c r="H264" s="367">
        <v>-0.64</v>
      </c>
      <c r="I264" s="367">
        <v>-1.03</v>
      </c>
      <c r="J264" s="367">
        <v>-0.42</v>
      </c>
      <c r="K264" s="367">
        <v>-0.6</v>
      </c>
      <c r="L264" s="367">
        <v>-0.18</v>
      </c>
      <c r="M264" s="367">
        <v>-0.56999999999999995</v>
      </c>
      <c r="N264" s="367">
        <v>-0.54</v>
      </c>
      <c r="O264" s="367">
        <v>-0.45</v>
      </c>
      <c r="P264" s="367">
        <v>-0.35</v>
      </c>
      <c r="Q264" s="367">
        <v>-0.24</v>
      </c>
      <c r="R264" s="367">
        <v>-0.24</v>
      </c>
      <c r="S264" s="368"/>
    </row>
    <row r="265" spans="3:19">
      <c r="C265" s="369" t="str">
        <f>C$188</f>
        <v>balans CO2 (D5a)</v>
      </c>
      <c r="D265" s="379"/>
      <c r="E265" s="370"/>
      <c r="F265" s="370"/>
      <c r="G265" s="371">
        <v>-0.22</v>
      </c>
      <c r="H265" s="371">
        <v>-0.45</v>
      </c>
      <c r="I265" s="371">
        <v>-0.18</v>
      </c>
      <c r="J265" s="371">
        <v>3</v>
      </c>
      <c r="K265" s="371">
        <v>-0.45</v>
      </c>
      <c r="L265" s="371">
        <v>1.63</v>
      </c>
      <c r="M265" s="371">
        <v>-0.5</v>
      </c>
      <c r="N265" s="371">
        <v>-0.41</v>
      </c>
      <c r="O265" s="371">
        <v>-0.28000000000000003</v>
      </c>
      <c r="P265" s="371">
        <v>0.26</v>
      </c>
      <c r="Q265" s="371">
        <v>1.43</v>
      </c>
      <c r="R265" s="371">
        <v>1.43</v>
      </c>
      <c r="S265" s="372"/>
    </row>
    <row r="266" spans="3:19">
      <c r="C266" s="361" t="s">
        <v>356</v>
      </c>
      <c r="D266" s="373"/>
      <c r="E266" s="373"/>
      <c r="F266" s="373"/>
      <c r="G266" s="373"/>
      <c r="H266" s="373"/>
      <c r="I266" s="373"/>
      <c r="J266" s="373"/>
      <c r="K266" s="373"/>
      <c r="L266" s="373"/>
      <c r="M266" s="373"/>
      <c r="N266" s="373"/>
      <c r="O266" s="373"/>
      <c r="P266" s="373"/>
      <c r="Q266" s="373"/>
      <c r="R266" s="373"/>
      <c r="S266" s="373"/>
    </row>
    <row r="267" spans="3:19">
      <c r="C267" s="362" t="str">
        <f>C$183</f>
        <v>natuurlijk (A)</v>
      </c>
      <c r="D267" s="378"/>
      <c r="E267" s="363" t="s">
        <v>132</v>
      </c>
      <c r="F267" s="363"/>
      <c r="G267" s="364">
        <v>-0.15</v>
      </c>
      <c r="H267" s="364">
        <v>1.94</v>
      </c>
      <c r="I267" s="364">
        <v>2</v>
      </c>
      <c r="J267" s="364">
        <v>3</v>
      </c>
      <c r="K267" s="364">
        <v>1.07</v>
      </c>
      <c r="L267" s="364">
        <v>0.05</v>
      </c>
      <c r="M267" s="364">
        <v>1.2</v>
      </c>
      <c r="N267" s="364">
        <v>0.65</v>
      </c>
      <c r="O267" s="364">
        <v>-3</v>
      </c>
      <c r="P267" s="364">
        <v>-3</v>
      </c>
      <c r="Q267" s="364">
        <v>0.73</v>
      </c>
      <c r="R267" s="364">
        <v>0.73</v>
      </c>
      <c r="S267" s="365"/>
    </row>
    <row r="268" spans="3:19">
      <c r="C268" s="366" t="str">
        <f>C$184</f>
        <v>mech (B1)</v>
      </c>
      <c r="D268" s="23"/>
      <c r="E268" s="90" t="s">
        <v>132</v>
      </c>
      <c r="F268" s="90"/>
      <c r="G268" s="367">
        <v>-0.33</v>
      </c>
      <c r="H268" s="367">
        <v>1.48</v>
      </c>
      <c r="I268" s="367">
        <v>2</v>
      </c>
      <c r="J268" s="367">
        <v>2.99</v>
      </c>
      <c r="K268" s="367">
        <v>1.1200000000000001</v>
      </c>
      <c r="L268" s="367">
        <v>-0.09</v>
      </c>
      <c r="M268" s="367">
        <v>1.23</v>
      </c>
      <c r="N268" s="367">
        <v>1.1399999999999999</v>
      </c>
      <c r="O268" s="367">
        <v>-3</v>
      </c>
      <c r="P268" s="367">
        <v>-3</v>
      </c>
      <c r="Q268" s="367">
        <v>0.7</v>
      </c>
      <c r="R268" s="367">
        <v>0.7</v>
      </c>
      <c r="S268" s="368"/>
    </row>
    <row r="269" spans="3:19">
      <c r="C269" s="366" t="str">
        <f>C$185</f>
        <v>mech (C1)</v>
      </c>
      <c r="D269" s="23"/>
      <c r="E269" s="90" t="s">
        <v>132</v>
      </c>
      <c r="F269" s="90"/>
      <c r="G269" s="367">
        <v>0.03</v>
      </c>
      <c r="H269" s="367">
        <v>2</v>
      </c>
      <c r="I269" s="367">
        <v>1.63</v>
      </c>
      <c r="J269" s="367">
        <v>2</v>
      </c>
      <c r="K269" s="367">
        <v>1.1499999999999999</v>
      </c>
      <c r="L269" s="367">
        <v>0.6</v>
      </c>
      <c r="M269" s="367">
        <v>1.2</v>
      </c>
      <c r="N269" s="367">
        <v>0.96</v>
      </c>
      <c r="O269" s="367">
        <v>-3</v>
      </c>
      <c r="P269" s="367">
        <v>-0.39</v>
      </c>
      <c r="Q269" s="367">
        <v>0.81</v>
      </c>
      <c r="R269" s="367">
        <v>0.81</v>
      </c>
      <c r="S269" s="368"/>
    </row>
    <row r="270" spans="3:19">
      <c r="C270" s="366" t="str">
        <f>C$186</f>
        <v>mech - CO2 (C4c)</v>
      </c>
      <c r="D270" s="23"/>
      <c r="E270" s="90" t="s">
        <v>132</v>
      </c>
      <c r="F270" s="90"/>
      <c r="G270" s="367">
        <v>-0.11</v>
      </c>
      <c r="H270" s="367">
        <v>1.6</v>
      </c>
      <c r="I270" s="367">
        <v>0.97</v>
      </c>
      <c r="J270" s="367">
        <v>2.5</v>
      </c>
      <c r="K270" s="367">
        <v>1.45</v>
      </c>
      <c r="L270" s="367">
        <v>7.0000000000000007E-2</v>
      </c>
      <c r="M270" s="367">
        <v>1.2</v>
      </c>
      <c r="N270" s="367">
        <v>2.27</v>
      </c>
      <c r="O270" s="367">
        <v>-3</v>
      </c>
      <c r="P270" s="367">
        <v>-3</v>
      </c>
      <c r="Q270" s="367">
        <v>0.67</v>
      </c>
      <c r="R270" s="367">
        <v>0.67</v>
      </c>
      <c r="S270" s="368"/>
    </row>
    <row r="271" spans="3:19">
      <c r="C271" s="366" t="str">
        <f>C$187</f>
        <v>balans (D1)</v>
      </c>
      <c r="D271" s="23"/>
      <c r="E271" s="90" t="s">
        <v>132</v>
      </c>
      <c r="F271" s="90"/>
      <c r="G271" s="367">
        <v>-0.37</v>
      </c>
      <c r="H271" s="367">
        <v>1.22</v>
      </c>
      <c r="I271" s="367">
        <v>0.3</v>
      </c>
      <c r="J271" s="367">
        <v>1.6</v>
      </c>
      <c r="K271" s="367">
        <v>1.24</v>
      </c>
      <c r="L271" s="367">
        <v>-0.03</v>
      </c>
      <c r="M271" s="367">
        <v>1.19</v>
      </c>
      <c r="N271" s="367">
        <v>1.7</v>
      </c>
      <c r="O271" s="367">
        <v>-2.99</v>
      </c>
      <c r="P271" s="367">
        <v>-3</v>
      </c>
      <c r="Q271" s="367">
        <v>0.5</v>
      </c>
      <c r="R271" s="367">
        <v>0.5</v>
      </c>
      <c r="S271" s="368"/>
    </row>
    <row r="272" spans="3:19">
      <c r="C272" s="369" t="str">
        <f>C$188</f>
        <v>balans CO2 (D5a)</v>
      </c>
      <c r="D272" s="379"/>
      <c r="E272" s="370"/>
      <c r="F272" s="370"/>
      <c r="G272" s="371">
        <v>-0.25</v>
      </c>
      <c r="H272" s="371">
        <v>1.4</v>
      </c>
      <c r="I272" s="371">
        <v>0.05</v>
      </c>
      <c r="J272" s="371">
        <v>1.7</v>
      </c>
      <c r="K272" s="371">
        <v>1.2</v>
      </c>
      <c r="L272" s="371">
        <v>-0.2</v>
      </c>
      <c r="M272" s="371">
        <v>1.24</v>
      </c>
      <c r="N272" s="371">
        <v>1.86</v>
      </c>
      <c r="O272" s="371">
        <v>-3</v>
      </c>
      <c r="P272" s="371">
        <v>-3</v>
      </c>
      <c r="Q272" s="371">
        <v>0.61</v>
      </c>
      <c r="R272" s="371">
        <v>0.61</v>
      </c>
      <c r="S272" s="372"/>
    </row>
    <row r="273" spans="1:19" s="349" customFormat="1">
      <c r="A273" s="346"/>
      <c r="B273" s="347"/>
      <c r="C273" s="377" t="s">
        <v>346</v>
      </c>
      <c r="D273" s="377"/>
      <c r="E273" s="377"/>
      <c r="F273" s="377"/>
      <c r="G273" s="377"/>
      <c r="H273" s="377"/>
      <c r="I273" s="377"/>
      <c r="J273" s="377"/>
      <c r="K273" s="377"/>
      <c r="L273" s="377"/>
      <c r="M273" s="377"/>
      <c r="N273" s="377"/>
      <c r="O273" s="377"/>
      <c r="P273" s="377"/>
      <c r="Q273" s="377"/>
      <c r="R273" s="377"/>
      <c r="S273" s="377"/>
    </row>
    <row r="274" spans="1:19" s="349" customFormat="1">
      <c r="A274" s="346"/>
      <c r="B274" s="347"/>
      <c r="C274" s="348" t="s">
        <v>357</v>
      </c>
      <c r="D274" s="348"/>
      <c r="E274" s="348"/>
      <c r="F274" s="348"/>
      <c r="G274" s="348"/>
      <c r="H274" s="348"/>
      <c r="I274" s="348"/>
      <c r="J274" s="348"/>
      <c r="K274" s="348"/>
      <c r="L274" s="348"/>
      <c r="M274" s="348"/>
      <c r="N274" s="348"/>
      <c r="O274" s="348"/>
      <c r="P274" s="348"/>
      <c r="Q274" s="348"/>
      <c r="R274" s="348"/>
      <c r="S274" s="348"/>
    </row>
    <row r="275" spans="1:19">
      <c r="C275" s="345"/>
      <c r="D275" s="341"/>
      <c r="E275" s="341"/>
      <c r="F275" s="342"/>
      <c r="G275" s="342"/>
      <c r="H275" s="342"/>
      <c r="I275" s="342"/>
      <c r="J275" s="342"/>
      <c r="K275" s="342"/>
      <c r="L275" s="342"/>
      <c r="M275" s="342"/>
      <c r="N275" s="342"/>
      <c r="O275" s="342"/>
      <c r="P275" s="342"/>
      <c r="Q275" s="342"/>
      <c r="R275" s="342"/>
      <c r="S275" s="342"/>
    </row>
    <row r="276" spans="1:19" s="5" customFormat="1">
      <c r="A276" s="19"/>
      <c r="B276" s="88">
        <f ca="1">MAX(tabellen!$B$1:OFFSET(B276,-1,0))+1</f>
        <v>15</v>
      </c>
      <c r="C276" s="89" t="s">
        <v>358</v>
      </c>
      <c r="D276" s="89"/>
      <c r="E276" s="89" t="s">
        <v>334</v>
      </c>
      <c r="F276" s="122"/>
      <c r="G276" s="123"/>
      <c r="H276" s="123"/>
      <c r="I276" s="123"/>
      <c r="J276" s="123"/>
      <c r="K276" s="123"/>
      <c r="L276" s="123"/>
      <c r="M276" s="123"/>
      <c r="N276" s="123"/>
      <c r="O276" s="123"/>
      <c r="P276" s="123"/>
      <c r="Q276" s="123"/>
      <c r="R276" s="123"/>
      <c r="S276" s="123"/>
    </row>
    <row r="277" spans="1:19" s="5" customFormat="1">
      <c r="A277" s="19"/>
      <c r="B277" s="120"/>
      <c r="C277" s="57" t="s">
        <v>327</v>
      </c>
      <c r="D277" s="57"/>
      <c r="E277" s="57" t="s">
        <v>204</v>
      </c>
      <c r="F277" s="64"/>
      <c r="G277" s="64">
        <v>1</v>
      </c>
      <c r="H277" s="64">
        <v>2</v>
      </c>
      <c r="I277" s="64">
        <v>3</v>
      </c>
      <c r="J277" s="64">
        <v>4</v>
      </c>
      <c r="K277" s="64">
        <v>5</v>
      </c>
      <c r="L277" s="64">
        <v>6</v>
      </c>
      <c r="M277" s="64">
        <v>7</v>
      </c>
      <c r="N277" s="64">
        <v>8</v>
      </c>
      <c r="O277" s="64">
        <v>9</v>
      </c>
      <c r="P277" s="64">
        <v>10</v>
      </c>
      <c r="Q277" s="64">
        <v>11</v>
      </c>
      <c r="R277" s="64">
        <v>12</v>
      </c>
      <c r="S277" s="64"/>
    </row>
    <row r="278" spans="1:19" s="5" customFormat="1">
      <c r="A278" s="19"/>
      <c r="B278" s="120"/>
      <c r="C278" s="360" t="s">
        <v>295</v>
      </c>
      <c r="D278" s="351"/>
      <c r="E278" s="351"/>
      <c r="F278" s="351"/>
      <c r="G278" s="351"/>
      <c r="H278" s="351"/>
      <c r="I278" s="351"/>
      <c r="J278" s="351"/>
      <c r="K278" s="351"/>
      <c r="L278" s="351"/>
      <c r="M278" s="351"/>
      <c r="N278" s="351"/>
      <c r="O278" s="351"/>
      <c r="P278" s="351"/>
      <c r="Q278" s="351"/>
      <c r="R278" s="351"/>
      <c r="S278" s="351"/>
    </row>
    <row r="279" spans="1:19">
      <c r="C279" s="353" t="s">
        <v>295</v>
      </c>
      <c r="D279" s="382"/>
      <c r="E279" s="382" t="s">
        <v>132</v>
      </c>
      <c r="F279" s="382"/>
      <c r="G279" s="388" t="str">
        <f>G$180</f>
        <v>kantoor</v>
      </c>
      <c r="H279" s="388" t="str">
        <f t="shared" ref="H279:R279" si="30">H$180</f>
        <v>bijeenkomst overig</v>
      </c>
      <c r="I279" s="388" t="str">
        <f t="shared" si="30"/>
        <v>bijeenkomst kinderopvang</v>
      </c>
      <c r="J279" s="388" t="str">
        <f t="shared" si="30"/>
        <v>onderwijs</v>
      </c>
      <c r="K279" s="388" t="str">
        <f t="shared" si="30"/>
        <v>gezondheid overig</v>
      </c>
      <c r="L279" s="388" t="str">
        <f t="shared" si="30"/>
        <v>gezondheid met bed</v>
      </c>
      <c r="M279" s="388" t="str">
        <f t="shared" si="30"/>
        <v>winkel</v>
      </c>
      <c r="N279" s="388" t="str">
        <f t="shared" si="30"/>
        <v>sport</v>
      </c>
      <c r="O279" s="388" t="str">
        <f t="shared" si="30"/>
        <v>logies</v>
      </c>
      <c r="P279" s="388" t="str">
        <f t="shared" si="30"/>
        <v>cellengebouw</v>
      </c>
      <c r="Q279" s="388" t="str">
        <f t="shared" si="30"/>
        <v>woning</v>
      </c>
      <c r="R279" s="388" t="str">
        <f t="shared" si="30"/>
        <v>woongebouw</v>
      </c>
      <c r="S279" s="383"/>
    </row>
    <row r="280" spans="1:19">
      <c r="C280" s="384" t="s">
        <v>337</v>
      </c>
      <c r="D280" s="385"/>
      <c r="E280" s="385" t="s">
        <v>132</v>
      </c>
      <c r="F280" s="385"/>
      <c r="G280" s="386">
        <v>30.36748400004582</v>
      </c>
      <c r="H280" s="386">
        <v>27.711614114601588</v>
      </c>
      <c r="I280" s="386">
        <v>99.295017449021302</v>
      </c>
      <c r="J280" s="386">
        <v>119.19994807165985</v>
      </c>
      <c r="K280" s="386">
        <v>36.683161640136447</v>
      </c>
      <c r="L280" s="386">
        <v>214.14302930022222</v>
      </c>
      <c r="M280" s="386">
        <v>12.222484704965026</v>
      </c>
      <c r="N280" s="386">
        <v>3.8457783534915748</v>
      </c>
      <c r="O280" s="386">
        <v>39.763985147780858</v>
      </c>
      <c r="P280" s="386">
        <v>68.672559909358199</v>
      </c>
      <c r="Q280" s="386">
        <v>33.165094051740759</v>
      </c>
      <c r="R280" s="386">
        <v>33.165094051740759</v>
      </c>
      <c r="S280" s="387"/>
    </row>
    <row r="281" spans="1:19">
      <c r="C281" s="381" t="s">
        <v>359</v>
      </c>
      <c r="D281" s="382"/>
      <c r="E281" s="382" t="s">
        <v>132</v>
      </c>
      <c r="F281" s="382"/>
      <c r="G281" s="358">
        <v>57.206662895526222</v>
      </c>
      <c r="H281" s="358">
        <v>52.293745188895883</v>
      </c>
      <c r="I281" s="358">
        <v>51.052359873495448</v>
      </c>
      <c r="J281" s="358">
        <v>57.615500534884909</v>
      </c>
      <c r="K281" s="358">
        <v>50.99705568207272</v>
      </c>
      <c r="L281" s="358">
        <v>76.909405147713912</v>
      </c>
      <c r="M281" s="358">
        <v>45.533562858401488</v>
      </c>
      <c r="N281" s="358">
        <v>28.332873935173172</v>
      </c>
      <c r="O281" s="358">
        <v>57.55766890931497</v>
      </c>
      <c r="P281" s="358">
        <v>72.521372654322036</v>
      </c>
      <c r="Q281" s="358">
        <v>44.275666281087645</v>
      </c>
      <c r="R281" s="358">
        <v>44.275666281087645</v>
      </c>
      <c r="S281" s="383"/>
    </row>
    <row r="282" spans="1:19">
      <c r="C282" s="381" t="s">
        <v>360</v>
      </c>
      <c r="D282" s="382"/>
      <c r="E282" s="382" t="s">
        <v>132</v>
      </c>
      <c r="F282" s="382"/>
      <c r="G282" s="358">
        <v>1.03</v>
      </c>
      <c r="H282" s="358">
        <v>1.1100000000000001</v>
      </c>
      <c r="I282" s="358">
        <v>1.1100000000000001</v>
      </c>
      <c r="J282" s="358">
        <v>0.95</v>
      </c>
      <c r="K282" s="358">
        <v>1.1399999999999999</v>
      </c>
      <c r="L282" s="358">
        <v>1.01</v>
      </c>
      <c r="M282" s="358">
        <v>1.27</v>
      </c>
      <c r="N282" s="358">
        <v>1.2</v>
      </c>
      <c r="O282" s="358">
        <v>1.0900000000000001</v>
      </c>
      <c r="P282" s="358">
        <v>0.99</v>
      </c>
      <c r="Q282" s="358">
        <v>1</v>
      </c>
      <c r="R282" s="358">
        <v>1</v>
      </c>
      <c r="S282" s="383"/>
    </row>
    <row r="283" spans="1:19" s="349" customFormat="1">
      <c r="A283" s="346"/>
      <c r="B283" s="347"/>
      <c r="C283" s="377" t="s">
        <v>346</v>
      </c>
      <c r="D283" s="377"/>
      <c r="E283" s="377"/>
      <c r="F283" s="377"/>
      <c r="G283" s="377"/>
      <c r="H283" s="377"/>
      <c r="I283" s="377"/>
      <c r="J283" s="377"/>
      <c r="K283" s="377"/>
      <c r="L283" s="377"/>
      <c r="M283" s="377"/>
      <c r="N283" s="377"/>
      <c r="O283" s="377"/>
      <c r="P283" s="377"/>
      <c r="Q283" s="377"/>
      <c r="R283" s="377"/>
      <c r="S283" s="377"/>
    </row>
    <row r="284" spans="1:19" s="349" customFormat="1">
      <c r="A284" s="346"/>
      <c r="B284" s="347"/>
      <c r="C284" s="348" t="s">
        <v>361</v>
      </c>
      <c r="D284" s="348"/>
      <c r="E284" s="348"/>
      <c r="F284" s="348"/>
      <c r="G284" s="348"/>
      <c r="H284" s="348"/>
      <c r="I284" s="348"/>
      <c r="J284" s="348"/>
      <c r="K284" s="348"/>
      <c r="L284" s="348"/>
      <c r="M284" s="348"/>
      <c r="N284" s="348"/>
      <c r="O284" s="348"/>
      <c r="P284" s="348"/>
      <c r="Q284" s="348"/>
      <c r="R284" s="348"/>
      <c r="S284" s="348"/>
    </row>
    <row r="285" spans="1:19">
      <c r="C285" s="345"/>
      <c r="D285" s="341"/>
      <c r="E285" s="341"/>
      <c r="F285" s="342"/>
      <c r="G285" s="342"/>
      <c r="H285" s="342"/>
      <c r="I285" s="342"/>
      <c r="J285" s="342"/>
      <c r="K285" s="342"/>
      <c r="L285" s="342"/>
      <c r="M285" s="342"/>
      <c r="N285" s="342"/>
      <c r="O285" s="342"/>
      <c r="P285" s="342"/>
      <c r="Q285" s="342"/>
      <c r="R285" s="342"/>
      <c r="S285" s="342"/>
    </row>
    <row r="286" spans="1:19" s="5" customFormat="1">
      <c r="A286" s="19"/>
      <c r="B286" s="88">
        <f ca="1">MAX(tabellen!$B$1:OFFSET(B286,-1,0))+1</f>
        <v>16</v>
      </c>
      <c r="C286" s="89" t="s">
        <v>362</v>
      </c>
      <c r="D286" s="89"/>
      <c r="E286" s="89"/>
      <c r="F286" s="122"/>
      <c r="G286" s="123"/>
      <c r="H286" s="123"/>
      <c r="I286" s="123"/>
      <c r="J286" s="123"/>
      <c r="K286" s="123"/>
      <c r="L286" s="123"/>
      <c r="M286" s="123"/>
      <c r="N286" s="123"/>
      <c r="O286" s="123"/>
      <c r="P286" s="123"/>
      <c r="Q286" s="123"/>
      <c r="R286" s="123"/>
      <c r="S286" s="123"/>
    </row>
    <row r="287" spans="1:19" s="5" customFormat="1">
      <c r="A287" s="19"/>
      <c r="B287" s="120"/>
      <c r="C287" s="57" t="s">
        <v>327</v>
      </c>
      <c r="D287" s="57"/>
      <c r="E287" s="57" t="s">
        <v>204</v>
      </c>
      <c r="F287" s="64"/>
      <c r="G287" s="64">
        <v>1</v>
      </c>
      <c r="H287" s="64">
        <v>2</v>
      </c>
      <c r="I287" s="64">
        <v>3</v>
      </c>
      <c r="J287" s="64">
        <v>4</v>
      </c>
      <c r="K287" s="64">
        <v>5</v>
      </c>
      <c r="L287" s="64">
        <v>6</v>
      </c>
      <c r="M287" s="64">
        <v>7</v>
      </c>
      <c r="N287" s="64">
        <v>8</v>
      </c>
      <c r="O287" s="64">
        <v>9</v>
      </c>
      <c r="P287" s="64">
        <v>10</v>
      </c>
      <c r="Q287" s="64">
        <v>11</v>
      </c>
      <c r="R287" s="64">
        <v>12</v>
      </c>
      <c r="S287" s="64"/>
    </row>
    <row r="288" spans="1:19" s="5" customFormat="1">
      <c r="A288" s="19"/>
      <c r="B288" s="120"/>
      <c r="C288" s="360" t="s">
        <v>295</v>
      </c>
      <c r="D288" s="351"/>
      <c r="E288" s="351"/>
      <c r="F288" s="351"/>
      <c r="G288" s="351"/>
      <c r="H288" s="351"/>
      <c r="I288" s="351"/>
      <c r="J288" s="351"/>
      <c r="K288" s="351"/>
      <c r="L288" s="351"/>
      <c r="M288" s="351"/>
      <c r="N288" s="351"/>
      <c r="O288" s="351"/>
      <c r="P288" s="351"/>
      <c r="Q288" s="351"/>
      <c r="R288" s="351"/>
      <c r="S288" s="351"/>
    </row>
    <row r="289" spans="3:19">
      <c r="C289" s="353" t="s">
        <v>295</v>
      </c>
      <c r="D289" s="382"/>
      <c r="E289" s="382" t="s">
        <v>132</v>
      </c>
      <c r="F289" s="382"/>
      <c r="G289" s="388" t="str">
        <f>G$180</f>
        <v>kantoor</v>
      </c>
      <c r="H289" s="388" t="str">
        <f t="shared" ref="H289:R289" si="31">H$180</f>
        <v>bijeenkomst overig</v>
      </c>
      <c r="I289" s="388" t="str">
        <f t="shared" si="31"/>
        <v>bijeenkomst kinderopvang</v>
      </c>
      <c r="J289" s="388" t="str">
        <f t="shared" si="31"/>
        <v>onderwijs</v>
      </c>
      <c r="K289" s="388" t="str">
        <f t="shared" si="31"/>
        <v>gezondheid overig</v>
      </c>
      <c r="L289" s="388" t="str">
        <f t="shared" si="31"/>
        <v>gezondheid met bed</v>
      </c>
      <c r="M289" s="388" t="str">
        <f t="shared" si="31"/>
        <v>winkel</v>
      </c>
      <c r="N289" s="388" t="str">
        <f t="shared" si="31"/>
        <v>sport</v>
      </c>
      <c r="O289" s="388" t="str">
        <f t="shared" si="31"/>
        <v>logies</v>
      </c>
      <c r="P289" s="388" t="str">
        <f t="shared" si="31"/>
        <v>cellengebouw</v>
      </c>
      <c r="Q289" s="388" t="str">
        <f t="shared" si="31"/>
        <v>woning</v>
      </c>
      <c r="R289" s="388" t="str">
        <f t="shared" si="31"/>
        <v>woongebouw</v>
      </c>
      <c r="S289" s="383"/>
    </row>
    <row r="290" spans="3:19">
      <c r="C290" s="361" t="s">
        <v>363</v>
      </c>
      <c r="D290" s="373"/>
      <c r="E290" s="373"/>
      <c r="F290" s="373"/>
      <c r="G290" s="373"/>
      <c r="H290" s="373"/>
      <c r="I290" s="373"/>
      <c r="J290" s="373"/>
      <c r="K290" s="373"/>
      <c r="L290" s="373"/>
      <c r="M290" s="373"/>
      <c r="N290" s="373"/>
      <c r="O290" s="373"/>
      <c r="P290" s="373"/>
      <c r="Q290" s="373"/>
      <c r="R290" s="373"/>
      <c r="S290" s="373"/>
    </row>
    <row r="291" spans="3:19">
      <c r="C291" s="381" t="s">
        <v>364</v>
      </c>
      <c r="D291" s="382"/>
      <c r="E291" s="382" t="s">
        <v>320</v>
      </c>
      <c r="F291" s="382"/>
      <c r="G291" s="358">
        <v>1.8</v>
      </c>
      <c r="H291" s="358">
        <v>1.8</v>
      </c>
      <c r="I291" s="358">
        <v>1.8</v>
      </c>
      <c r="J291" s="358">
        <v>1.8</v>
      </c>
      <c r="K291" s="358">
        <v>1.8</v>
      </c>
      <c r="L291" s="358"/>
      <c r="M291" s="358">
        <v>1.8</v>
      </c>
      <c r="N291" s="358">
        <v>1.8</v>
      </c>
      <c r="O291" s="358">
        <v>1.8</v>
      </c>
      <c r="P291" s="358">
        <v>1.8</v>
      </c>
      <c r="Q291" s="358">
        <v>1.5</v>
      </c>
      <c r="R291" s="358">
        <v>1.83</v>
      </c>
      <c r="S291" s="383"/>
    </row>
    <row r="292" spans="3:19">
      <c r="C292" s="381" t="s">
        <v>365</v>
      </c>
      <c r="D292" s="382"/>
      <c r="E292" s="382" t="s">
        <v>320</v>
      </c>
      <c r="F292" s="382"/>
      <c r="G292" s="358">
        <v>1.8</v>
      </c>
      <c r="H292" s="358">
        <v>1.8</v>
      </c>
      <c r="I292" s="358">
        <v>1.8</v>
      </c>
      <c r="J292" s="358">
        <v>1.8</v>
      </c>
      <c r="K292" s="358">
        <v>1.8</v>
      </c>
      <c r="L292" s="358"/>
      <c r="M292" s="358">
        <v>1.8</v>
      </c>
      <c r="N292" s="358">
        <v>1.8</v>
      </c>
      <c r="O292" s="358">
        <v>1.8</v>
      </c>
      <c r="P292" s="358">
        <v>1.8</v>
      </c>
      <c r="Q292" s="358">
        <v>3</v>
      </c>
      <c r="R292" s="358">
        <v>3</v>
      </c>
      <c r="S292" s="383"/>
    </row>
    <row r="293" spans="3:19">
      <c r="C293" s="361" t="s">
        <v>366</v>
      </c>
      <c r="D293" s="373"/>
      <c r="E293" s="373"/>
      <c r="F293" s="373"/>
      <c r="G293" s="373"/>
      <c r="H293" s="373"/>
      <c r="I293" s="373"/>
      <c r="J293" s="373"/>
      <c r="K293" s="373"/>
      <c r="L293" s="373"/>
      <c r="M293" s="373"/>
      <c r="N293" s="373"/>
      <c r="O293" s="373"/>
      <c r="P293" s="373"/>
      <c r="Q293" s="373"/>
      <c r="R293" s="373"/>
      <c r="S293" s="373"/>
    </row>
    <row r="294" spans="3:19">
      <c r="C294" s="381" t="s">
        <v>367</v>
      </c>
      <c r="D294" s="382"/>
      <c r="E294" s="382" t="s">
        <v>330</v>
      </c>
      <c r="F294" s="382"/>
      <c r="G294" s="247">
        <v>90</v>
      </c>
      <c r="H294" s="247">
        <v>90</v>
      </c>
      <c r="I294" s="247">
        <v>160</v>
      </c>
      <c r="J294" s="247">
        <v>190</v>
      </c>
      <c r="K294" s="247">
        <v>90</v>
      </c>
      <c r="L294" s="247">
        <v>350</v>
      </c>
      <c r="M294" s="247">
        <v>70</v>
      </c>
      <c r="N294" s="247">
        <v>40</v>
      </c>
      <c r="O294" s="247">
        <v>100</v>
      </c>
      <c r="P294" s="247">
        <v>160</v>
      </c>
      <c r="Q294" s="247">
        <v>55</v>
      </c>
      <c r="R294" s="247">
        <v>65</v>
      </c>
      <c r="S294" s="383"/>
    </row>
    <row r="295" spans="3:19">
      <c r="C295" s="361" t="s">
        <v>368</v>
      </c>
      <c r="D295" s="373"/>
      <c r="E295" s="373"/>
      <c r="F295" s="373"/>
      <c r="G295" s="373"/>
      <c r="H295" s="373"/>
      <c r="I295" s="373"/>
      <c r="J295" s="373"/>
      <c r="K295" s="373"/>
      <c r="L295" s="373"/>
      <c r="M295" s="373"/>
      <c r="N295" s="373"/>
      <c r="O295" s="373"/>
      <c r="P295" s="373"/>
      <c r="Q295" s="373"/>
      <c r="R295" s="373"/>
      <c r="S295" s="373"/>
    </row>
    <row r="296" spans="3:19">
      <c r="C296" s="381" t="s">
        <v>196</v>
      </c>
      <c r="D296" s="382"/>
      <c r="E296" s="382" t="s">
        <v>330</v>
      </c>
      <c r="F296" s="382"/>
      <c r="G296" s="247">
        <v>90</v>
      </c>
      <c r="H296" s="247">
        <v>90</v>
      </c>
      <c r="I296" s="247">
        <v>160</v>
      </c>
      <c r="J296" s="247">
        <v>190</v>
      </c>
      <c r="K296" s="247">
        <v>90</v>
      </c>
      <c r="L296" s="247">
        <v>350</v>
      </c>
      <c r="M296" s="247">
        <v>70</v>
      </c>
      <c r="N296" s="247">
        <v>40</v>
      </c>
      <c r="O296" s="247">
        <v>100</v>
      </c>
      <c r="P296" s="247">
        <v>160</v>
      </c>
      <c r="Q296" s="247">
        <v>55</v>
      </c>
      <c r="R296" s="247">
        <v>55</v>
      </c>
      <c r="S296" s="383"/>
    </row>
    <row r="297" spans="3:19">
      <c r="C297" s="381" t="s">
        <v>197</v>
      </c>
      <c r="D297" s="382"/>
      <c r="E297" s="382" t="s">
        <v>330</v>
      </c>
      <c r="F297" s="382"/>
      <c r="G297" s="247">
        <v>30</v>
      </c>
      <c r="H297" s="247">
        <v>30</v>
      </c>
      <c r="I297" s="247">
        <v>30</v>
      </c>
      <c r="J297" s="247">
        <v>30</v>
      </c>
      <c r="K297" s="247">
        <v>35</v>
      </c>
      <c r="L297" s="247">
        <v>0</v>
      </c>
      <c r="M297" s="247">
        <v>30</v>
      </c>
      <c r="N297" s="247">
        <v>15</v>
      </c>
      <c r="O297" s="247">
        <v>35</v>
      </c>
      <c r="P297" s="247">
        <v>35</v>
      </c>
      <c r="Q297" s="247">
        <v>30</v>
      </c>
      <c r="R297" s="247">
        <v>30</v>
      </c>
      <c r="S297" s="383"/>
    </row>
    <row r="298" spans="3:19">
      <c r="C298" s="381" t="s">
        <v>369</v>
      </c>
      <c r="D298" s="382"/>
      <c r="E298" s="382" t="s">
        <v>320</v>
      </c>
      <c r="F298" s="382"/>
      <c r="G298" s="358">
        <v>1.8</v>
      </c>
      <c r="H298" s="358">
        <v>1.8</v>
      </c>
      <c r="I298" s="358">
        <v>1.8</v>
      </c>
      <c r="J298" s="358">
        <v>1.8</v>
      </c>
      <c r="K298" s="358">
        <v>1.8</v>
      </c>
      <c r="L298" s="358"/>
      <c r="M298" s="358">
        <v>1.8</v>
      </c>
      <c r="N298" s="358">
        <v>1.8</v>
      </c>
      <c r="O298" s="358">
        <v>1.8</v>
      </c>
      <c r="P298" s="358">
        <v>1.8</v>
      </c>
      <c r="Q298" s="358">
        <v>1.5</v>
      </c>
      <c r="R298" s="358">
        <v>1.5</v>
      </c>
      <c r="S298" s="383"/>
    </row>
    <row r="299" spans="3:19">
      <c r="C299" s="361" t="s">
        <v>370</v>
      </c>
      <c r="D299" s="373"/>
      <c r="E299" s="373"/>
      <c r="F299" s="373"/>
      <c r="G299" s="373"/>
      <c r="H299" s="373"/>
      <c r="I299" s="373"/>
      <c r="J299" s="373"/>
      <c r="K299" s="373"/>
      <c r="L299" s="373"/>
      <c r="M299" s="373"/>
      <c r="N299" s="373"/>
      <c r="O299" s="373"/>
      <c r="P299" s="373"/>
      <c r="Q299" s="373"/>
      <c r="R299" s="373"/>
      <c r="S299" s="373"/>
    </row>
    <row r="300" spans="3:19">
      <c r="C300" s="381" t="s">
        <v>371</v>
      </c>
      <c r="D300" s="382"/>
      <c r="E300" s="382" t="s">
        <v>330</v>
      </c>
      <c r="F300" s="382"/>
      <c r="G300" s="247">
        <v>90</v>
      </c>
      <c r="H300" s="247">
        <v>90</v>
      </c>
      <c r="I300" s="247">
        <v>160</v>
      </c>
      <c r="J300" s="247">
        <v>190</v>
      </c>
      <c r="K300" s="247">
        <v>90</v>
      </c>
      <c r="L300" s="247">
        <v>350</v>
      </c>
      <c r="M300" s="247">
        <v>70</v>
      </c>
      <c r="N300" s="247">
        <v>40</v>
      </c>
      <c r="O300" s="247">
        <v>100</v>
      </c>
      <c r="P300" s="247">
        <v>160</v>
      </c>
      <c r="Q300" s="247">
        <v>100</v>
      </c>
      <c r="R300" s="247">
        <v>100</v>
      </c>
      <c r="S300" s="383"/>
    </row>
    <row r="301" spans="3:19">
      <c r="C301" s="381" t="s">
        <v>372</v>
      </c>
      <c r="D301" s="382"/>
      <c r="E301" s="382" t="s">
        <v>330</v>
      </c>
      <c r="F301" s="382"/>
      <c r="G301" s="247">
        <v>30</v>
      </c>
      <c r="H301" s="247">
        <v>30</v>
      </c>
      <c r="I301" s="247">
        <v>30</v>
      </c>
      <c r="J301" s="247">
        <v>30</v>
      </c>
      <c r="K301" s="247">
        <v>35</v>
      </c>
      <c r="L301" s="247">
        <v>0</v>
      </c>
      <c r="M301" s="247">
        <v>30</v>
      </c>
      <c r="N301" s="247">
        <v>15</v>
      </c>
      <c r="O301" s="247">
        <v>35</v>
      </c>
      <c r="P301" s="247">
        <v>35</v>
      </c>
      <c r="Q301" s="247">
        <v>50</v>
      </c>
      <c r="R301" s="247">
        <v>50</v>
      </c>
      <c r="S301" s="383"/>
    </row>
    <row r="302" spans="3:19">
      <c r="C302" s="381" t="s">
        <v>373</v>
      </c>
      <c r="D302" s="382"/>
      <c r="E302" s="382" t="s">
        <v>320</v>
      </c>
      <c r="F302" s="382"/>
      <c r="G302" s="358">
        <v>1.8</v>
      </c>
      <c r="H302" s="358">
        <v>1.8</v>
      </c>
      <c r="I302" s="358">
        <v>1.8</v>
      </c>
      <c r="J302" s="358">
        <v>1.8</v>
      </c>
      <c r="K302" s="358">
        <v>1.8</v>
      </c>
      <c r="L302" s="358"/>
      <c r="M302" s="358">
        <v>1.8</v>
      </c>
      <c r="N302" s="358">
        <v>1.8</v>
      </c>
      <c r="O302" s="358">
        <v>1.8</v>
      </c>
      <c r="P302" s="358">
        <v>1.8</v>
      </c>
      <c r="Q302" s="358">
        <v>3</v>
      </c>
      <c r="R302" s="358">
        <v>3</v>
      </c>
      <c r="S302" s="383"/>
    </row>
    <row r="303" spans="3:19">
      <c r="C303" s="389" t="s">
        <v>374</v>
      </c>
      <c r="D303" s="390"/>
      <c r="E303" s="390"/>
      <c r="F303" s="390"/>
      <c r="G303" s="390"/>
      <c r="H303" s="390"/>
      <c r="I303" s="390"/>
      <c r="J303" s="390"/>
      <c r="K303" s="390"/>
      <c r="L303" s="390"/>
      <c r="M303" s="390"/>
      <c r="N303" s="390"/>
      <c r="O303" s="390"/>
      <c r="P303" s="390"/>
      <c r="Q303" s="390"/>
      <c r="R303" s="390"/>
      <c r="S303" s="390"/>
    </row>
    <row r="304" spans="3:19">
      <c r="C304" s="331" t="s">
        <v>375</v>
      </c>
      <c r="D304" s="90"/>
      <c r="E304" s="90" t="s">
        <v>330</v>
      </c>
      <c r="F304" s="90"/>
      <c r="G304" s="237">
        <v>40</v>
      </c>
      <c r="H304" s="237">
        <v>60</v>
      </c>
      <c r="I304" s="237">
        <v>70</v>
      </c>
      <c r="J304" s="237">
        <v>70</v>
      </c>
      <c r="K304" s="237">
        <v>50</v>
      </c>
      <c r="L304" s="237">
        <v>130</v>
      </c>
      <c r="M304" s="237">
        <v>60</v>
      </c>
      <c r="N304" s="237">
        <v>90</v>
      </c>
      <c r="O304" s="237">
        <v>130</v>
      </c>
      <c r="P304" s="237">
        <v>120</v>
      </c>
      <c r="Q304" s="237">
        <v>30</v>
      </c>
      <c r="R304" s="237">
        <v>50</v>
      </c>
      <c r="S304" s="23"/>
    </row>
    <row r="305" spans="1:19">
      <c r="C305" s="330" t="s">
        <v>376</v>
      </c>
      <c r="D305" s="23"/>
      <c r="E305" s="23"/>
      <c r="F305" s="23"/>
      <c r="G305" s="23"/>
      <c r="H305" s="23"/>
      <c r="I305" s="23"/>
      <c r="J305" s="23"/>
      <c r="K305" s="23"/>
      <c r="L305" s="23"/>
      <c r="M305" s="23"/>
      <c r="N305" s="23"/>
      <c r="O305" s="23"/>
      <c r="P305" s="23"/>
      <c r="Q305" s="23"/>
      <c r="R305" s="23"/>
      <c r="S305" s="23"/>
    </row>
    <row r="306" spans="1:19">
      <c r="C306" s="331" t="s">
        <v>377</v>
      </c>
      <c r="D306" s="90"/>
      <c r="E306" s="90" t="s">
        <v>378</v>
      </c>
      <c r="F306" s="90"/>
      <c r="G306" s="350">
        <v>0.3</v>
      </c>
      <c r="H306" s="350">
        <v>0.3</v>
      </c>
      <c r="I306" s="350">
        <v>0.4</v>
      </c>
      <c r="J306" s="350">
        <v>0.4</v>
      </c>
      <c r="K306" s="350">
        <v>0.4</v>
      </c>
      <c r="L306" s="350">
        <v>0.3</v>
      </c>
      <c r="M306" s="350">
        <v>0.3</v>
      </c>
      <c r="N306" s="350">
        <v>0.3</v>
      </c>
      <c r="O306" s="350">
        <v>0.4</v>
      </c>
      <c r="P306" s="350">
        <v>0.3</v>
      </c>
      <c r="Q306" s="350">
        <v>0.5</v>
      </c>
      <c r="R306" s="350">
        <v>0.4</v>
      </c>
      <c r="S306" s="23"/>
    </row>
    <row r="307" spans="1:19" s="349" customFormat="1">
      <c r="A307" s="346"/>
      <c r="B307" s="347"/>
      <c r="C307" s="348" t="s">
        <v>379</v>
      </c>
      <c r="D307" s="348"/>
      <c r="E307" s="348"/>
      <c r="F307" s="348"/>
      <c r="G307" s="348"/>
      <c r="H307" s="348"/>
      <c r="I307" s="348"/>
      <c r="J307" s="348"/>
      <c r="K307" s="348"/>
      <c r="L307" s="348"/>
      <c r="M307" s="348"/>
      <c r="N307" s="348"/>
      <c r="O307" s="348"/>
      <c r="P307" s="348"/>
      <c r="Q307" s="348"/>
      <c r="R307" s="348"/>
      <c r="S307" s="348"/>
    </row>
    <row r="308" spans="1:19">
      <c r="C308" s="345"/>
      <c r="D308" s="341"/>
      <c r="E308" s="341"/>
      <c r="F308" s="342"/>
      <c r="G308" s="342"/>
      <c r="H308" s="342"/>
      <c r="I308" s="342"/>
      <c r="J308" s="342"/>
      <c r="K308" s="342"/>
      <c r="L308" s="342"/>
      <c r="M308" s="342"/>
      <c r="N308" s="342"/>
      <c r="O308" s="342"/>
      <c r="P308" s="342"/>
      <c r="Q308" s="342"/>
      <c r="R308" s="342"/>
      <c r="S308" s="342"/>
    </row>
    <row r="309" spans="1:19" s="5" customFormat="1">
      <c r="A309" s="19"/>
      <c r="B309" s="88">
        <f ca="1">MAX(tabellen!$B$1:OFFSET(B309,-1,0))+1</f>
        <v>17</v>
      </c>
      <c r="C309" s="89" t="s">
        <v>380</v>
      </c>
      <c r="D309" s="89"/>
      <c r="E309" s="89"/>
      <c r="F309" s="122"/>
      <c r="G309" s="123"/>
      <c r="H309" s="123"/>
      <c r="I309" s="123"/>
      <c r="J309" s="123"/>
      <c r="K309" s="123"/>
      <c r="L309" s="705"/>
      <c r="M309" s="705"/>
      <c r="N309" s="705"/>
      <c r="O309" s="705"/>
      <c r="P309" s="705"/>
      <c r="Q309" s="705"/>
      <c r="R309" s="705"/>
      <c r="S309" s="705"/>
    </row>
    <row r="310" spans="1:19" s="5" customFormat="1">
      <c r="A310" s="19"/>
      <c r="B310" s="120"/>
      <c r="C310" s="57" t="s">
        <v>327</v>
      </c>
      <c r="D310" s="57"/>
      <c r="E310" s="57" t="s">
        <v>204</v>
      </c>
      <c r="F310" s="64"/>
      <c r="G310" s="64">
        <v>9</v>
      </c>
      <c r="H310" s="64">
        <v>10</v>
      </c>
      <c r="I310" s="64">
        <v>11</v>
      </c>
      <c r="J310" s="64">
        <v>12</v>
      </c>
      <c r="K310" s="64"/>
      <c r="L310" s="705"/>
      <c r="M310" s="705"/>
      <c r="N310" s="705"/>
      <c r="O310" s="705"/>
      <c r="P310" s="705"/>
      <c r="Q310" s="705"/>
      <c r="R310" s="705"/>
      <c r="S310" s="705"/>
    </row>
    <row r="311" spans="1:19" s="5" customFormat="1">
      <c r="A311" s="19"/>
      <c r="B311" s="120"/>
      <c r="C311" s="330" t="s">
        <v>295</v>
      </c>
      <c r="D311" s="23"/>
      <c r="E311" s="23"/>
      <c r="F311" s="351"/>
      <c r="G311" s="351"/>
      <c r="H311" s="351"/>
      <c r="I311" s="351"/>
      <c r="J311" s="351"/>
      <c r="K311" s="351"/>
      <c r="L311" s="705"/>
      <c r="M311" s="705"/>
      <c r="N311" s="705"/>
      <c r="O311" s="705"/>
      <c r="P311" s="705"/>
      <c r="Q311" s="705"/>
      <c r="R311" s="705"/>
      <c r="S311" s="705"/>
    </row>
    <row r="312" spans="1:19">
      <c r="C312" s="90" t="s">
        <v>295</v>
      </c>
      <c r="D312" s="90"/>
      <c r="E312" s="90" t="s">
        <v>132</v>
      </c>
      <c r="F312" s="406"/>
      <c r="G312" s="407" t="str">
        <f>$Q$180</f>
        <v>woning</v>
      </c>
      <c r="H312" s="407" t="str">
        <f>$Q$180</f>
        <v>woning</v>
      </c>
      <c r="I312" s="407" t="str">
        <f>$R$180</f>
        <v>woongebouw</v>
      </c>
      <c r="J312" s="407" t="str">
        <f>$R$180</f>
        <v>woongebouw</v>
      </c>
      <c r="K312" s="351"/>
      <c r="L312" s="703"/>
      <c r="M312" s="703"/>
      <c r="N312" s="703"/>
      <c r="O312" s="703"/>
      <c r="P312" s="703"/>
      <c r="Q312" s="703"/>
      <c r="R312" s="703"/>
      <c r="S312" s="703"/>
    </row>
    <row r="313" spans="1:19">
      <c r="C313" s="90" t="s">
        <v>381</v>
      </c>
      <c r="D313" s="90"/>
      <c r="E313" s="90"/>
      <c r="F313" s="353"/>
      <c r="G313" s="247" t="s">
        <v>382</v>
      </c>
      <c r="H313" s="247" t="s">
        <v>383</v>
      </c>
      <c r="I313" s="388" t="str">
        <f>G313</f>
        <v>&lt;1945</v>
      </c>
      <c r="J313" s="388" t="str">
        <f>H313</f>
        <v>&gt;1945</v>
      </c>
      <c r="K313" s="383"/>
      <c r="L313" s="703"/>
      <c r="M313" s="703"/>
      <c r="N313" s="703"/>
      <c r="O313" s="703"/>
      <c r="P313" s="703"/>
      <c r="Q313" s="703"/>
      <c r="R313" s="703"/>
      <c r="S313" s="703"/>
    </row>
    <row r="314" spans="1:19">
      <c r="C314" s="90" t="s">
        <v>384</v>
      </c>
      <c r="D314" s="90"/>
      <c r="E314" s="90" t="s">
        <v>132</v>
      </c>
      <c r="F314" s="353"/>
      <c r="G314" s="388" t="str">
        <f>G312&amp;" "&amp;G313</f>
        <v>woning &lt;1945</v>
      </c>
      <c r="H314" s="388" t="str">
        <f t="shared" ref="H314:J314" si="32">H312&amp;" "&amp;H313</f>
        <v>woning &gt;1945</v>
      </c>
      <c r="I314" s="388" t="str">
        <f t="shared" si="32"/>
        <v>woongebouw &lt;1945</v>
      </c>
      <c r="J314" s="388" t="str">
        <f t="shared" si="32"/>
        <v>woongebouw &gt;1945</v>
      </c>
      <c r="K314" s="383"/>
      <c r="L314" s="703"/>
      <c r="M314" s="703"/>
      <c r="N314" s="703"/>
      <c r="O314" s="703"/>
      <c r="P314" s="703"/>
      <c r="Q314" s="703"/>
      <c r="R314" s="703"/>
      <c r="S314" s="703"/>
    </row>
    <row r="315" spans="1:19">
      <c r="C315" s="330" t="s">
        <v>385</v>
      </c>
      <c r="D315" s="23"/>
      <c r="E315" s="23"/>
      <c r="F315" s="373"/>
      <c r="G315" s="373"/>
      <c r="H315" s="373"/>
      <c r="I315" s="373"/>
      <c r="J315" s="373"/>
      <c r="K315" s="373"/>
      <c r="L315" s="703"/>
      <c r="M315" s="703"/>
      <c r="N315" s="703"/>
      <c r="O315" s="703"/>
      <c r="P315" s="703"/>
      <c r="Q315" s="703"/>
      <c r="R315" s="703"/>
      <c r="S315" s="703"/>
    </row>
    <row r="316" spans="1:19">
      <c r="C316" s="331" t="s">
        <v>386</v>
      </c>
      <c r="D316" s="90"/>
      <c r="E316" s="90" t="s">
        <v>320</v>
      </c>
      <c r="F316" s="353"/>
      <c r="G316" s="358">
        <v>1</v>
      </c>
      <c r="H316" s="358">
        <v>1</v>
      </c>
      <c r="I316" s="358">
        <v>1</v>
      </c>
      <c r="J316" s="358">
        <v>1</v>
      </c>
      <c r="K316" s="383"/>
      <c r="L316" s="703"/>
      <c r="M316" s="703"/>
      <c r="N316" s="703"/>
      <c r="O316" s="703"/>
      <c r="P316" s="703"/>
      <c r="Q316" s="703"/>
      <c r="R316" s="703"/>
      <c r="S316" s="703"/>
    </row>
    <row r="317" spans="1:19">
      <c r="C317" s="403" t="s">
        <v>387</v>
      </c>
      <c r="D317" s="23"/>
      <c r="E317" s="23"/>
      <c r="F317" s="373"/>
      <c r="G317" s="373"/>
      <c r="H317" s="373"/>
      <c r="I317" s="373"/>
      <c r="J317" s="373"/>
      <c r="K317" s="373"/>
      <c r="L317" s="703"/>
      <c r="M317" s="703"/>
      <c r="N317" s="703"/>
      <c r="O317" s="703"/>
      <c r="P317" s="703"/>
      <c r="Q317" s="703"/>
      <c r="R317" s="703"/>
      <c r="S317" s="703"/>
    </row>
    <row r="318" spans="1:19">
      <c r="C318" s="405" t="s">
        <v>388</v>
      </c>
      <c r="D318" s="90"/>
      <c r="E318" s="90" t="s">
        <v>330</v>
      </c>
      <c r="F318" s="353"/>
      <c r="G318" s="247">
        <v>60</v>
      </c>
      <c r="H318" s="247">
        <v>43</v>
      </c>
      <c r="I318" s="247">
        <v>95</v>
      </c>
      <c r="J318" s="247">
        <v>45</v>
      </c>
      <c r="K318" s="383"/>
      <c r="L318" s="703"/>
      <c r="M318" s="703"/>
      <c r="N318" s="703"/>
      <c r="O318" s="703"/>
      <c r="P318" s="703"/>
      <c r="Q318" s="703"/>
      <c r="R318" s="703"/>
      <c r="S318" s="703"/>
    </row>
    <row r="319" spans="1:19">
      <c r="C319" s="330" t="s">
        <v>389</v>
      </c>
      <c r="D319" s="23"/>
      <c r="E319" s="23"/>
      <c r="F319" s="373"/>
      <c r="G319" s="373"/>
      <c r="H319" s="373"/>
      <c r="I319" s="373"/>
      <c r="J319" s="373"/>
      <c r="K319" s="373"/>
      <c r="L319" s="703"/>
      <c r="M319" s="703"/>
      <c r="N319" s="703"/>
      <c r="O319" s="703"/>
      <c r="P319" s="703"/>
      <c r="Q319" s="703"/>
      <c r="R319" s="703"/>
      <c r="S319" s="703"/>
    </row>
    <row r="320" spans="1:19">
      <c r="C320" s="331" t="s">
        <v>196</v>
      </c>
      <c r="D320" s="90"/>
      <c r="E320" s="90" t="s">
        <v>330</v>
      </c>
      <c r="F320" s="353"/>
      <c r="G320" s="247">
        <v>60</v>
      </c>
      <c r="H320" s="247">
        <v>43</v>
      </c>
      <c r="I320" s="247">
        <v>95</v>
      </c>
      <c r="J320" s="247">
        <v>45</v>
      </c>
      <c r="K320" s="383"/>
      <c r="L320" s="703"/>
      <c r="M320" s="703"/>
      <c r="N320" s="703"/>
      <c r="O320" s="703"/>
      <c r="P320" s="703"/>
      <c r="Q320" s="703"/>
      <c r="R320" s="703"/>
      <c r="S320" s="703"/>
    </row>
    <row r="321" spans="1:19">
      <c r="C321" s="331" t="s">
        <v>197</v>
      </c>
      <c r="D321" s="90"/>
      <c r="E321" s="90" t="s">
        <v>330</v>
      </c>
      <c r="F321" s="353"/>
      <c r="G321" s="247">
        <v>105</v>
      </c>
      <c r="H321" s="247">
        <v>40</v>
      </c>
      <c r="I321" s="247">
        <v>70</v>
      </c>
      <c r="J321" s="247">
        <v>45</v>
      </c>
      <c r="K321" s="383"/>
      <c r="L321" s="703"/>
      <c r="M321" s="703"/>
      <c r="N321" s="703"/>
      <c r="O321" s="703"/>
      <c r="P321" s="703"/>
      <c r="Q321" s="703"/>
      <c r="R321" s="703"/>
      <c r="S321" s="703"/>
    </row>
    <row r="322" spans="1:19" s="349" customFormat="1">
      <c r="A322" s="346"/>
      <c r="B322" s="347"/>
      <c r="C322" s="404" t="s">
        <v>390</v>
      </c>
      <c r="D322" s="348"/>
      <c r="E322" s="348"/>
      <c r="F322" s="348"/>
      <c r="G322" s="348"/>
      <c r="H322" s="348"/>
      <c r="I322" s="348"/>
      <c r="J322" s="348"/>
      <c r="K322" s="348"/>
    </row>
  </sheetData>
  <sheetProtection sheet="1" objects="1" scenarios="1"/>
  <mergeCells count="2">
    <mergeCell ref="F3:G3"/>
    <mergeCell ref="C3:D3"/>
  </mergeCells>
  <conditionalFormatting sqref="C71:C72">
    <cfRule type="expression" dxfId="15" priority="11">
      <formula>OFFSET(C71,-1,0)=C71</formula>
    </cfRule>
  </conditionalFormatting>
  <conditionalFormatting sqref="C76">
    <cfRule type="expression" dxfId="14" priority="9">
      <formula>OFFSET(C76,-1,0)=C76</formula>
    </cfRule>
  </conditionalFormatting>
  <conditionalFormatting sqref="C82:C83">
    <cfRule type="expression" dxfId="13" priority="5">
      <formula>OFFSET(C82,-1,0)=C82</formula>
    </cfRule>
  </conditionalFormatting>
  <conditionalFormatting sqref="C105:C106">
    <cfRule type="expression" dxfId="12" priority="3">
      <formula>OFFSET(C105,-1,0)=C105</formula>
    </cfRule>
  </conditionalFormatting>
  <conditionalFormatting sqref="C110">
    <cfRule type="expression" dxfId="11" priority="2">
      <formula>OFFSET(C110,-1,0)=C110</formula>
    </cfRule>
  </conditionalFormatting>
  <conditionalFormatting sqref="C116:C117">
    <cfRule type="expression" dxfId="10" priority="1">
      <formula>OFFSET(C116,-1,0)=C116</formula>
    </cfRule>
  </conditionalFormatting>
  <conditionalFormatting sqref="C135:C151">
    <cfRule type="expression" dxfId="9" priority="4">
      <formula>OFFSET(C135,-1,0)=C135</formula>
    </cfRule>
  </conditionalFormatting>
  <conditionalFormatting sqref="C156:C159">
    <cfRule type="expression" dxfId="8" priority="28">
      <formula>OFFSET(C156,-1,0)=C156</formula>
    </cfRule>
  </conditionalFormatting>
  <conditionalFormatting sqref="C203:S204">
    <cfRule type="expression" dxfId="7" priority="17">
      <formula>OFFSET(C203,-1,0)=C203</formula>
    </cfRule>
  </conditionalFormatting>
  <conditionalFormatting sqref="C273:S274">
    <cfRule type="expression" dxfId="6" priority="16">
      <formula>OFFSET(C273,-1,0)=C273</formula>
    </cfRule>
  </conditionalFormatting>
  <conditionalFormatting sqref="C283:S284">
    <cfRule type="expression" dxfId="5" priority="14">
      <formula>OFFSET(C283,-1,0)=C283</formula>
    </cfRule>
  </conditionalFormatting>
  <conditionalFormatting sqref="C307:S307">
    <cfRule type="expression" dxfId="4" priority="13">
      <formula>OFFSET(C307,-1,0)=C307</formula>
    </cfRule>
  </conditionalFormatting>
  <dataValidations disablePrompts="1" count="2">
    <dataValidation allowBlank="1" showInputMessage="1" showErrorMessage="1" promptTitle="Voorbeeldwoningen en -gebouwen" prompt="De voorbeeldgebouwen bestaan uit:_x000a_- RVO referentiewoningen nieuwbouw_x000a_   &gt;vrij L, tussenwon S, .._x000a_- Voorbeeldwoningen 2020_x000a_   &gt;type (vrij, 2/1 kap,..) _x000a_   &gt;bouwjaarklasse (92-05=1992-2005)_x000a_- Voorbeeldgebouwen utiliteit_x000a_- Door gebruiker ingevoerde gebouwen" sqref="B156" xr:uid="{DBD625E2-3510-4A5A-8987-BAE06C61F98B}"/>
    <dataValidation type="textLength" operator="lessThanOrEqual" allowBlank="1" showInputMessage="1" showErrorMessage="1" errorTitle="aantal karakters &gt;13" error="Het maximaal aantal karakters in de naam is 13." sqref="G156:CN156" xr:uid="{3E7127C8-F79D-4C95-861E-ED80459F3D51}">
      <formula1>20</formula1>
    </dataValidation>
  </dataValidations>
  <hyperlinks>
    <hyperlink ref="A1" location="'Overzicht GPR Hulpmiddelen'!A1" tooltip="naar startscherm" display="&lt;" xr:uid="{6E7024B4-BE25-4912-BD8A-792143770BB5}"/>
    <hyperlink ref="C307" r:id="rId1" xr:uid="{3D6DA138-C649-4FDB-A56B-0AE2F19A8970}"/>
    <hyperlink ref="C322" r:id="rId2" display="https://zoek.officielebekendmakingen.nl/stb-2019-501.html" xr:uid="{588D8BF8-2A33-4682-9A4E-4EE05882E5A8}"/>
  </hyperlinks>
  <pageMargins left="0.7" right="0.7" top="0.75" bottom="0.75" header="0.3" footer="0.3"/>
  <pageSetup paperSize="9" orientation="portrait" horizontalDpi="4294967295" verticalDpi="4294967295" r:id="rId3"/>
  <drawing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83CC0-5A71-40BC-9346-52C0A0D430F6}">
  <sheetPr codeName="Blad151">
    <tabColor theme="5"/>
  </sheetPr>
  <dimension ref="A1:M93"/>
  <sheetViews>
    <sheetView showGridLines="0" showRowColHeaders="0" zoomScaleNormal="100" workbookViewId="0">
      <pane xSplit="1" ySplit="3" topLeftCell="B4" activePane="bottomRight" state="frozen"/>
      <selection pane="topRight" activeCell="B1" sqref="B1"/>
      <selection pane="bottomLeft" activeCell="A4" sqref="A4"/>
      <selection pane="bottomRight" activeCell="C19" sqref="C19"/>
    </sheetView>
  </sheetViews>
  <sheetFormatPr defaultColWidth="9.1796875" defaultRowHeight="11"/>
  <cols>
    <col min="1" max="1" width="9.1796875" style="187"/>
    <col min="2" max="2" width="2.7265625" style="187" customWidth="1"/>
    <col min="3" max="3" width="33.453125" style="187" customWidth="1"/>
    <col min="4" max="8" width="12.26953125" style="188" customWidth="1"/>
    <col min="9" max="10" width="12.26953125" style="187" customWidth="1"/>
    <col min="11" max="11" width="12.26953125" style="189" customWidth="1"/>
    <col min="12" max="19" width="9.1796875" style="187" customWidth="1"/>
    <col min="20" max="16384" width="9.1796875" style="187"/>
  </cols>
  <sheetData>
    <row r="1" spans="1:13" s="18" customFormat="1" ht="32.5">
      <c r="A1" s="192" t="s">
        <v>12</v>
      </c>
      <c r="B1" s="193"/>
      <c r="C1" s="194"/>
      <c r="D1" s="31"/>
      <c r="E1" s="31"/>
      <c r="F1" s="31"/>
      <c r="G1" s="507"/>
      <c r="J1" s="157"/>
    </row>
    <row r="2" spans="1:13" s="172" customFormat="1" ht="21">
      <c r="A2" s="33"/>
      <c r="B2" s="28" t="s">
        <v>1326</v>
      </c>
      <c r="C2" s="32"/>
      <c r="D2" s="32"/>
      <c r="E2" s="32"/>
      <c r="F2" s="32"/>
      <c r="G2" s="32"/>
      <c r="H2" s="32"/>
      <c r="I2" s="195"/>
      <c r="J2" s="196"/>
      <c r="K2" s="195"/>
      <c r="L2" s="195"/>
    </row>
    <row r="3" spans="1:13" s="29" customFormat="1" ht="17.5">
      <c r="B3" s="1687">
        <v>44524</v>
      </c>
      <c r="C3" s="1688"/>
    </row>
    <row r="4" spans="1:13" s="18" customFormat="1" ht="17.5">
      <c r="A4" s="29"/>
      <c r="B4" s="14"/>
      <c r="C4" s="67"/>
      <c r="D4" s="67"/>
      <c r="E4" s="67"/>
      <c r="F4" s="14"/>
      <c r="G4" s="14"/>
      <c r="H4" s="14"/>
      <c r="I4" s="14"/>
      <c r="J4" s="14"/>
      <c r="K4" s="14"/>
      <c r="L4" s="14"/>
    </row>
    <row r="5" spans="1:13" s="19" customFormat="1" ht="17.5">
      <c r="A5" s="29"/>
      <c r="B5" s="14"/>
      <c r="C5" s="68" t="s">
        <v>3</v>
      </c>
      <c r="D5" s="68"/>
      <c r="E5" s="68"/>
      <c r="F5" s="14"/>
      <c r="G5" s="68" t="s">
        <v>485</v>
      </c>
      <c r="H5" s="14"/>
      <c r="I5" s="14"/>
      <c r="J5" s="14"/>
      <c r="K5" s="14"/>
      <c r="L5" s="14"/>
      <c r="M5" s="18"/>
    </row>
    <row r="6" spans="1:13" s="19" customFormat="1" ht="17.25" customHeight="1">
      <c r="A6" s="29"/>
      <c r="B6" s="14"/>
      <c r="C6" s="22" t="s">
        <v>4</v>
      </c>
      <c r="D6" s="1691"/>
      <c r="E6" s="1691"/>
      <c r="F6" s="208"/>
      <c r="G6" s="14"/>
      <c r="H6" s="14"/>
      <c r="I6" s="14"/>
      <c r="J6" s="14"/>
      <c r="K6" s="14"/>
      <c r="L6" s="14"/>
      <c r="M6" s="18"/>
    </row>
    <row r="7" spans="1:13" s="19" customFormat="1" ht="17.5">
      <c r="A7" s="29"/>
      <c r="B7" s="14"/>
      <c r="C7" s="22" t="s">
        <v>5</v>
      </c>
      <c r="D7" s="1691"/>
      <c r="E7" s="1691"/>
      <c r="F7" s="14"/>
      <c r="G7" s="14"/>
      <c r="H7" s="14"/>
      <c r="I7" s="14"/>
      <c r="J7" s="14"/>
      <c r="K7" s="14"/>
      <c r="L7" s="14"/>
      <c r="M7" s="18"/>
    </row>
    <row r="8" spans="1:13" s="19" customFormat="1" ht="17.5">
      <c r="A8" s="29"/>
      <c r="B8" s="14"/>
      <c r="C8" s="22" t="s">
        <v>6</v>
      </c>
      <c r="D8" s="1691"/>
      <c r="E8" s="1691"/>
      <c r="F8" s="14"/>
      <c r="G8" s="14"/>
      <c r="H8" s="14"/>
      <c r="I8" s="14"/>
      <c r="J8" s="14"/>
      <c r="K8" s="14"/>
      <c r="L8" s="14"/>
      <c r="M8" s="18"/>
    </row>
    <row r="9" spans="1:13" s="19" customFormat="1" ht="17.5">
      <c r="A9" s="29"/>
      <c r="B9" s="14"/>
      <c r="C9" s="22" t="s">
        <v>7</v>
      </c>
      <c r="D9" s="1699"/>
      <c r="E9" s="1699"/>
      <c r="F9" s="14"/>
      <c r="G9" s="14"/>
      <c r="H9" s="14"/>
      <c r="I9" s="14"/>
      <c r="J9" s="14"/>
      <c r="K9" s="14"/>
      <c r="L9" s="14"/>
      <c r="M9" s="18"/>
    </row>
    <row r="10" spans="1:13" s="19" customFormat="1" ht="17.5">
      <c r="A10" s="29"/>
      <c r="B10" s="14"/>
      <c r="C10" s="22" t="s">
        <v>488</v>
      </c>
      <c r="D10" s="1685"/>
      <c r="E10" s="1685"/>
      <c r="F10" s="14"/>
      <c r="G10" s="14"/>
      <c r="H10" s="14"/>
      <c r="I10" s="14"/>
      <c r="J10" s="14"/>
      <c r="K10" s="14"/>
      <c r="L10" s="14"/>
      <c r="M10" s="18"/>
    </row>
    <row r="11" spans="1:13" s="18" customFormat="1" ht="17.5">
      <c r="A11" s="29"/>
      <c r="B11" s="14"/>
      <c r="C11" s="14"/>
      <c r="D11" s="14"/>
      <c r="E11" s="14"/>
      <c r="F11" s="14"/>
      <c r="G11" s="14"/>
      <c r="H11" s="35"/>
      <c r="I11" s="35"/>
      <c r="J11" s="35"/>
      <c r="K11" s="35"/>
      <c r="L11" s="35"/>
    </row>
    <row r="12" spans="1:13" ht="17.5">
      <c r="A12" s="29"/>
      <c r="B12" s="14"/>
      <c r="C12" s="22" t="s">
        <v>558</v>
      </c>
      <c r="D12" s="1685"/>
      <c r="E12" s="1698"/>
      <c r="F12" s="14"/>
      <c r="G12" s="14"/>
      <c r="H12" s="14"/>
      <c r="I12" s="14"/>
      <c r="J12" s="14"/>
      <c r="K12" s="14"/>
      <c r="L12" s="14"/>
      <c r="M12" s="18"/>
    </row>
    <row r="13" spans="1:13" ht="17.5">
      <c r="A13" s="29"/>
      <c r="B13" s="184" t="s">
        <v>396</v>
      </c>
      <c r="C13" s="22" t="s">
        <v>559</v>
      </c>
      <c r="D13" s="1685"/>
      <c r="E13" s="1698"/>
      <c r="F13" s="14"/>
      <c r="G13" s="14"/>
      <c r="H13" s="14"/>
      <c r="I13" s="14"/>
      <c r="J13" s="14"/>
      <c r="K13" s="14"/>
      <c r="L13" s="14"/>
      <c r="M13" s="18"/>
    </row>
    <row r="14" spans="1:13" ht="17.5">
      <c r="A14" s="29"/>
      <c r="B14" s="184"/>
      <c r="C14" s="14"/>
      <c r="D14" s="14"/>
      <c r="E14" s="14"/>
      <c r="F14" s="14"/>
      <c r="G14" s="14"/>
      <c r="H14" s="14"/>
      <c r="I14" s="14"/>
      <c r="J14" s="14"/>
      <c r="K14" s="14"/>
      <c r="L14" s="14"/>
      <c r="M14" s="18"/>
    </row>
    <row r="15" spans="1:13" ht="17.5">
      <c r="A15" s="29"/>
      <c r="B15" s="184"/>
      <c r="C15" s="22" t="str">
        <f>_xlfn.CONCAT("Grenswaarde CO2-emissie ",D12)</f>
        <v xml:space="preserve">Grenswaarde CO2-emissie </v>
      </c>
      <c r="D15" s="22"/>
      <c r="E15" s="22"/>
      <c r="F15" s="142" t="e" cm="1">
        <f t="array" ref="F15">INDEX(CO2_GPR_score_6,MATCH($D$12,Gebruiksfuncties,0),IF($D$13=NEN_7120,2,3))</f>
        <v>#N/A</v>
      </c>
      <c r="G15" s="47" t="s">
        <v>427</v>
      </c>
      <c r="H15" s="14"/>
      <c r="I15" s="14"/>
      <c r="J15" s="14"/>
      <c r="K15" s="14"/>
      <c r="L15" s="14"/>
      <c r="M15" s="18"/>
    </row>
    <row r="16" spans="1:13" ht="17.5">
      <c r="A16" s="29"/>
      <c r="B16" s="184"/>
      <c r="C16" s="22" t="s">
        <v>572</v>
      </c>
      <c r="D16" s="22"/>
      <c r="E16" s="22"/>
      <c r="F16" s="144">
        <f>IF(K21="",0,IFERROR(IF(F15=0,"",1-K21/F15),""))</f>
        <v>0</v>
      </c>
      <c r="G16" s="47" t="s">
        <v>427</v>
      </c>
      <c r="H16" s="14"/>
      <c r="I16" s="14"/>
      <c r="J16" s="14"/>
      <c r="K16" s="14"/>
      <c r="L16" s="14"/>
      <c r="M16" s="18"/>
    </row>
    <row r="17" spans="1:13" s="18" customFormat="1" ht="17.5">
      <c r="A17" s="29"/>
      <c r="B17" s="14"/>
      <c r="C17" s="14"/>
      <c r="D17" s="14"/>
      <c r="E17" s="14"/>
      <c r="F17" s="14"/>
      <c r="G17" s="14"/>
      <c r="H17" s="35"/>
      <c r="I17" s="35"/>
      <c r="J17" s="14"/>
      <c r="K17" s="14"/>
      <c r="L17" s="35"/>
    </row>
    <row r="18" spans="1:13" s="426" customFormat="1" ht="32">
      <c r="A18" s="422"/>
      <c r="B18" s="423"/>
      <c r="C18" s="424" t="s">
        <v>1327</v>
      </c>
      <c r="D18" s="427" t="s">
        <v>1328</v>
      </c>
      <c r="E18" s="427" t="str">
        <f>_xlfn.CONCAT("Gas
",IF(OR($D$12=tabellen_EMD!$C$58,$D$12=tabellen_EMD!$C$59),"[m3]","[m3/m2]"))</f>
        <v>Gas
[m3/m2]</v>
      </c>
      <c r="F18" s="427" t="str">
        <f>_xlfn.CONCAT("Elektriciteit
",IF(OR($D$12=tabellen_EMD!$C$58,$D$12=tabellen_EMD!$C$59),"[kWh]","[kWh/m2]"))</f>
        <v>Elektriciteit
[kWh/m2]</v>
      </c>
      <c r="G18" s="427" t="str">
        <f>_xlfn.CONCAT("Warmte
",IF(OR($D$12=tabellen_EMD!$C$58,$D$12=tabellen_EMD!$C$59),"[GJ]","[GJ/m2]"))</f>
        <v>Warmte
[GJ/m2]</v>
      </c>
      <c r="H18" s="427" t="str">
        <f>_xlfn.CONCAT("Prim energie
",IF(D13=NEN_7120,"[MJ","[kWh"),
IF(OR($D$12=tabellen_EMD!$C$58,$D$12=tabellen_EMD!$C$59),"]","/m2]"))</f>
        <v>Prim energie
[kWh/m2]</v>
      </c>
      <c r="I18" s="427" t="s">
        <v>1329</v>
      </c>
      <c r="J18" s="397" t="s">
        <v>1330</v>
      </c>
      <c r="K18" s="427" t="str">
        <f>_xlfn.CONCAT("CO2
",IF(OR($D$12=tabellen_EMD!$C$58,$D$12=tabellen_EMD!$C$59),"[kg]","[kg/m2]"))</f>
        <v>CO2
[kg/m2]</v>
      </c>
      <c r="L18" s="423"/>
      <c r="M18" s="425"/>
    </row>
    <row r="19" spans="1:13" s="426" customFormat="1" ht="17.5">
      <c r="A19" s="422"/>
      <c r="B19" s="423"/>
      <c r="C19" s="424" t="str">
        <f>_xlfn.CONCAT("Totaal voor ",COUNTA(C22:C91)," woningen")</f>
        <v>Totaal voor 0 woningen</v>
      </c>
      <c r="D19" s="428">
        <f>SUM(D22:D91)</f>
        <v>0</v>
      </c>
      <c r="E19" s="428">
        <f t="shared" ref="E19:H19" si="0">SUM(E22:E91)</f>
        <v>0</v>
      </c>
      <c r="F19" s="428">
        <f t="shared" si="0"/>
        <v>0</v>
      </c>
      <c r="G19" s="431">
        <f t="shared" si="0"/>
        <v>0</v>
      </c>
      <c r="H19" s="428">
        <f t="shared" si="0"/>
        <v>0</v>
      </c>
      <c r="I19" s="429" t="s">
        <v>132</v>
      </c>
      <c r="J19" s="427"/>
      <c r="K19" s="428">
        <f t="shared" ref="K19" si="1">SUM(K22:K91)</f>
        <v>0</v>
      </c>
      <c r="L19" s="423"/>
      <c r="M19" s="425"/>
    </row>
    <row r="20" spans="1:13" s="426" customFormat="1" ht="17.5">
      <c r="A20" s="422"/>
      <c r="B20" s="423"/>
      <c r="C20" s="424" t="s">
        <v>1331</v>
      </c>
      <c r="D20" s="428" t="str">
        <f>IFERROR(SUM(D22:D91)/COUNTA($C$22:$C$91),"")</f>
        <v/>
      </c>
      <c r="E20" s="428" t="str">
        <f>IFERROR(SUM(E22:E91)/COUNTA($C$22:$C$91),"")</f>
        <v/>
      </c>
      <c r="F20" s="428" t="str">
        <f>IFERROR(SUM(F22:F91)/COUNTA($C$22:$C$91),"")</f>
        <v/>
      </c>
      <c r="G20" s="431" t="str">
        <f>IFERROR(SUM(G22:G91)/COUNTA($C$22:$C$91),"")</f>
        <v/>
      </c>
      <c r="H20" s="428" t="str">
        <f>IFERROR(SUM(H22:H91)/COUNTA($C$22:$C$91),"")</f>
        <v/>
      </c>
      <c r="I20" s="430" t="str">
        <f>IFERROR(SUMPRODUCT(D22:D91,I22:I91)/D19,"")</f>
        <v/>
      </c>
      <c r="J20" s="427"/>
      <c r="K20" s="428" t="str">
        <f>IFERROR(SUM(K22:K91)/COUNTA($C$22:$C$91),"")</f>
        <v/>
      </c>
      <c r="L20" s="423"/>
      <c r="M20" s="425"/>
    </row>
    <row r="21" spans="1:13" s="426" customFormat="1" ht="17.5">
      <c r="A21" s="422"/>
      <c r="B21" s="423"/>
      <c r="C21" s="424" t="s">
        <v>1332</v>
      </c>
      <c r="D21" s="432" t="s">
        <v>132</v>
      </c>
      <c r="E21" s="431" t="str">
        <f>IFERROR(SUM(E$22:E$91)/$D$19,"")</f>
        <v/>
      </c>
      <c r="F21" s="431" t="str">
        <f t="shared" ref="F21:H21" si="2">IFERROR(SUM(F$22:F$91)/$D$19,"")</f>
        <v/>
      </c>
      <c r="G21" s="431" t="str">
        <f t="shared" si="2"/>
        <v/>
      </c>
      <c r="H21" s="431" t="str">
        <f t="shared" si="2"/>
        <v/>
      </c>
      <c r="I21" s="432" t="s">
        <v>132</v>
      </c>
      <c r="J21" s="432"/>
      <c r="K21" s="431" t="str">
        <f>IFERROR(SUM(K$22:K$91)/$D$19,"")</f>
        <v/>
      </c>
      <c r="L21" s="423"/>
      <c r="M21" s="425"/>
    </row>
    <row r="22" spans="1:13" s="190" customFormat="1" ht="17.5">
      <c r="A22" s="29"/>
      <c r="B22" s="165">
        <v>1</v>
      </c>
      <c r="C22" s="145"/>
      <c r="D22" s="25"/>
      <c r="E22" s="25"/>
      <c r="F22" s="25"/>
      <c r="G22" s="25"/>
      <c r="H22" s="25"/>
      <c r="I22" s="154"/>
      <c r="J22" s="201"/>
      <c r="K22" s="25"/>
      <c r="L22" s="14"/>
      <c r="M22" s="18"/>
    </row>
    <row r="23" spans="1:13" s="190" customFormat="1" ht="17.5">
      <c r="A23" s="29"/>
      <c r="B23" s="165">
        <v>2</v>
      </c>
      <c r="C23" s="145"/>
      <c r="D23" s="25"/>
      <c r="E23" s="25"/>
      <c r="F23" s="25"/>
      <c r="G23" s="25"/>
      <c r="H23" s="25"/>
      <c r="I23" s="154"/>
      <c r="J23" s="201"/>
      <c r="K23" s="25"/>
      <c r="L23" s="14"/>
      <c r="M23" s="18"/>
    </row>
    <row r="24" spans="1:13" s="190" customFormat="1" ht="17.5">
      <c r="A24" s="29"/>
      <c r="B24" s="165">
        <v>3</v>
      </c>
      <c r="C24" s="145"/>
      <c r="D24" s="25"/>
      <c r="E24" s="25"/>
      <c r="F24" s="25"/>
      <c r="G24" s="25"/>
      <c r="H24" s="25"/>
      <c r="I24" s="154"/>
      <c r="J24" s="201"/>
      <c r="K24" s="25"/>
      <c r="L24" s="14"/>
      <c r="M24" s="18"/>
    </row>
    <row r="25" spans="1:13" s="190" customFormat="1" ht="17.5">
      <c r="A25" s="29"/>
      <c r="B25" s="165">
        <v>4</v>
      </c>
      <c r="C25" s="145"/>
      <c r="D25" s="25"/>
      <c r="E25" s="25"/>
      <c r="F25" s="25"/>
      <c r="G25" s="25"/>
      <c r="H25" s="25"/>
      <c r="I25" s="154"/>
      <c r="J25" s="201"/>
      <c r="K25" s="25"/>
      <c r="L25" s="14"/>
      <c r="M25" s="18"/>
    </row>
    <row r="26" spans="1:13" s="190" customFormat="1" ht="17.5">
      <c r="A26" s="29"/>
      <c r="B26" s="165">
        <v>5</v>
      </c>
      <c r="C26" s="145"/>
      <c r="D26" s="25"/>
      <c r="E26" s="25"/>
      <c r="F26" s="25"/>
      <c r="G26" s="25"/>
      <c r="H26" s="25"/>
      <c r="I26" s="154"/>
      <c r="J26" s="201"/>
      <c r="K26" s="25"/>
      <c r="L26" s="14"/>
      <c r="M26" s="18"/>
    </row>
    <row r="27" spans="1:13" s="190" customFormat="1" ht="17.5">
      <c r="A27" s="29"/>
      <c r="B27" s="165">
        <v>6</v>
      </c>
      <c r="C27" s="145"/>
      <c r="D27" s="25"/>
      <c r="E27" s="25"/>
      <c r="F27" s="25"/>
      <c r="G27" s="25"/>
      <c r="H27" s="25"/>
      <c r="I27" s="154"/>
      <c r="J27" s="201"/>
      <c r="K27" s="25"/>
      <c r="L27" s="14"/>
      <c r="M27" s="18"/>
    </row>
    <row r="28" spans="1:13" s="190" customFormat="1" ht="17.5">
      <c r="A28" s="29"/>
      <c r="B28" s="165">
        <v>7</v>
      </c>
      <c r="C28" s="145"/>
      <c r="D28" s="25"/>
      <c r="E28" s="25"/>
      <c r="F28" s="25"/>
      <c r="G28" s="25"/>
      <c r="H28" s="25"/>
      <c r="I28" s="154"/>
      <c r="J28" s="201"/>
      <c r="K28" s="25"/>
      <c r="L28" s="14"/>
      <c r="M28" s="18"/>
    </row>
    <row r="29" spans="1:13" s="190" customFormat="1" ht="17.5">
      <c r="A29" s="29"/>
      <c r="B29" s="165">
        <v>8</v>
      </c>
      <c r="C29" s="145"/>
      <c r="D29" s="25"/>
      <c r="E29" s="25"/>
      <c r="F29" s="25"/>
      <c r="G29" s="25"/>
      <c r="H29" s="25"/>
      <c r="I29" s="154"/>
      <c r="J29" s="201"/>
      <c r="K29" s="25"/>
      <c r="L29" s="14"/>
      <c r="M29" s="18"/>
    </row>
    <row r="30" spans="1:13" s="190" customFormat="1" ht="17.5">
      <c r="A30" s="29"/>
      <c r="B30" s="165">
        <v>9</v>
      </c>
      <c r="C30" s="145"/>
      <c r="D30" s="25"/>
      <c r="E30" s="25"/>
      <c r="F30" s="25"/>
      <c r="G30" s="25"/>
      <c r="H30" s="25"/>
      <c r="I30" s="154"/>
      <c r="J30" s="201"/>
      <c r="K30" s="25"/>
      <c r="L30" s="14"/>
      <c r="M30" s="18"/>
    </row>
    <row r="31" spans="1:13" s="190" customFormat="1" ht="17.5">
      <c r="A31" s="29"/>
      <c r="B31" s="165">
        <v>10</v>
      </c>
      <c r="C31" s="145"/>
      <c r="D31" s="25"/>
      <c r="E31" s="25"/>
      <c r="F31" s="25"/>
      <c r="G31" s="25"/>
      <c r="H31" s="25"/>
      <c r="I31" s="154"/>
      <c r="J31" s="201"/>
      <c r="K31" s="25"/>
      <c r="L31" s="14"/>
      <c r="M31" s="18"/>
    </row>
    <row r="32" spans="1:13" s="190" customFormat="1" ht="17.5">
      <c r="A32" s="29"/>
      <c r="B32" s="165">
        <v>11</v>
      </c>
      <c r="C32" s="145"/>
      <c r="D32" s="25"/>
      <c r="E32" s="25"/>
      <c r="F32" s="25"/>
      <c r="G32" s="25"/>
      <c r="H32" s="25"/>
      <c r="I32" s="154"/>
      <c r="J32" s="201"/>
      <c r="K32" s="25"/>
      <c r="L32" s="14"/>
      <c r="M32" s="18"/>
    </row>
    <row r="33" spans="1:13" s="190" customFormat="1" ht="17.5">
      <c r="A33" s="29"/>
      <c r="B33" s="165">
        <v>12</v>
      </c>
      <c r="C33" s="145"/>
      <c r="D33" s="25"/>
      <c r="E33" s="25"/>
      <c r="F33" s="25"/>
      <c r="G33" s="25"/>
      <c r="H33" s="25"/>
      <c r="I33" s="154"/>
      <c r="J33" s="201"/>
      <c r="K33" s="25"/>
      <c r="L33" s="14"/>
      <c r="M33" s="18"/>
    </row>
    <row r="34" spans="1:13" s="190" customFormat="1" ht="17.5">
      <c r="A34" s="29"/>
      <c r="B34" s="165">
        <v>13</v>
      </c>
      <c r="C34" s="145"/>
      <c r="D34" s="25"/>
      <c r="E34" s="25"/>
      <c r="F34" s="25"/>
      <c r="G34" s="25"/>
      <c r="H34" s="25"/>
      <c r="I34" s="154"/>
      <c r="J34" s="201"/>
      <c r="K34" s="25"/>
      <c r="L34" s="14"/>
      <c r="M34" s="18"/>
    </row>
    <row r="35" spans="1:13" s="190" customFormat="1" ht="17.5">
      <c r="A35" s="29"/>
      <c r="B35" s="165">
        <v>14</v>
      </c>
      <c r="C35" s="145"/>
      <c r="D35" s="25"/>
      <c r="E35" s="25"/>
      <c r="F35" s="25"/>
      <c r="G35" s="25"/>
      <c r="H35" s="25"/>
      <c r="I35" s="154"/>
      <c r="J35" s="201"/>
      <c r="K35" s="25"/>
      <c r="L35" s="14"/>
      <c r="M35" s="18"/>
    </row>
    <row r="36" spans="1:13" s="190" customFormat="1" ht="17.5">
      <c r="A36" s="29"/>
      <c r="B36" s="165">
        <v>15</v>
      </c>
      <c r="C36" s="145"/>
      <c r="D36" s="25"/>
      <c r="E36" s="25"/>
      <c r="F36" s="25"/>
      <c r="G36" s="25"/>
      <c r="H36" s="25"/>
      <c r="I36" s="154"/>
      <c r="J36" s="201"/>
      <c r="K36" s="25"/>
      <c r="L36" s="14"/>
      <c r="M36" s="18"/>
    </row>
    <row r="37" spans="1:13" s="190" customFormat="1" ht="17.5">
      <c r="A37" s="29"/>
      <c r="B37" s="165">
        <v>16</v>
      </c>
      <c r="C37" s="145"/>
      <c r="D37" s="25"/>
      <c r="E37" s="25"/>
      <c r="F37" s="25"/>
      <c r="G37" s="25"/>
      <c r="H37" s="25"/>
      <c r="I37" s="154"/>
      <c r="J37" s="201"/>
      <c r="K37" s="25"/>
      <c r="L37" s="14"/>
      <c r="M37" s="18"/>
    </row>
    <row r="38" spans="1:13" s="190" customFormat="1" ht="17.5">
      <c r="A38" s="29"/>
      <c r="B38" s="165">
        <v>17</v>
      </c>
      <c r="C38" s="145"/>
      <c r="D38" s="25"/>
      <c r="E38" s="25"/>
      <c r="F38" s="25"/>
      <c r="G38" s="25"/>
      <c r="H38" s="25"/>
      <c r="I38" s="154"/>
      <c r="J38" s="201"/>
      <c r="K38" s="25"/>
      <c r="L38" s="14"/>
      <c r="M38" s="18"/>
    </row>
    <row r="39" spans="1:13" s="190" customFormat="1" ht="17.5">
      <c r="A39" s="29"/>
      <c r="B39" s="165">
        <v>18</v>
      </c>
      <c r="C39" s="145"/>
      <c r="D39" s="25"/>
      <c r="E39" s="25"/>
      <c r="F39" s="25"/>
      <c r="G39" s="25"/>
      <c r="H39" s="25"/>
      <c r="I39" s="154"/>
      <c r="J39" s="201"/>
      <c r="K39" s="25"/>
      <c r="L39" s="14"/>
      <c r="M39" s="18"/>
    </row>
    <row r="40" spans="1:13" s="190" customFormat="1" ht="17.5">
      <c r="A40" s="29"/>
      <c r="B40" s="165">
        <v>19</v>
      </c>
      <c r="C40" s="145"/>
      <c r="D40" s="25"/>
      <c r="E40" s="25"/>
      <c r="F40" s="25"/>
      <c r="G40" s="25"/>
      <c r="H40" s="25"/>
      <c r="I40" s="154"/>
      <c r="J40" s="201"/>
      <c r="K40" s="25"/>
      <c r="L40" s="14"/>
      <c r="M40" s="18"/>
    </row>
    <row r="41" spans="1:13" s="190" customFormat="1" ht="17.5">
      <c r="A41" s="29"/>
      <c r="B41" s="165">
        <v>20</v>
      </c>
      <c r="C41" s="145"/>
      <c r="D41" s="25"/>
      <c r="E41" s="25"/>
      <c r="F41" s="25"/>
      <c r="G41" s="25"/>
      <c r="H41" s="25"/>
      <c r="I41" s="154"/>
      <c r="J41" s="201"/>
      <c r="K41" s="25"/>
      <c r="L41" s="14"/>
      <c r="M41" s="18"/>
    </row>
    <row r="42" spans="1:13" s="190" customFormat="1" ht="17.5">
      <c r="A42" s="29"/>
      <c r="B42" s="165">
        <v>21</v>
      </c>
      <c r="C42" s="145"/>
      <c r="D42" s="25"/>
      <c r="E42" s="25"/>
      <c r="F42" s="25"/>
      <c r="G42" s="25"/>
      <c r="H42" s="25"/>
      <c r="I42" s="154"/>
      <c r="J42" s="201"/>
      <c r="K42" s="25"/>
      <c r="L42" s="14"/>
      <c r="M42" s="18"/>
    </row>
    <row r="43" spans="1:13" s="190" customFormat="1" ht="17.5">
      <c r="A43" s="29"/>
      <c r="B43" s="165">
        <v>22</v>
      </c>
      <c r="C43" s="145"/>
      <c r="D43" s="25"/>
      <c r="E43" s="25"/>
      <c r="F43" s="25"/>
      <c r="G43" s="25"/>
      <c r="H43" s="25"/>
      <c r="I43" s="154"/>
      <c r="J43" s="201"/>
      <c r="K43" s="25"/>
      <c r="L43" s="14"/>
      <c r="M43" s="18"/>
    </row>
    <row r="44" spans="1:13" s="190" customFormat="1" ht="17.5">
      <c r="A44" s="29"/>
      <c r="B44" s="165">
        <v>23</v>
      </c>
      <c r="C44" s="145"/>
      <c r="D44" s="25"/>
      <c r="E44" s="25"/>
      <c r="F44" s="25"/>
      <c r="G44" s="25"/>
      <c r="H44" s="25"/>
      <c r="I44" s="154"/>
      <c r="J44" s="201"/>
      <c r="K44" s="25"/>
      <c r="L44" s="14"/>
      <c r="M44" s="18"/>
    </row>
    <row r="45" spans="1:13" s="190" customFormat="1" ht="17.5">
      <c r="A45" s="29"/>
      <c r="B45" s="165">
        <v>24</v>
      </c>
      <c r="C45" s="145"/>
      <c r="D45" s="25"/>
      <c r="E45" s="25"/>
      <c r="F45" s="25"/>
      <c r="G45" s="25"/>
      <c r="H45" s="25"/>
      <c r="I45" s="154"/>
      <c r="J45" s="201"/>
      <c r="K45" s="25"/>
      <c r="L45" s="14"/>
      <c r="M45" s="18"/>
    </row>
    <row r="46" spans="1:13" s="190" customFormat="1" ht="17.5">
      <c r="A46" s="29"/>
      <c r="B46" s="165">
        <v>25</v>
      </c>
      <c r="C46" s="145"/>
      <c r="D46" s="25"/>
      <c r="E46" s="25"/>
      <c r="F46" s="25"/>
      <c r="G46" s="25"/>
      <c r="H46" s="25"/>
      <c r="I46" s="154"/>
      <c r="J46" s="201"/>
      <c r="K46" s="25"/>
      <c r="L46" s="14"/>
      <c r="M46" s="18"/>
    </row>
    <row r="47" spans="1:13" s="190" customFormat="1" ht="17.5">
      <c r="A47" s="29"/>
      <c r="B47" s="165">
        <v>26</v>
      </c>
      <c r="C47" s="145"/>
      <c r="D47" s="25"/>
      <c r="E47" s="25"/>
      <c r="F47" s="25"/>
      <c r="G47" s="25"/>
      <c r="H47" s="25"/>
      <c r="I47" s="154"/>
      <c r="J47" s="201"/>
      <c r="K47" s="25"/>
      <c r="L47" s="14"/>
      <c r="M47" s="18"/>
    </row>
    <row r="48" spans="1:13" s="190" customFormat="1" ht="17.5">
      <c r="A48" s="29"/>
      <c r="B48" s="165">
        <v>27</v>
      </c>
      <c r="C48" s="145"/>
      <c r="D48" s="25"/>
      <c r="E48" s="25"/>
      <c r="F48" s="25"/>
      <c r="G48" s="25"/>
      <c r="H48" s="25"/>
      <c r="I48" s="154"/>
      <c r="J48" s="201"/>
      <c r="K48" s="25"/>
      <c r="L48" s="14"/>
      <c r="M48" s="18"/>
    </row>
    <row r="49" spans="1:13" s="190" customFormat="1" ht="17.5">
      <c r="A49" s="29"/>
      <c r="B49" s="165">
        <v>28</v>
      </c>
      <c r="C49" s="145"/>
      <c r="D49" s="25"/>
      <c r="E49" s="25"/>
      <c r="F49" s="25"/>
      <c r="G49" s="25"/>
      <c r="H49" s="25"/>
      <c r="I49" s="154"/>
      <c r="J49" s="201"/>
      <c r="K49" s="25"/>
      <c r="L49" s="14"/>
      <c r="M49" s="18"/>
    </row>
    <row r="50" spans="1:13" s="190" customFormat="1" ht="17.5">
      <c r="A50" s="29"/>
      <c r="B50" s="165">
        <v>29</v>
      </c>
      <c r="C50" s="145"/>
      <c r="D50" s="25"/>
      <c r="E50" s="25"/>
      <c r="F50" s="25"/>
      <c r="G50" s="25"/>
      <c r="H50" s="25"/>
      <c r="I50" s="154"/>
      <c r="J50" s="201"/>
      <c r="K50" s="25"/>
      <c r="L50" s="14"/>
      <c r="M50" s="18"/>
    </row>
    <row r="51" spans="1:13" s="190" customFormat="1" ht="17.5">
      <c r="A51" s="29"/>
      <c r="B51" s="165">
        <v>30</v>
      </c>
      <c r="C51" s="145"/>
      <c r="D51" s="25"/>
      <c r="E51" s="25"/>
      <c r="F51" s="25"/>
      <c r="G51" s="25"/>
      <c r="H51" s="25"/>
      <c r="I51" s="154"/>
      <c r="J51" s="201"/>
      <c r="K51" s="25"/>
      <c r="L51" s="14"/>
      <c r="M51" s="18"/>
    </row>
    <row r="52" spans="1:13" s="190" customFormat="1" ht="17.5">
      <c r="A52" s="29"/>
      <c r="B52" s="165">
        <v>31</v>
      </c>
      <c r="C52" s="145"/>
      <c r="D52" s="25"/>
      <c r="E52" s="25"/>
      <c r="F52" s="25"/>
      <c r="G52" s="25"/>
      <c r="H52" s="25"/>
      <c r="I52" s="154"/>
      <c r="J52" s="201"/>
      <c r="K52" s="25"/>
      <c r="L52" s="14"/>
      <c r="M52" s="18"/>
    </row>
    <row r="53" spans="1:13" s="190" customFormat="1" ht="17.5">
      <c r="A53" s="29"/>
      <c r="B53" s="165">
        <v>32</v>
      </c>
      <c r="C53" s="145"/>
      <c r="D53" s="25"/>
      <c r="E53" s="25"/>
      <c r="F53" s="25"/>
      <c r="G53" s="25"/>
      <c r="H53" s="25"/>
      <c r="I53" s="154"/>
      <c r="J53" s="201"/>
      <c r="K53" s="25"/>
      <c r="L53" s="14"/>
      <c r="M53" s="18"/>
    </row>
    <row r="54" spans="1:13" s="190" customFormat="1" ht="17.5">
      <c r="A54" s="29"/>
      <c r="B54" s="165">
        <v>33</v>
      </c>
      <c r="C54" s="145"/>
      <c r="D54" s="25"/>
      <c r="E54" s="25"/>
      <c r="F54" s="25"/>
      <c r="G54" s="25"/>
      <c r="H54" s="25"/>
      <c r="I54" s="154"/>
      <c r="J54" s="201"/>
      <c r="K54" s="25"/>
      <c r="L54" s="14"/>
      <c r="M54" s="18"/>
    </row>
    <row r="55" spans="1:13" s="190" customFormat="1" ht="17.5">
      <c r="A55" s="29"/>
      <c r="B55" s="165">
        <v>34</v>
      </c>
      <c r="C55" s="145"/>
      <c r="D55" s="25"/>
      <c r="E55" s="25"/>
      <c r="F55" s="25"/>
      <c r="G55" s="25"/>
      <c r="H55" s="25"/>
      <c r="I55" s="154"/>
      <c r="J55" s="201"/>
      <c r="K55" s="25"/>
      <c r="L55" s="14"/>
      <c r="M55" s="18"/>
    </row>
    <row r="56" spans="1:13" s="190" customFormat="1" ht="17.5">
      <c r="A56" s="29"/>
      <c r="B56" s="165">
        <v>35</v>
      </c>
      <c r="C56" s="145"/>
      <c r="D56" s="25"/>
      <c r="E56" s="25"/>
      <c r="F56" s="25"/>
      <c r="G56" s="25"/>
      <c r="H56" s="25"/>
      <c r="I56" s="154"/>
      <c r="J56" s="201"/>
      <c r="K56" s="25"/>
      <c r="L56" s="14"/>
      <c r="M56" s="18"/>
    </row>
    <row r="57" spans="1:13" s="190" customFormat="1" ht="17.5">
      <c r="A57" s="29"/>
      <c r="B57" s="165">
        <v>36</v>
      </c>
      <c r="C57" s="145"/>
      <c r="D57" s="25"/>
      <c r="E57" s="25"/>
      <c r="F57" s="25"/>
      <c r="G57" s="25"/>
      <c r="H57" s="25"/>
      <c r="I57" s="154"/>
      <c r="J57" s="201"/>
      <c r="K57" s="25"/>
      <c r="L57" s="14"/>
      <c r="M57" s="18"/>
    </row>
    <row r="58" spans="1:13" s="190" customFormat="1" ht="17.5">
      <c r="A58" s="29"/>
      <c r="B58" s="165">
        <v>37</v>
      </c>
      <c r="C58" s="145"/>
      <c r="D58" s="25"/>
      <c r="E58" s="25"/>
      <c r="F58" s="25"/>
      <c r="G58" s="25"/>
      <c r="H58" s="25"/>
      <c r="I58" s="154"/>
      <c r="J58" s="201"/>
      <c r="K58" s="25"/>
      <c r="L58" s="14"/>
      <c r="M58" s="18"/>
    </row>
    <row r="59" spans="1:13" s="190" customFormat="1" ht="17.5">
      <c r="A59" s="29"/>
      <c r="B59" s="165">
        <v>38</v>
      </c>
      <c r="C59" s="145"/>
      <c r="D59" s="25"/>
      <c r="E59" s="25"/>
      <c r="F59" s="25"/>
      <c r="G59" s="25"/>
      <c r="H59" s="25"/>
      <c r="I59" s="154"/>
      <c r="J59" s="201"/>
      <c r="K59" s="25"/>
      <c r="L59" s="14"/>
      <c r="M59" s="18"/>
    </row>
    <row r="60" spans="1:13" s="190" customFormat="1" ht="17.5">
      <c r="A60" s="29"/>
      <c r="B60" s="165">
        <v>39</v>
      </c>
      <c r="C60" s="145"/>
      <c r="D60" s="25"/>
      <c r="E60" s="25"/>
      <c r="F60" s="25"/>
      <c r="G60" s="25"/>
      <c r="H60" s="25"/>
      <c r="I60" s="154"/>
      <c r="J60" s="201"/>
      <c r="K60" s="25"/>
      <c r="L60" s="14"/>
      <c r="M60" s="18"/>
    </row>
    <row r="61" spans="1:13" s="190" customFormat="1" ht="17.5">
      <c r="A61" s="29"/>
      <c r="B61" s="165">
        <v>40</v>
      </c>
      <c r="C61" s="145"/>
      <c r="D61" s="25"/>
      <c r="E61" s="25"/>
      <c r="F61" s="25"/>
      <c r="G61" s="25"/>
      <c r="H61" s="25"/>
      <c r="I61" s="154"/>
      <c r="J61" s="201"/>
      <c r="K61" s="25"/>
      <c r="L61" s="14"/>
      <c r="M61" s="18"/>
    </row>
    <row r="62" spans="1:13" s="190" customFormat="1" ht="17.5">
      <c r="A62" s="29"/>
      <c r="B62" s="165">
        <v>41</v>
      </c>
      <c r="C62" s="145"/>
      <c r="D62" s="25"/>
      <c r="E62" s="25"/>
      <c r="F62" s="25"/>
      <c r="G62" s="25"/>
      <c r="H62" s="25"/>
      <c r="I62" s="154"/>
      <c r="J62" s="201"/>
      <c r="K62" s="25"/>
      <c r="L62" s="14"/>
      <c r="M62" s="18"/>
    </row>
    <row r="63" spans="1:13" s="190" customFormat="1" ht="17.5">
      <c r="A63" s="29"/>
      <c r="B63" s="165">
        <v>42</v>
      </c>
      <c r="C63" s="145"/>
      <c r="D63" s="25"/>
      <c r="E63" s="25"/>
      <c r="F63" s="25"/>
      <c r="G63" s="25"/>
      <c r="H63" s="25"/>
      <c r="I63" s="154"/>
      <c r="J63" s="201"/>
      <c r="K63" s="25"/>
      <c r="L63" s="14"/>
      <c r="M63" s="18"/>
    </row>
    <row r="64" spans="1:13" s="190" customFormat="1" ht="17.5">
      <c r="A64" s="29"/>
      <c r="B64" s="165">
        <v>43</v>
      </c>
      <c r="C64" s="145"/>
      <c r="D64" s="25"/>
      <c r="E64" s="25"/>
      <c r="F64" s="25"/>
      <c r="G64" s="25"/>
      <c r="H64" s="25"/>
      <c r="I64" s="154"/>
      <c r="J64" s="201"/>
      <c r="K64" s="25"/>
      <c r="L64" s="14"/>
      <c r="M64" s="18"/>
    </row>
    <row r="65" spans="1:13" s="190" customFormat="1" ht="17.5">
      <c r="A65" s="29"/>
      <c r="B65" s="165">
        <v>44</v>
      </c>
      <c r="C65" s="145"/>
      <c r="D65" s="25"/>
      <c r="E65" s="25"/>
      <c r="F65" s="25"/>
      <c r="G65" s="25"/>
      <c r="H65" s="25"/>
      <c r="I65" s="154"/>
      <c r="J65" s="201"/>
      <c r="K65" s="25"/>
      <c r="L65" s="14"/>
      <c r="M65" s="18"/>
    </row>
    <row r="66" spans="1:13" s="190" customFormat="1" ht="17.5">
      <c r="A66" s="29"/>
      <c r="B66" s="165">
        <v>45</v>
      </c>
      <c r="C66" s="145"/>
      <c r="D66" s="25"/>
      <c r="E66" s="25"/>
      <c r="F66" s="25"/>
      <c r="G66" s="25"/>
      <c r="H66" s="25"/>
      <c r="I66" s="154"/>
      <c r="J66" s="201"/>
      <c r="K66" s="25"/>
      <c r="L66" s="14"/>
      <c r="M66" s="18"/>
    </row>
    <row r="67" spans="1:13" s="190" customFormat="1" ht="17.5">
      <c r="A67" s="29"/>
      <c r="B67" s="165">
        <v>46</v>
      </c>
      <c r="C67" s="145"/>
      <c r="D67" s="25"/>
      <c r="E67" s="25"/>
      <c r="F67" s="25"/>
      <c r="G67" s="25"/>
      <c r="H67" s="25"/>
      <c r="I67" s="154"/>
      <c r="J67" s="201"/>
      <c r="K67" s="25"/>
      <c r="L67" s="14"/>
      <c r="M67" s="18"/>
    </row>
    <row r="68" spans="1:13" s="190" customFormat="1" ht="17.5">
      <c r="A68" s="29"/>
      <c r="B68" s="165">
        <v>47</v>
      </c>
      <c r="C68" s="145"/>
      <c r="D68" s="25"/>
      <c r="E68" s="25"/>
      <c r="F68" s="25"/>
      <c r="G68" s="25"/>
      <c r="H68" s="25"/>
      <c r="I68" s="154"/>
      <c r="J68" s="201"/>
      <c r="K68" s="25"/>
      <c r="L68" s="14"/>
      <c r="M68" s="18"/>
    </row>
    <row r="69" spans="1:13" s="190" customFormat="1" ht="17.5">
      <c r="A69" s="29"/>
      <c r="B69" s="165">
        <v>48</v>
      </c>
      <c r="C69" s="145"/>
      <c r="D69" s="25"/>
      <c r="E69" s="25"/>
      <c r="F69" s="25"/>
      <c r="G69" s="25"/>
      <c r="H69" s="25"/>
      <c r="I69" s="154"/>
      <c r="J69" s="201"/>
      <c r="K69" s="25"/>
      <c r="L69" s="14"/>
      <c r="M69" s="18"/>
    </row>
    <row r="70" spans="1:13" s="190" customFormat="1" ht="17.5">
      <c r="A70" s="29"/>
      <c r="B70" s="165">
        <v>49</v>
      </c>
      <c r="C70" s="145"/>
      <c r="D70" s="25"/>
      <c r="E70" s="25"/>
      <c r="F70" s="25"/>
      <c r="G70" s="25"/>
      <c r="H70" s="25"/>
      <c r="I70" s="154"/>
      <c r="J70" s="201"/>
      <c r="K70" s="25"/>
      <c r="L70" s="14"/>
      <c r="M70" s="18"/>
    </row>
    <row r="71" spans="1:13" s="190" customFormat="1" ht="17.5">
      <c r="A71" s="29"/>
      <c r="B71" s="165">
        <v>50</v>
      </c>
      <c r="C71" s="145"/>
      <c r="D71" s="25"/>
      <c r="E71" s="25"/>
      <c r="F71" s="25"/>
      <c r="G71" s="25"/>
      <c r="H71" s="25"/>
      <c r="I71" s="154"/>
      <c r="J71" s="201"/>
      <c r="K71" s="25"/>
      <c r="L71" s="14"/>
      <c r="M71" s="18"/>
    </row>
    <row r="72" spans="1:13" s="190" customFormat="1" ht="17.5">
      <c r="A72" s="29"/>
      <c r="B72" s="165">
        <v>51</v>
      </c>
      <c r="C72" s="145"/>
      <c r="D72" s="25"/>
      <c r="E72" s="25"/>
      <c r="F72" s="25"/>
      <c r="G72" s="25"/>
      <c r="H72" s="25"/>
      <c r="I72" s="154"/>
      <c r="J72" s="201"/>
      <c r="K72" s="25"/>
      <c r="L72" s="14"/>
      <c r="M72" s="18"/>
    </row>
    <row r="73" spans="1:13" s="190" customFormat="1" ht="17.5">
      <c r="A73" s="29"/>
      <c r="B73" s="165">
        <v>52</v>
      </c>
      <c r="C73" s="145"/>
      <c r="D73" s="25"/>
      <c r="E73" s="25"/>
      <c r="F73" s="25"/>
      <c r="G73" s="25"/>
      <c r="H73" s="25"/>
      <c r="I73" s="154"/>
      <c r="J73" s="201"/>
      <c r="K73" s="25"/>
      <c r="L73" s="14"/>
      <c r="M73" s="18"/>
    </row>
    <row r="74" spans="1:13" s="190" customFormat="1" ht="17.5">
      <c r="A74" s="29"/>
      <c r="B74" s="165">
        <v>53</v>
      </c>
      <c r="C74" s="145"/>
      <c r="D74" s="25"/>
      <c r="E74" s="25"/>
      <c r="F74" s="25"/>
      <c r="G74" s="25"/>
      <c r="H74" s="25"/>
      <c r="I74" s="154"/>
      <c r="J74" s="201"/>
      <c r="K74" s="25"/>
      <c r="L74" s="14"/>
      <c r="M74" s="18"/>
    </row>
    <row r="75" spans="1:13" s="190" customFormat="1" ht="17.5">
      <c r="A75" s="29"/>
      <c r="B75" s="165">
        <v>54</v>
      </c>
      <c r="C75" s="145"/>
      <c r="D75" s="25"/>
      <c r="E75" s="25"/>
      <c r="F75" s="25"/>
      <c r="G75" s="25"/>
      <c r="H75" s="25"/>
      <c r="I75" s="154"/>
      <c r="J75" s="201"/>
      <c r="K75" s="25"/>
      <c r="L75" s="14"/>
      <c r="M75" s="18"/>
    </row>
    <row r="76" spans="1:13" s="190" customFormat="1" ht="17.5">
      <c r="A76" s="29"/>
      <c r="B76" s="165">
        <v>55</v>
      </c>
      <c r="C76" s="145"/>
      <c r="D76" s="25"/>
      <c r="E76" s="25"/>
      <c r="F76" s="25"/>
      <c r="G76" s="25"/>
      <c r="H76" s="25"/>
      <c r="I76" s="154"/>
      <c r="J76" s="201"/>
      <c r="K76" s="25"/>
      <c r="L76" s="14"/>
      <c r="M76" s="18"/>
    </row>
    <row r="77" spans="1:13" s="190" customFormat="1" ht="17.5">
      <c r="A77" s="29"/>
      <c r="B77" s="165">
        <v>56</v>
      </c>
      <c r="C77" s="145"/>
      <c r="D77" s="25"/>
      <c r="E77" s="25"/>
      <c r="F77" s="25"/>
      <c r="G77" s="25"/>
      <c r="H77" s="25"/>
      <c r="I77" s="154"/>
      <c r="J77" s="201"/>
      <c r="K77" s="25"/>
      <c r="L77" s="14"/>
      <c r="M77" s="18"/>
    </row>
    <row r="78" spans="1:13" s="190" customFormat="1" ht="17.5">
      <c r="A78" s="29"/>
      <c r="B78" s="165">
        <v>57</v>
      </c>
      <c r="C78" s="145"/>
      <c r="D78" s="25"/>
      <c r="E78" s="25"/>
      <c r="F78" s="25"/>
      <c r="G78" s="25"/>
      <c r="H78" s="25"/>
      <c r="I78" s="154"/>
      <c r="J78" s="201"/>
      <c r="K78" s="25"/>
      <c r="L78" s="14"/>
      <c r="M78" s="18"/>
    </row>
    <row r="79" spans="1:13" s="190" customFormat="1" ht="17.5">
      <c r="A79" s="29"/>
      <c r="B79" s="165">
        <v>58</v>
      </c>
      <c r="C79" s="145"/>
      <c r="D79" s="25"/>
      <c r="E79" s="25"/>
      <c r="F79" s="25"/>
      <c r="G79" s="25"/>
      <c r="H79" s="25"/>
      <c r="I79" s="154"/>
      <c r="J79" s="201"/>
      <c r="K79" s="25"/>
      <c r="L79" s="14"/>
      <c r="M79" s="18"/>
    </row>
    <row r="80" spans="1:13" s="190" customFormat="1" ht="17.5">
      <c r="A80" s="29"/>
      <c r="B80" s="165">
        <v>59</v>
      </c>
      <c r="C80" s="145"/>
      <c r="D80" s="25"/>
      <c r="E80" s="25"/>
      <c r="F80" s="25"/>
      <c r="G80" s="25"/>
      <c r="H80" s="25"/>
      <c r="I80" s="154"/>
      <c r="J80" s="201"/>
      <c r="K80" s="25"/>
      <c r="L80" s="14"/>
      <c r="M80" s="18"/>
    </row>
    <row r="81" spans="1:13" s="190" customFormat="1" ht="17.5">
      <c r="A81" s="29"/>
      <c r="B81" s="165">
        <v>60</v>
      </c>
      <c r="C81" s="145"/>
      <c r="D81" s="25"/>
      <c r="E81" s="25"/>
      <c r="F81" s="25"/>
      <c r="G81" s="25"/>
      <c r="H81" s="25"/>
      <c r="I81" s="154"/>
      <c r="J81" s="201"/>
      <c r="K81" s="25"/>
      <c r="L81" s="14"/>
      <c r="M81" s="18"/>
    </row>
    <row r="82" spans="1:13" s="190" customFormat="1" ht="17.5">
      <c r="A82" s="29"/>
      <c r="B82" s="165">
        <v>61</v>
      </c>
      <c r="C82" s="145"/>
      <c r="D82" s="25"/>
      <c r="E82" s="25"/>
      <c r="F82" s="25"/>
      <c r="G82" s="25"/>
      <c r="H82" s="25"/>
      <c r="I82" s="154"/>
      <c r="J82" s="201"/>
      <c r="K82" s="25"/>
      <c r="L82" s="14"/>
      <c r="M82" s="18"/>
    </row>
    <row r="83" spans="1:13" s="190" customFormat="1" ht="17.5">
      <c r="A83" s="29"/>
      <c r="B83" s="165">
        <v>62</v>
      </c>
      <c r="C83" s="145"/>
      <c r="D83" s="25"/>
      <c r="E83" s="25"/>
      <c r="F83" s="25"/>
      <c r="G83" s="25"/>
      <c r="H83" s="25"/>
      <c r="I83" s="154"/>
      <c r="J83" s="201"/>
      <c r="K83" s="25"/>
      <c r="L83" s="14"/>
      <c r="M83" s="18"/>
    </row>
    <row r="84" spans="1:13" s="190" customFormat="1" ht="17.5">
      <c r="A84" s="29"/>
      <c r="B84" s="165">
        <v>63</v>
      </c>
      <c r="C84" s="145"/>
      <c r="D84" s="25"/>
      <c r="E84" s="25"/>
      <c r="F84" s="25"/>
      <c r="G84" s="25"/>
      <c r="H84" s="25"/>
      <c r="I84" s="154"/>
      <c r="J84" s="201"/>
      <c r="K84" s="25"/>
      <c r="L84" s="14"/>
      <c r="M84" s="18"/>
    </row>
    <row r="85" spans="1:13" s="190" customFormat="1" ht="17.5">
      <c r="A85" s="29"/>
      <c r="B85" s="165">
        <v>64</v>
      </c>
      <c r="C85" s="145"/>
      <c r="D85" s="25"/>
      <c r="E85" s="25"/>
      <c r="F85" s="25"/>
      <c r="G85" s="25"/>
      <c r="H85" s="25"/>
      <c r="I85" s="154"/>
      <c r="J85" s="201"/>
      <c r="K85" s="25"/>
      <c r="L85" s="14"/>
      <c r="M85" s="18"/>
    </row>
    <row r="86" spans="1:13" s="190" customFormat="1" ht="17.5">
      <c r="A86" s="29"/>
      <c r="B86" s="165">
        <v>65</v>
      </c>
      <c r="C86" s="145"/>
      <c r="D86" s="25"/>
      <c r="E86" s="25"/>
      <c r="F86" s="25"/>
      <c r="G86" s="25"/>
      <c r="H86" s="25"/>
      <c r="I86" s="154"/>
      <c r="J86" s="201"/>
      <c r="K86" s="25"/>
      <c r="L86" s="14"/>
      <c r="M86" s="18"/>
    </row>
    <row r="87" spans="1:13" s="190" customFormat="1" ht="17.5">
      <c r="A87" s="29"/>
      <c r="B87" s="165">
        <v>66</v>
      </c>
      <c r="C87" s="145"/>
      <c r="D87" s="25"/>
      <c r="E87" s="25"/>
      <c r="F87" s="25"/>
      <c r="G87" s="25"/>
      <c r="H87" s="25"/>
      <c r="I87" s="154"/>
      <c r="J87" s="201"/>
      <c r="K87" s="25"/>
      <c r="L87" s="14"/>
      <c r="M87" s="18"/>
    </row>
    <row r="88" spans="1:13" s="190" customFormat="1" ht="17.5">
      <c r="A88" s="29"/>
      <c r="B88" s="165">
        <v>67</v>
      </c>
      <c r="C88" s="145"/>
      <c r="D88" s="25"/>
      <c r="E88" s="25"/>
      <c r="F88" s="25"/>
      <c r="G88" s="25"/>
      <c r="H88" s="25"/>
      <c r="I88" s="154"/>
      <c r="J88" s="201"/>
      <c r="K88" s="25"/>
      <c r="L88" s="14"/>
      <c r="M88" s="18"/>
    </row>
    <row r="89" spans="1:13" s="190" customFormat="1" ht="17.5">
      <c r="A89" s="29"/>
      <c r="B89" s="165">
        <v>68</v>
      </c>
      <c r="C89" s="145"/>
      <c r="D89" s="25"/>
      <c r="E89" s="25"/>
      <c r="F89" s="25"/>
      <c r="G89" s="25"/>
      <c r="H89" s="25"/>
      <c r="I89" s="154"/>
      <c r="J89" s="201"/>
      <c r="K89" s="25"/>
      <c r="L89" s="14"/>
      <c r="M89" s="18"/>
    </row>
    <row r="90" spans="1:13" s="190" customFormat="1" ht="17.5">
      <c r="A90" s="29"/>
      <c r="B90" s="165">
        <v>69</v>
      </c>
      <c r="C90" s="145"/>
      <c r="D90" s="25"/>
      <c r="E90" s="25"/>
      <c r="F90" s="25"/>
      <c r="G90" s="25"/>
      <c r="H90" s="25"/>
      <c r="I90" s="154"/>
      <c r="J90" s="201"/>
      <c r="K90" s="25"/>
      <c r="L90" s="14"/>
      <c r="M90" s="18"/>
    </row>
    <row r="91" spans="1:13" s="190" customFormat="1" ht="17.5">
      <c r="A91" s="29"/>
      <c r="B91" s="165">
        <v>70</v>
      </c>
      <c r="C91" s="145"/>
      <c r="D91" s="25"/>
      <c r="E91" s="25"/>
      <c r="F91" s="25"/>
      <c r="G91" s="25"/>
      <c r="H91" s="25"/>
      <c r="I91" s="154"/>
      <c r="J91" s="201"/>
      <c r="K91" s="25"/>
      <c r="L91" s="14"/>
      <c r="M91" s="18"/>
    </row>
    <row r="92" spans="1:13" ht="17.5">
      <c r="A92" s="29"/>
      <c r="B92" s="14"/>
      <c r="C92" s="14"/>
      <c r="D92" s="14"/>
      <c r="E92" s="14"/>
      <c r="F92" s="14"/>
      <c r="G92" s="14"/>
      <c r="H92" s="14"/>
      <c r="I92" s="35"/>
      <c r="J92" s="14"/>
      <c r="K92" s="14"/>
      <c r="L92" s="14"/>
      <c r="M92" s="18"/>
    </row>
    <row r="93" spans="1:13" s="29" customFormat="1" ht="17.5">
      <c r="B93" s="141" t="str">
        <f>"© W/E adviseurs, Utrecht/Eindhoven, versie rekenhulpmiddelen "&amp;TEXT(Wijzigingsblad!$B$3,"d mmmm jjjj")</f>
        <v>© W/E adviseurs, Utrecht/Eindhoven, versie rekenhulpmiddelen 17 april 2024</v>
      </c>
      <c r="C93" s="30"/>
      <c r="G93" s="30"/>
    </row>
  </sheetData>
  <sheetProtection sheet="1" objects="1" scenarios="1"/>
  <mergeCells count="8">
    <mergeCell ref="B3:C3"/>
    <mergeCell ref="D13:E13"/>
    <mergeCell ref="D12:E12"/>
    <mergeCell ref="D6:E6"/>
    <mergeCell ref="D7:E7"/>
    <mergeCell ref="D8:E8"/>
    <mergeCell ref="D9:E9"/>
    <mergeCell ref="D10:E10"/>
  </mergeCells>
  <phoneticPr fontId="86" type="noConversion"/>
  <dataValidations count="5">
    <dataValidation allowBlank="1" showInputMessage="1" showErrorMessage="1" promptTitle="Doel rekenblad" prompt="Het rekenblad combineert de resultaten van maximaal 10 GPR berekeningen tot één gewogen resultaat. Dit is toepasbaar in de volgende situaties:         _x000a_1 Een gebouw bevat meerdere gebruiksfuncties. " sqref="F7" xr:uid="{EE9808CC-6603-4F90-AB9D-31115FE725A6}"/>
    <dataValidation type="decimal" operator="greaterThanOrEqual" allowBlank="1" showInputMessage="1" showErrorMessage="1" sqref="D22:E91 G22:H91" xr:uid="{303355D7-08C7-484A-B454-5C22E59BD32C}">
      <formula1>0</formula1>
    </dataValidation>
    <dataValidation type="list" allowBlank="1" showInputMessage="1" showErrorMessage="1" sqref="D12" xr:uid="{3087CA0B-CB1C-4DD5-B2EA-A137A891F369}">
      <formula1>Gebruiksfuncties</formula1>
    </dataValidation>
    <dataValidation type="list" allowBlank="1" showInputMessage="1" showErrorMessage="1" sqref="D13:D16" xr:uid="{2B158202-2230-4150-AFAF-80AAC97B0CDB}">
      <formula1>EP_methode</formula1>
    </dataValidation>
    <dataValidation allowBlank="1" showInputMessage="1" showErrorMessage="1" promptTitle="Bepalingsmethode" prompt="Grenswaarde is de CO2-uitstoot die hoort bij nieuwbouwniveau 2006 en wordt bepaald door de bepalingsmethode. In GPR 4.3 en GPR 4.4 is die gelijk. " sqref="B13:B16" xr:uid="{EA5D819B-4147-495F-B343-F0BB5302117E}"/>
  </dataValidations>
  <hyperlinks>
    <hyperlink ref="A1" location="'Overzicht GPR Hulpmiddelen'!A1" tooltip="naar startscherm" display="&lt;" xr:uid="{A331FF40-C15D-48CA-9F10-F3257FFB692E}"/>
  </hyperlinks>
  <pageMargins left="0.7" right="0.7" top="0.75" bottom="0.75" header="0.3" footer="0.3"/>
  <pageSetup paperSize="9" scale="51" orientation="portrait" horizontalDpi="4294967293"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984C1-4757-4594-85DF-CC62F3B06444}">
  <sheetPr codeName="Blad6">
    <tabColor theme="5"/>
  </sheetPr>
  <dimension ref="A1:AL94"/>
  <sheetViews>
    <sheetView zoomScaleNormal="100" workbookViewId="0">
      <selection sqref="A1:XFD1048576"/>
    </sheetView>
  </sheetViews>
  <sheetFormatPr defaultColWidth="9.1796875" defaultRowHeight="12.5"/>
  <cols>
    <col min="1" max="1" width="9.1796875" style="187"/>
    <col min="2" max="2" width="2.7265625" style="187" customWidth="1"/>
    <col min="3" max="3" width="33.453125" style="187" customWidth="1"/>
    <col min="4" max="5" width="1.26953125" style="187" customWidth="1"/>
    <col min="6" max="6" width="12.26953125" style="188" customWidth="1"/>
    <col min="7" max="7" width="1.26953125" style="187" customWidth="1"/>
    <col min="8" max="8" width="12.26953125" style="188" customWidth="1"/>
    <col min="9" max="9" width="1.26953125" style="187" customWidth="1"/>
    <col min="10" max="10" width="12.26953125" style="188" customWidth="1"/>
    <col min="11" max="11" width="1.26953125" style="187" customWidth="1"/>
    <col min="12" max="12" width="12.26953125" style="1524" customWidth="1"/>
    <col min="13" max="13" width="1.26953125" style="187" customWidth="1"/>
    <col min="14" max="14" width="14.1796875" style="1517" customWidth="1"/>
    <col min="15" max="15" width="1.26953125" style="187" customWidth="1"/>
    <col min="16" max="16" width="14.1796875" style="1517" customWidth="1"/>
    <col min="17" max="17" width="1.26953125" style="187" customWidth="1"/>
    <col min="18" max="18" width="14.1796875" style="1517" customWidth="1"/>
    <col min="19" max="19" width="1.26953125" style="187" customWidth="1"/>
    <col min="20" max="20" width="14.1796875" style="1517" customWidth="1"/>
    <col min="21" max="21" width="1.26953125" style="187" customWidth="1"/>
    <col min="22" max="22" width="14.1796875" style="1517" customWidth="1"/>
    <col min="23" max="23" width="1.26953125" style="187" customWidth="1"/>
    <col min="24" max="24" width="12.26953125" style="1524" customWidth="1"/>
    <col min="25" max="25" width="1.26953125" style="187" customWidth="1"/>
    <col min="26" max="26" width="14.1796875" style="1517" customWidth="1"/>
    <col min="27" max="27" width="1.26953125" style="187" customWidth="1"/>
    <col min="28" max="28" width="14.1796875" style="1517" customWidth="1"/>
    <col min="29" max="29" width="1.26953125" style="187" customWidth="1"/>
    <col min="30" max="30" width="14.1796875" style="1517" customWidth="1"/>
    <col min="31" max="31" width="1.26953125" style="187" customWidth="1"/>
    <col min="32" max="32" width="14.1796875" style="1517" customWidth="1"/>
    <col min="33" max="33" width="1.26953125" style="187" customWidth="1"/>
    <col min="34" max="34" width="14.1796875" style="1517" customWidth="1"/>
    <col min="35" max="35" width="1.26953125" style="187" customWidth="1"/>
    <col min="36" max="36" width="14.1796875" style="1517" customWidth="1"/>
    <col min="37" max="37" width="1.26953125" style="187" customWidth="1"/>
    <col min="38" max="38" width="12.26953125" style="1524" customWidth="1"/>
    <col min="39" max="39" width="9.1796875" style="187" customWidth="1"/>
    <col min="40" max="16384" width="9.1796875" style="187"/>
  </cols>
  <sheetData>
    <row r="1" spans="1:38" s="18" customFormat="1" ht="32.5">
      <c r="A1" s="192" t="s">
        <v>12</v>
      </c>
      <c r="B1" s="193"/>
      <c r="C1" s="194"/>
      <c r="F1" s="31"/>
      <c r="H1" s="31" t="s">
        <v>1755</v>
      </c>
      <c r="J1" s="31"/>
      <c r="L1" s="1518"/>
      <c r="N1" s="20"/>
      <c r="P1" s="20"/>
      <c r="R1" s="1512"/>
      <c r="T1" s="20"/>
      <c r="V1" s="1512"/>
      <c r="X1" s="1518"/>
      <c r="Z1" s="20"/>
      <c r="AB1" s="20"/>
      <c r="AD1" s="1512"/>
      <c r="AF1" s="20"/>
      <c r="AH1" s="1512"/>
      <c r="AJ1" s="20"/>
      <c r="AL1" s="1518"/>
    </row>
    <row r="2" spans="1:38" s="172" customFormat="1" ht="21">
      <c r="A2" s="33"/>
      <c r="B2" s="28" t="s">
        <v>1326</v>
      </c>
      <c r="C2" s="32"/>
      <c r="D2" s="195"/>
      <c r="E2" s="195"/>
      <c r="F2" s="32"/>
      <c r="G2" s="195"/>
      <c r="H2" s="32"/>
      <c r="I2" s="195"/>
      <c r="J2" s="32"/>
      <c r="K2" s="195"/>
      <c r="L2" s="1519"/>
      <c r="M2" s="195"/>
      <c r="N2" s="1513"/>
      <c r="O2" s="195"/>
      <c r="P2" s="1514"/>
      <c r="Q2" s="195"/>
      <c r="R2" s="1515"/>
      <c r="S2" s="195"/>
      <c r="T2" s="1514"/>
      <c r="U2" s="195"/>
      <c r="V2" s="1515"/>
      <c r="W2" s="195"/>
      <c r="X2" s="1519"/>
      <c r="Y2" s="195"/>
      <c r="Z2" s="1513"/>
      <c r="AA2" s="195"/>
      <c r="AB2" s="1514"/>
      <c r="AC2" s="195"/>
      <c r="AD2" s="1515"/>
      <c r="AE2" s="195"/>
      <c r="AF2" s="1514"/>
      <c r="AG2" s="195"/>
      <c r="AH2" s="1515"/>
      <c r="AI2" s="195"/>
      <c r="AJ2" s="1514"/>
      <c r="AK2" s="195"/>
      <c r="AL2" s="1519"/>
    </row>
    <row r="3" spans="1:38" s="29" customFormat="1" ht="17.5">
      <c r="B3" s="1687">
        <v>45270</v>
      </c>
      <c r="C3" s="1688"/>
      <c r="L3" s="940"/>
      <c r="X3" s="940"/>
      <c r="AL3" s="940"/>
    </row>
    <row r="4" spans="1:38" s="18" customFormat="1" ht="17.5">
      <c r="A4" s="29"/>
      <c r="B4" s="14"/>
      <c r="C4" s="67"/>
      <c r="D4" s="14"/>
      <c r="E4" s="14"/>
      <c r="F4" s="67"/>
      <c r="G4" s="14"/>
      <c r="H4" s="67"/>
      <c r="I4" s="14"/>
      <c r="J4" s="14"/>
      <c r="K4" s="14"/>
      <c r="L4" s="14"/>
      <c r="M4" s="14"/>
      <c r="N4" s="13"/>
      <c r="O4" s="14"/>
      <c r="P4" s="13"/>
      <c r="Q4" s="14"/>
      <c r="R4" s="13"/>
      <c r="S4" s="14"/>
      <c r="T4" s="13"/>
      <c r="U4" s="14"/>
      <c r="V4" s="13"/>
      <c r="W4" s="14"/>
      <c r="X4" s="14"/>
      <c r="Y4" s="14"/>
      <c r="Z4" s="13"/>
      <c r="AA4" s="14"/>
      <c r="AB4" s="13"/>
      <c r="AC4" s="14"/>
      <c r="AD4" s="13"/>
      <c r="AE4" s="14"/>
      <c r="AF4" s="13"/>
      <c r="AG4" s="14"/>
      <c r="AH4" s="13"/>
      <c r="AI4" s="14"/>
      <c r="AJ4" s="13"/>
      <c r="AK4" s="14"/>
      <c r="AL4" s="14"/>
    </row>
    <row r="5" spans="1:38" s="19" customFormat="1" ht="17.5">
      <c r="A5" s="29"/>
      <c r="B5" s="14"/>
      <c r="C5" s="68" t="s">
        <v>3</v>
      </c>
      <c r="D5" s="14"/>
      <c r="E5" s="14"/>
      <c r="F5" s="68"/>
      <c r="G5" s="14"/>
      <c r="H5" s="68"/>
      <c r="I5" s="14"/>
      <c r="J5" s="14"/>
      <c r="K5" s="14"/>
      <c r="L5" s="68" t="s">
        <v>485</v>
      </c>
      <c r="M5" s="14"/>
      <c r="N5" s="13"/>
      <c r="O5" s="14"/>
      <c r="P5" s="13"/>
      <c r="Q5" s="14"/>
      <c r="R5" s="13"/>
      <c r="S5" s="14"/>
      <c r="T5" s="13"/>
      <c r="U5" s="14"/>
      <c r="V5" s="13"/>
      <c r="W5" s="14"/>
      <c r="X5" s="68"/>
      <c r="Y5" s="14"/>
      <c r="Z5" s="13"/>
      <c r="AA5" s="14"/>
      <c r="AB5" s="13"/>
      <c r="AC5" s="14"/>
      <c r="AD5" s="13"/>
      <c r="AE5" s="14"/>
      <c r="AF5" s="13"/>
      <c r="AG5" s="14"/>
      <c r="AH5" s="13"/>
      <c r="AI5" s="14"/>
      <c r="AJ5" s="13"/>
      <c r="AK5" s="14"/>
      <c r="AL5" s="68"/>
    </row>
    <row r="6" spans="1:38" s="19" customFormat="1" ht="17.25" customHeight="1">
      <c r="A6" s="29"/>
      <c r="B6" s="14"/>
      <c r="C6" s="22" t="s">
        <v>4</v>
      </c>
      <c r="D6" s="14"/>
      <c r="E6" s="14"/>
      <c r="F6" s="1691"/>
      <c r="G6" s="1691"/>
      <c r="H6" s="1691"/>
      <c r="I6" s="14"/>
      <c r="J6" s="208"/>
      <c r="K6" s="14"/>
      <c r="L6" s="14"/>
      <c r="M6" s="14"/>
      <c r="N6" s="13"/>
      <c r="O6" s="14"/>
      <c r="P6" s="13"/>
      <c r="Q6" s="14"/>
      <c r="R6" s="13"/>
      <c r="S6" s="14"/>
      <c r="T6" s="13"/>
      <c r="U6" s="14"/>
      <c r="V6" s="13"/>
      <c r="W6" s="14"/>
      <c r="X6" s="14"/>
      <c r="Y6" s="14"/>
      <c r="Z6" s="13"/>
      <c r="AA6" s="14"/>
      <c r="AB6" s="13"/>
      <c r="AC6" s="14"/>
      <c r="AD6" s="13"/>
      <c r="AE6" s="14"/>
      <c r="AF6" s="13"/>
      <c r="AG6" s="14"/>
      <c r="AH6" s="13"/>
      <c r="AI6" s="14"/>
      <c r="AJ6" s="13"/>
      <c r="AK6" s="14"/>
      <c r="AL6" s="14"/>
    </row>
    <row r="7" spans="1:38" s="19" customFormat="1" ht="17.5">
      <c r="A7" s="29"/>
      <c r="B7" s="14"/>
      <c r="C7" s="22" t="s">
        <v>5</v>
      </c>
      <c r="D7" s="14"/>
      <c r="E7" s="14"/>
      <c r="F7" s="1691"/>
      <c r="G7" s="1691"/>
      <c r="H7" s="1691"/>
      <c r="I7" s="14"/>
      <c r="J7" s="14"/>
      <c r="K7" s="14"/>
      <c r="L7" s="14"/>
      <c r="M7" s="14"/>
      <c r="N7" s="13"/>
      <c r="O7" s="14"/>
      <c r="P7" s="13"/>
      <c r="Q7" s="14"/>
      <c r="R7" s="13"/>
      <c r="S7" s="14"/>
      <c r="T7" s="13"/>
      <c r="U7" s="14"/>
      <c r="V7" s="13"/>
      <c r="W7" s="14"/>
      <c r="X7" s="14"/>
      <c r="Y7" s="14"/>
      <c r="Z7" s="13"/>
      <c r="AA7" s="14"/>
      <c r="AB7" s="13"/>
      <c r="AC7" s="14"/>
      <c r="AD7" s="13"/>
      <c r="AE7" s="14"/>
      <c r="AF7" s="13"/>
      <c r="AG7" s="14"/>
      <c r="AH7" s="13"/>
      <c r="AI7" s="14"/>
      <c r="AJ7" s="13"/>
      <c r="AK7" s="14"/>
      <c r="AL7" s="14"/>
    </row>
    <row r="8" spans="1:38" s="19" customFormat="1" ht="17.5">
      <c r="A8" s="29"/>
      <c r="B8" s="14"/>
      <c r="C8" s="22" t="s">
        <v>6</v>
      </c>
      <c r="D8" s="14"/>
      <c r="E8" s="14"/>
      <c r="F8" s="1691"/>
      <c r="G8" s="1691"/>
      <c r="H8" s="1691"/>
      <c r="I8" s="14"/>
      <c r="J8" s="14"/>
      <c r="K8" s="14"/>
      <c r="L8" s="14"/>
      <c r="M8" s="14"/>
      <c r="N8" s="13"/>
      <c r="O8" s="14"/>
      <c r="P8" s="13"/>
      <c r="Q8" s="14"/>
      <c r="R8" s="13"/>
      <c r="S8" s="14"/>
      <c r="T8" s="13"/>
      <c r="U8" s="14"/>
      <c r="V8" s="13"/>
      <c r="W8" s="14"/>
      <c r="X8" s="14"/>
      <c r="Y8" s="14"/>
      <c r="Z8" s="13"/>
      <c r="AA8" s="14"/>
      <c r="AB8" s="13"/>
      <c r="AC8" s="14"/>
      <c r="AD8" s="13"/>
      <c r="AE8" s="14"/>
      <c r="AF8" s="13"/>
      <c r="AG8" s="14"/>
      <c r="AH8" s="13"/>
      <c r="AI8" s="14"/>
      <c r="AJ8" s="13"/>
      <c r="AK8" s="14"/>
      <c r="AL8" s="14"/>
    </row>
    <row r="9" spans="1:38" s="19" customFormat="1" ht="17.5">
      <c r="A9" s="29"/>
      <c r="B9" s="14"/>
      <c r="C9" s="22" t="s">
        <v>7</v>
      </c>
      <c r="D9" s="14"/>
      <c r="E9" s="14"/>
      <c r="F9" s="1699"/>
      <c r="G9" s="1699"/>
      <c r="H9" s="1699"/>
      <c r="I9" s="14"/>
      <c r="J9" s="14"/>
      <c r="K9" s="14"/>
      <c r="L9" s="14"/>
      <c r="M9" s="14"/>
      <c r="N9" s="13"/>
      <c r="O9" s="14"/>
      <c r="P9" s="13"/>
      <c r="Q9" s="14"/>
      <c r="R9" s="13"/>
      <c r="S9" s="14"/>
      <c r="T9" s="13"/>
      <c r="U9" s="14"/>
      <c r="V9" s="13"/>
      <c r="W9" s="14"/>
      <c r="X9" s="14"/>
      <c r="Y9" s="14"/>
      <c r="Z9" s="13"/>
      <c r="AA9" s="14"/>
      <c r="AB9" s="13"/>
      <c r="AC9" s="14"/>
      <c r="AD9" s="13"/>
      <c r="AE9" s="14"/>
      <c r="AF9" s="13"/>
      <c r="AG9" s="14"/>
      <c r="AH9" s="13"/>
      <c r="AI9" s="14"/>
      <c r="AJ9" s="13"/>
      <c r="AK9" s="14"/>
      <c r="AL9" s="14"/>
    </row>
    <row r="10" spans="1:38" s="19" customFormat="1" ht="17.5">
      <c r="A10" s="29"/>
      <c r="B10" s="14"/>
      <c r="C10" s="22" t="s">
        <v>488</v>
      </c>
      <c r="D10" s="14"/>
      <c r="E10" s="14"/>
      <c r="F10" s="1685"/>
      <c r="G10" s="1685"/>
      <c r="H10" s="1685"/>
      <c r="I10" s="14"/>
      <c r="J10" s="14"/>
      <c r="K10" s="14"/>
      <c r="L10" s="14"/>
      <c r="M10" s="14"/>
      <c r="N10" s="13"/>
      <c r="O10" s="14"/>
      <c r="P10" s="13"/>
      <c r="Q10" s="14"/>
      <c r="R10" s="13"/>
      <c r="S10" s="14"/>
      <c r="T10" s="13"/>
      <c r="U10" s="14"/>
      <c r="V10" s="13"/>
      <c r="W10" s="14"/>
      <c r="X10" s="14"/>
      <c r="Y10" s="14"/>
      <c r="Z10" s="13"/>
      <c r="AA10" s="14"/>
      <c r="AB10" s="13"/>
      <c r="AC10" s="14"/>
      <c r="AD10" s="13"/>
      <c r="AE10" s="14"/>
      <c r="AF10" s="13"/>
      <c r="AG10" s="14"/>
      <c r="AH10" s="13"/>
      <c r="AI10" s="14"/>
      <c r="AJ10" s="13"/>
      <c r="AK10" s="14"/>
      <c r="AL10" s="14"/>
    </row>
    <row r="11" spans="1:38" s="18" customFormat="1" ht="17.5">
      <c r="A11" s="29"/>
      <c r="B11" s="14"/>
      <c r="C11" s="14"/>
      <c r="D11" s="35"/>
      <c r="E11" s="35"/>
      <c r="F11" s="14"/>
      <c r="G11" s="35"/>
      <c r="H11" s="14"/>
      <c r="I11" s="35"/>
      <c r="J11" s="14"/>
      <c r="K11" s="35"/>
      <c r="L11" s="14"/>
      <c r="M11" s="35"/>
      <c r="N11" s="1516"/>
      <c r="O11" s="35"/>
      <c r="P11" s="1516"/>
      <c r="Q11" s="35"/>
      <c r="R11" s="1516"/>
      <c r="S11" s="35"/>
      <c r="T11" s="1516"/>
      <c r="U11" s="35"/>
      <c r="V11" s="1516"/>
      <c r="W11" s="35"/>
      <c r="X11" s="14"/>
      <c r="Y11" s="35"/>
      <c r="Z11" s="1516"/>
      <c r="AA11" s="35"/>
      <c r="AB11" s="1516"/>
      <c r="AC11" s="35"/>
      <c r="AD11" s="1516"/>
      <c r="AE11" s="35"/>
      <c r="AF11" s="1516"/>
      <c r="AG11" s="35"/>
      <c r="AH11" s="1516"/>
      <c r="AI11" s="35"/>
      <c r="AJ11" s="1516"/>
      <c r="AK11" s="35"/>
      <c r="AL11" s="14"/>
    </row>
    <row r="12" spans="1:38" ht="17.5">
      <c r="A12" s="29"/>
      <c r="B12" s="14"/>
      <c r="C12" s="22" t="s">
        <v>558</v>
      </c>
      <c r="D12" s="14"/>
      <c r="E12" s="14"/>
      <c r="F12" s="1685"/>
      <c r="G12" s="1685"/>
      <c r="H12" s="1698"/>
      <c r="I12" s="14"/>
      <c r="J12" s="14"/>
      <c r="K12" s="14"/>
      <c r="L12" s="14"/>
      <c r="M12" s="14"/>
      <c r="N12" s="13"/>
      <c r="O12" s="14"/>
      <c r="P12" s="13"/>
      <c r="Q12" s="14"/>
      <c r="R12" s="13"/>
      <c r="S12" s="14"/>
      <c r="T12" s="13"/>
      <c r="U12" s="14"/>
      <c r="V12" s="13"/>
      <c r="W12" s="14"/>
      <c r="X12" s="14"/>
      <c r="Y12" s="14"/>
      <c r="Z12" s="13"/>
      <c r="AA12" s="14"/>
      <c r="AB12" s="13"/>
      <c r="AC12" s="14"/>
      <c r="AD12" s="13"/>
      <c r="AE12" s="14"/>
      <c r="AF12" s="13"/>
      <c r="AG12" s="14"/>
      <c r="AH12" s="13"/>
      <c r="AI12" s="14"/>
      <c r="AJ12" s="13"/>
      <c r="AK12" s="14"/>
      <c r="AL12" s="14"/>
    </row>
    <row r="13" spans="1:38" ht="17.5">
      <c r="A13" s="29"/>
      <c r="B13" s="14"/>
      <c r="C13" s="14"/>
      <c r="D13" s="14"/>
      <c r="E13" s="14"/>
      <c r="F13" s="14"/>
      <c r="G13" s="14"/>
      <c r="H13" s="14"/>
      <c r="I13" s="14"/>
      <c r="J13" s="14"/>
      <c r="K13" s="14"/>
      <c r="L13" s="14"/>
      <c r="M13" s="14"/>
      <c r="N13" s="13"/>
      <c r="O13" s="14"/>
      <c r="P13" s="13"/>
      <c r="Q13" s="14"/>
      <c r="R13" s="13"/>
      <c r="S13" s="14"/>
      <c r="T13" s="1529" t="s">
        <v>1771</v>
      </c>
      <c r="U13" s="1530"/>
      <c r="V13" s="1529" t="s">
        <v>1771</v>
      </c>
      <c r="W13" s="14"/>
      <c r="X13" s="14"/>
      <c r="Y13" s="14"/>
      <c r="Z13" s="13"/>
      <c r="AA13" s="14"/>
      <c r="AB13" s="13"/>
      <c r="AC13" s="14"/>
      <c r="AD13" s="13"/>
      <c r="AE13" s="14"/>
      <c r="AF13" s="13"/>
      <c r="AG13" s="14"/>
      <c r="AH13" s="13"/>
      <c r="AI13" s="14"/>
      <c r="AJ13" s="13"/>
      <c r="AK13" s="14"/>
      <c r="AL13" s="14"/>
    </row>
    <row r="14" spans="1:38" ht="17.5">
      <c r="A14" s="29"/>
      <c r="B14" s="14"/>
      <c r="C14" s="14"/>
      <c r="D14" s="14"/>
      <c r="E14" s="14"/>
      <c r="F14" s="14"/>
      <c r="G14" s="14"/>
      <c r="H14" s="14"/>
      <c r="I14" s="14"/>
      <c r="J14" s="14"/>
      <c r="K14" s="14"/>
      <c r="L14" s="14"/>
      <c r="M14" s="14"/>
      <c r="N14" s="13"/>
      <c r="O14" s="14"/>
      <c r="P14" s="13"/>
      <c r="Q14" s="14"/>
      <c r="R14" s="13"/>
      <c r="S14" s="14"/>
      <c r="T14" s="13"/>
      <c r="U14" s="14"/>
      <c r="V14" s="13"/>
      <c r="W14" s="14"/>
      <c r="X14" s="14"/>
      <c r="Y14" s="14"/>
      <c r="Z14" s="13"/>
      <c r="AA14" s="14"/>
      <c r="AB14" s="13"/>
      <c r="AC14" s="14"/>
      <c r="AD14" s="13"/>
      <c r="AE14" s="14"/>
      <c r="AF14" s="13"/>
      <c r="AG14" s="14"/>
      <c r="AH14" s="13"/>
      <c r="AI14" s="14"/>
      <c r="AJ14" s="13"/>
      <c r="AK14" s="14"/>
      <c r="AL14" s="14"/>
    </row>
    <row r="15" spans="1:38" s="426" customFormat="1" ht="17.5">
      <c r="A15" s="422"/>
      <c r="B15" s="423"/>
      <c r="C15" s="424"/>
      <c r="D15" s="423"/>
      <c r="E15" s="423"/>
      <c r="F15" s="427" t="s">
        <v>1328</v>
      </c>
      <c r="G15" s="423"/>
      <c r="H15" s="427" t="s">
        <v>1741</v>
      </c>
      <c r="I15" s="423"/>
      <c r="J15" s="427" t="s">
        <v>1742</v>
      </c>
      <c r="K15" s="423"/>
      <c r="L15" s="1520">
        <v>2</v>
      </c>
      <c r="M15" s="423"/>
      <c r="N15" s="427" t="s">
        <v>1756</v>
      </c>
      <c r="O15" s="423"/>
      <c r="P15" s="427" t="s">
        <v>1757</v>
      </c>
      <c r="Q15" s="423"/>
      <c r="R15" s="427" t="s">
        <v>1758</v>
      </c>
      <c r="S15" s="423"/>
      <c r="T15" s="1525" t="s">
        <v>1767</v>
      </c>
      <c r="U15" s="1526"/>
      <c r="V15" s="1525" t="s">
        <v>1770</v>
      </c>
      <c r="W15" s="423"/>
      <c r="X15" s="1520" t="s">
        <v>1762</v>
      </c>
      <c r="Y15" s="423"/>
      <c r="Z15" s="427" t="s">
        <v>1764</v>
      </c>
      <c r="AA15" s="423"/>
      <c r="AB15" s="427" t="s">
        <v>1765</v>
      </c>
      <c r="AC15" s="423"/>
      <c r="AD15" s="427" t="s">
        <v>1765</v>
      </c>
      <c r="AE15" s="423"/>
      <c r="AF15" s="427" t="s">
        <v>1765</v>
      </c>
      <c r="AG15" s="423"/>
      <c r="AH15" s="427" t="s">
        <v>1765</v>
      </c>
      <c r="AI15" s="423"/>
      <c r="AJ15" s="427" t="s">
        <v>1766</v>
      </c>
      <c r="AK15" s="423"/>
      <c r="AL15" s="1520" t="s">
        <v>1778</v>
      </c>
    </row>
    <row r="16" spans="1:38" s="426" customFormat="1" ht="64">
      <c r="A16" s="422"/>
      <c r="B16" s="1503"/>
      <c r="C16" s="424" t="s">
        <v>1587</v>
      </c>
      <c r="D16" s="1503"/>
      <c r="E16" s="1503"/>
      <c r="F16" s="1504"/>
      <c r="G16" s="1503"/>
      <c r="H16" s="1504" t="s">
        <v>1743</v>
      </c>
      <c r="I16" s="1503"/>
      <c r="J16" s="1504" t="s">
        <v>1744</v>
      </c>
      <c r="K16" s="1503"/>
      <c r="L16" s="431" t="s">
        <v>1750</v>
      </c>
      <c r="M16" s="1503"/>
      <c r="N16" s="1504" t="s">
        <v>1759</v>
      </c>
      <c r="O16" s="1503"/>
      <c r="P16" s="429" t="s">
        <v>1760</v>
      </c>
      <c r="Q16" s="1503"/>
      <c r="R16" s="427" t="s">
        <v>1761</v>
      </c>
      <c r="S16" s="1503"/>
      <c r="T16" s="1527" t="s">
        <v>1768</v>
      </c>
      <c r="U16" s="1528"/>
      <c r="V16" s="1525" t="s">
        <v>1769</v>
      </c>
      <c r="W16" s="1503"/>
      <c r="X16" s="431" t="s">
        <v>1763</v>
      </c>
      <c r="Y16" s="1503"/>
      <c r="Z16" s="1504" t="s">
        <v>1772</v>
      </c>
      <c r="AA16" s="1503"/>
      <c r="AB16" s="429" t="s">
        <v>1773</v>
      </c>
      <c r="AC16" s="1503"/>
      <c r="AD16" s="427" t="s">
        <v>1774</v>
      </c>
      <c r="AE16" s="1503"/>
      <c r="AF16" s="429" t="s">
        <v>1775</v>
      </c>
      <c r="AG16" s="1503"/>
      <c r="AH16" s="427" t="s">
        <v>1776</v>
      </c>
      <c r="AI16" s="1503"/>
      <c r="AJ16" s="429" t="s">
        <v>1777</v>
      </c>
      <c r="AK16" s="1503"/>
      <c r="AL16" s="431" t="s">
        <v>1779</v>
      </c>
    </row>
    <row r="17" spans="1:38" s="426" customFormat="1" ht="17.5">
      <c r="A17" s="422"/>
      <c r="B17" s="1503"/>
      <c r="C17" s="424" t="s">
        <v>485</v>
      </c>
      <c r="D17" s="1503"/>
      <c r="E17" s="1503"/>
      <c r="F17" s="1504"/>
      <c r="G17" s="1503"/>
      <c r="H17" s="208" t="s">
        <v>396</v>
      </c>
      <c r="I17" s="1503"/>
      <c r="J17" s="208" t="s">
        <v>396</v>
      </c>
      <c r="K17" s="1503"/>
      <c r="L17" s="431"/>
      <c r="M17" s="1503"/>
      <c r="N17" s="1504"/>
      <c r="O17" s="1503"/>
      <c r="P17" s="429"/>
      <c r="Q17" s="1503"/>
      <c r="R17" s="427"/>
      <c r="S17" s="1503"/>
      <c r="T17" s="429"/>
      <c r="U17" s="1503"/>
      <c r="V17" s="427"/>
      <c r="W17" s="1503"/>
      <c r="X17" s="431"/>
      <c r="Y17" s="1503"/>
      <c r="Z17" s="1504"/>
      <c r="AA17" s="1503"/>
      <c r="AB17" s="429"/>
      <c r="AC17" s="1503"/>
      <c r="AD17" s="427"/>
      <c r="AE17" s="1503"/>
      <c r="AF17" s="429"/>
      <c r="AG17" s="1503"/>
      <c r="AH17" s="427"/>
      <c r="AI17" s="1503"/>
      <c r="AJ17" s="429"/>
      <c r="AK17" s="1503"/>
      <c r="AL17" s="431"/>
    </row>
    <row r="18" spans="1:38" s="426" customFormat="1" ht="17.5">
      <c r="A18" s="422"/>
      <c r="B18" s="423"/>
      <c r="C18" s="118" t="s">
        <v>1751</v>
      </c>
      <c r="D18" s="423"/>
      <c r="E18" s="423"/>
      <c r="F18" s="1510"/>
      <c r="G18" s="423"/>
      <c r="H18" s="433">
        <v>10</v>
      </c>
      <c r="I18" s="423"/>
      <c r="J18" s="433">
        <v>3</v>
      </c>
      <c r="K18" s="423"/>
      <c r="L18" s="431">
        <f>SUM(H18:J18)</f>
        <v>13</v>
      </c>
      <c r="M18" s="423"/>
      <c r="N18" s="433">
        <v>10</v>
      </c>
      <c r="O18" s="423"/>
      <c r="P18" s="433">
        <v>10</v>
      </c>
      <c r="Q18" s="423"/>
      <c r="R18" s="433">
        <v>10</v>
      </c>
      <c r="S18" s="423"/>
      <c r="T18" s="433">
        <v>10</v>
      </c>
      <c r="U18" s="423"/>
      <c r="V18" s="433">
        <v>10</v>
      </c>
      <c r="W18" s="423"/>
      <c r="X18" s="431">
        <f>SUM(U18:W18)</f>
        <v>10</v>
      </c>
      <c r="Y18" s="423"/>
      <c r="Z18" s="433">
        <v>10</v>
      </c>
      <c r="AA18" s="423"/>
      <c r="AB18" s="433">
        <v>10</v>
      </c>
      <c r="AC18" s="423"/>
      <c r="AD18" s="433">
        <v>10</v>
      </c>
      <c r="AE18" s="423"/>
      <c r="AF18" s="433">
        <v>10</v>
      </c>
      <c r="AG18" s="423"/>
      <c r="AH18" s="433">
        <v>10</v>
      </c>
      <c r="AI18" s="423"/>
      <c r="AJ18" s="433">
        <v>10</v>
      </c>
      <c r="AK18" s="423"/>
      <c r="AL18" s="431">
        <f>SUM(AK18:AK18)</f>
        <v>0</v>
      </c>
    </row>
    <row r="19" spans="1:38" s="426" customFormat="1" ht="17.5">
      <c r="A19" s="422"/>
      <c r="B19" s="423"/>
      <c r="C19" s="118" t="s">
        <v>1752</v>
      </c>
      <c r="D19" s="423"/>
      <c r="E19" s="423"/>
      <c r="F19" s="1504"/>
      <c r="G19" s="423"/>
      <c r="H19" s="432">
        <f>SUMPRODUCT($F$23:$F$92,H$23:H$92)/SUM($F$23:$F$92)</f>
        <v>6</v>
      </c>
      <c r="I19" s="423"/>
      <c r="J19" s="432">
        <f>SUMPRODUCT($F$23:$F$92,J$23:J$92)/SUM($F$23:$F$92)</f>
        <v>5</v>
      </c>
      <c r="K19" s="423"/>
      <c r="L19" s="1521">
        <f>SUMPRODUCT($F$23:$F$92,L$23:L$92)/SUM($F$23:$F$92)</f>
        <v>11</v>
      </c>
      <c r="M19" s="423"/>
      <c r="N19" s="432">
        <f>SUMPRODUCT($F$23:$F$92,N$23:N$92)/SUM($F$23:$F$92)</f>
        <v>0</v>
      </c>
      <c r="O19" s="423"/>
      <c r="P19" s="432">
        <f>SUMPRODUCT($F$23:$F$92,P$23:P$92)/SUM($F$23:$F$92)</f>
        <v>0</v>
      </c>
      <c r="Q19" s="423"/>
      <c r="R19" s="432">
        <f>SUMPRODUCT($F$23:$F$92,R$23:R$92)/SUM($F$23:$F$92)</f>
        <v>0</v>
      </c>
      <c r="S19" s="423"/>
      <c r="T19" s="432">
        <f>SUMPRODUCT($F$23:$F$92,T$23:T$92)/SUM($F$23:$F$92)</f>
        <v>0</v>
      </c>
      <c r="U19" s="423"/>
      <c r="V19" s="432">
        <f>SUMPRODUCT($F$23:$F$92,V$23:V$92)/SUM($F$23:$F$92)</f>
        <v>0</v>
      </c>
      <c r="W19" s="423"/>
      <c r="X19" s="1521">
        <f>SUMPRODUCT($F$23:$F$92,X$23:X$92)/SUM($F$23:$F$92)</f>
        <v>0</v>
      </c>
      <c r="Y19" s="423"/>
      <c r="Z19" s="432">
        <f>SUMPRODUCT($F$23:$F$92,Z$23:Z$92)/SUM($F$23:$F$92)</f>
        <v>0</v>
      </c>
      <c r="AA19" s="423"/>
      <c r="AB19" s="432">
        <f>SUMPRODUCT($F$23:$F$92,AB$23:AB$92)/SUM($F$23:$F$92)</f>
        <v>0</v>
      </c>
      <c r="AC19" s="423"/>
      <c r="AD19" s="432">
        <f>SUMPRODUCT($F$23:$F$92,AD$23:AD$92)/SUM($F$23:$F$92)</f>
        <v>0</v>
      </c>
      <c r="AE19" s="423"/>
      <c r="AF19" s="432">
        <f>SUMPRODUCT($F$23:$F$92,AF$23:AF$92)/SUM($F$23:$F$92)</f>
        <v>0</v>
      </c>
      <c r="AG19" s="423"/>
      <c r="AH19" s="432">
        <f>SUMPRODUCT($F$23:$F$92,AH$23:AH$92)/SUM($F$23:$F$92)</f>
        <v>0</v>
      </c>
      <c r="AI19" s="423"/>
      <c r="AJ19" s="432">
        <f>SUMPRODUCT($F$23:$F$92,AJ$23:AJ$92)/SUM($F$23:$F$92)</f>
        <v>0</v>
      </c>
      <c r="AK19" s="423"/>
      <c r="AL19" s="1521">
        <f>SUMPRODUCT($F$23:$F$92,AL$23:AL$92)/SUM($F$23:$F$92)</f>
        <v>0</v>
      </c>
    </row>
    <row r="20" spans="1:38" s="426" customFormat="1" ht="17.5">
      <c r="A20" s="422"/>
      <c r="B20" s="423"/>
      <c r="C20" s="118" t="s">
        <v>1754</v>
      </c>
      <c r="D20" s="423"/>
      <c r="E20" s="423"/>
      <c r="F20" s="1511"/>
      <c r="G20" s="423"/>
      <c r="H20" s="432"/>
      <c r="I20" s="423"/>
      <c r="J20" s="432"/>
      <c r="K20" s="423"/>
      <c r="L20" s="1522">
        <f>L19-L18</f>
        <v>-2</v>
      </c>
      <c r="M20" s="423"/>
      <c r="N20" s="431"/>
      <c r="O20" s="423"/>
      <c r="P20" s="432"/>
      <c r="Q20" s="423"/>
      <c r="R20" s="432"/>
      <c r="S20" s="423"/>
      <c r="T20" s="432"/>
      <c r="U20" s="423"/>
      <c r="V20" s="432"/>
      <c r="W20" s="423"/>
      <c r="X20" s="1522">
        <f>X19-X18</f>
        <v>-10</v>
      </c>
      <c r="Y20" s="423"/>
      <c r="Z20" s="431"/>
      <c r="AA20" s="423"/>
      <c r="AB20" s="432"/>
      <c r="AC20" s="423"/>
      <c r="AD20" s="432"/>
      <c r="AE20" s="423"/>
      <c r="AF20" s="432"/>
      <c r="AG20" s="423"/>
      <c r="AH20" s="432"/>
      <c r="AI20" s="423"/>
      <c r="AJ20" s="432"/>
      <c r="AK20" s="423"/>
      <c r="AL20" s="1522">
        <f>AL19-AL18</f>
        <v>0</v>
      </c>
    </row>
    <row r="21" spans="1:38" s="1508" customFormat="1" ht="17.5">
      <c r="A21" s="1505"/>
      <c r="B21" s="1509"/>
      <c r="C21" s="1506" t="s">
        <v>1749</v>
      </c>
      <c r="D21" s="1509"/>
      <c r="E21" s="1509"/>
      <c r="F21" s="1506"/>
      <c r="G21" s="1509"/>
      <c r="H21" s="1506">
        <v>-2</v>
      </c>
      <c r="I21" s="1509"/>
      <c r="J21" s="1506">
        <v>0</v>
      </c>
      <c r="K21" s="1509"/>
      <c r="L21" s="1523"/>
      <c r="M21" s="1509"/>
      <c r="N21" s="1506">
        <v>-7</v>
      </c>
      <c r="O21" s="1509"/>
      <c r="P21" s="1506">
        <v>-13</v>
      </c>
      <c r="Q21" s="1509"/>
      <c r="R21" s="1506">
        <v>-13</v>
      </c>
      <c r="S21" s="1509"/>
      <c r="T21" s="1506">
        <v>-13</v>
      </c>
      <c r="U21" s="1509"/>
      <c r="V21" s="1506">
        <v>-13</v>
      </c>
      <c r="W21" s="1509"/>
      <c r="X21" s="1523"/>
      <c r="Y21" s="1509"/>
      <c r="Z21" s="1506"/>
      <c r="AA21" s="1509"/>
      <c r="AB21" s="1506"/>
      <c r="AC21" s="1509"/>
      <c r="AD21" s="1506"/>
      <c r="AE21" s="1509"/>
      <c r="AF21" s="1506"/>
      <c r="AG21" s="1509"/>
      <c r="AH21" s="1506"/>
      <c r="AI21" s="1509"/>
      <c r="AJ21" s="1506"/>
      <c r="AK21" s="1509"/>
      <c r="AL21" s="1523"/>
    </row>
    <row r="22" spans="1:38" s="1508" customFormat="1" ht="17.5">
      <c r="A22" s="1505"/>
      <c r="B22" s="1509"/>
      <c r="C22" s="1506" t="s">
        <v>1748</v>
      </c>
      <c r="D22" s="1509"/>
      <c r="E22" s="1509"/>
      <c r="F22" s="1506"/>
      <c r="G22" s="1509"/>
      <c r="H22" s="1506">
        <v>10</v>
      </c>
      <c r="I22" s="1509"/>
      <c r="J22" s="1506">
        <v>5</v>
      </c>
      <c r="K22" s="1509"/>
      <c r="L22" s="1507"/>
      <c r="M22" s="1509"/>
      <c r="N22" s="1506">
        <v>7</v>
      </c>
      <c r="O22" s="1509"/>
      <c r="P22" s="1506">
        <v>13</v>
      </c>
      <c r="Q22" s="1509"/>
      <c r="R22" s="1506">
        <v>13</v>
      </c>
      <c r="S22" s="1509"/>
      <c r="T22" s="1506">
        <v>13</v>
      </c>
      <c r="U22" s="1509"/>
      <c r="V22" s="1506">
        <v>13</v>
      </c>
      <c r="W22" s="1509"/>
      <c r="X22" s="1507"/>
      <c r="Y22" s="1509"/>
      <c r="Z22" s="1506"/>
      <c r="AA22" s="1509"/>
      <c r="AB22" s="1506"/>
      <c r="AC22" s="1509"/>
      <c r="AD22" s="1506"/>
      <c r="AE22" s="1509"/>
      <c r="AF22" s="1506"/>
      <c r="AG22" s="1509"/>
      <c r="AH22" s="1506"/>
      <c r="AI22" s="1509"/>
      <c r="AJ22" s="1506"/>
      <c r="AK22" s="1509"/>
      <c r="AL22" s="1507"/>
    </row>
    <row r="23" spans="1:38" s="190" customFormat="1" ht="17.5">
      <c r="A23" s="29"/>
      <c r="B23" s="165">
        <v>1</v>
      </c>
      <c r="C23" s="145" t="s">
        <v>1745</v>
      </c>
      <c r="D23" s="14"/>
      <c r="E23" s="14"/>
      <c r="F23" s="25">
        <v>10</v>
      </c>
      <c r="G23" s="14"/>
      <c r="H23" s="25">
        <v>8</v>
      </c>
      <c r="I23" s="14"/>
      <c r="J23" s="25">
        <v>5</v>
      </c>
      <c r="K23" s="14"/>
      <c r="L23" s="1531">
        <f>SUM(H23:J23)</f>
        <v>13</v>
      </c>
      <c r="M23" s="14"/>
      <c r="N23" s="25"/>
      <c r="O23" s="14"/>
      <c r="P23" s="154"/>
      <c r="Q23" s="14"/>
      <c r="R23" s="25"/>
      <c r="S23" s="14"/>
      <c r="T23" s="154"/>
      <c r="U23" s="14"/>
      <c r="V23" s="25"/>
      <c r="W23" s="14"/>
      <c r="X23" s="1531">
        <f>SUM(N23:W23)</f>
        <v>0</v>
      </c>
      <c r="Y23" s="14"/>
      <c r="Z23" s="25"/>
      <c r="AA23" s="14"/>
      <c r="AB23" s="154"/>
      <c r="AC23" s="14"/>
      <c r="AD23" s="25"/>
      <c r="AE23" s="14"/>
      <c r="AF23" s="154"/>
      <c r="AG23" s="14"/>
      <c r="AH23" s="25"/>
      <c r="AI23" s="14"/>
      <c r="AJ23" s="154"/>
      <c r="AK23" s="14"/>
      <c r="AL23" s="1531">
        <f>SUM(Z23:AK23)</f>
        <v>0</v>
      </c>
    </row>
    <row r="24" spans="1:38" s="190" customFormat="1" ht="17.5">
      <c r="A24" s="29"/>
      <c r="B24" s="165">
        <v>2</v>
      </c>
      <c r="C24" s="145" t="s">
        <v>1746</v>
      </c>
      <c r="D24" s="14"/>
      <c r="E24" s="14"/>
      <c r="F24" s="25">
        <v>10</v>
      </c>
      <c r="G24" s="14"/>
      <c r="H24" s="25">
        <v>8</v>
      </c>
      <c r="I24" s="14"/>
      <c r="J24" s="25">
        <v>5</v>
      </c>
      <c r="K24" s="14"/>
      <c r="L24" s="1531">
        <f t="shared" ref="L24:L25" si="0">SUM(H24:J24)</f>
        <v>13</v>
      </c>
      <c r="M24" s="14"/>
      <c r="N24" s="25"/>
      <c r="O24" s="14"/>
      <c r="P24" s="154"/>
      <c r="Q24" s="14"/>
      <c r="R24" s="25"/>
      <c r="S24" s="14"/>
      <c r="T24" s="154"/>
      <c r="U24" s="14"/>
      <c r="V24" s="25"/>
      <c r="W24" s="14"/>
      <c r="X24" s="1531">
        <f>SUM(N24:W24)</f>
        <v>0</v>
      </c>
      <c r="Y24" s="14"/>
      <c r="Z24" s="25"/>
      <c r="AA24" s="14"/>
      <c r="AB24" s="154"/>
      <c r="AC24" s="14"/>
      <c r="AD24" s="25"/>
      <c r="AE24" s="14"/>
      <c r="AF24" s="154"/>
      <c r="AG24" s="14"/>
      <c r="AH24" s="25"/>
      <c r="AI24" s="14"/>
      <c r="AJ24" s="154"/>
      <c r="AK24" s="14"/>
      <c r="AL24" s="1531">
        <f>SUM(Z24:AK24)</f>
        <v>0</v>
      </c>
    </row>
    <row r="25" spans="1:38" s="190" customFormat="1" ht="17.5">
      <c r="A25" s="29"/>
      <c r="B25" s="165">
        <v>3</v>
      </c>
      <c r="C25" s="145" t="s">
        <v>1747</v>
      </c>
      <c r="D25" s="14"/>
      <c r="E25" s="14"/>
      <c r="F25" s="25">
        <v>20</v>
      </c>
      <c r="G25" s="14"/>
      <c r="H25" s="25">
        <v>4</v>
      </c>
      <c r="I25" s="14"/>
      <c r="J25" s="25">
        <v>5</v>
      </c>
      <c r="K25" s="14"/>
      <c r="L25" s="1531">
        <f t="shared" si="0"/>
        <v>9</v>
      </c>
      <c r="M25" s="14"/>
      <c r="N25" s="25"/>
      <c r="O25" s="14"/>
      <c r="P25" s="154"/>
      <c r="Q25" s="14"/>
      <c r="R25" s="25"/>
      <c r="S25" s="14"/>
      <c r="T25" s="154"/>
      <c r="U25" s="14"/>
      <c r="V25" s="25"/>
      <c r="W25" s="14"/>
      <c r="X25" s="1531">
        <f>SUM(N25:W25)</f>
        <v>0</v>
      </c>
      <c r="Y25" s="14"/>
      <c r="Z25" s="25"/>
      <c r="AA25" s="14"/>
      <c r="AB25" s="154"/>
      <c r="AC25" s="14"/>
      <c r="AD25" s="25"/>
      <c r="AE25" s="14"/>
      <c r="AF25" s="154"/>
      <c r="AG25" s="14"/>
      <c r="AH25" s="25"/>
      <c r="AI25" s="14"/>
      <c r="AJ25" s="154"/>
      <c r="AK25" s="14"/>
      <c r="AL25" s="1531">
        <f>SUM(Z25:AK25)</f>
        <v>0</v>
      </c>
    </row>
    <row r="26" spans="1:38" s="190" customFormat="1" ht="17.5">
      <c r="A26" s="29"/>
      <c r="B26" s="165">
        <v>4</v>
      </c>
      <c r="C26" s="145"/>
      <c r="D26" s="14"/>
      <c r="E26" s="14"/>
      <c r="F26" s="25"/>
      <c r="G26" s="14"/>
      <c r="H26" s="25"/>
      <c r="I26" s="14"/>
      <c r="J26" s="25"/>
      <c r="K26" s="14"/>
      <c r="L26" s="1531"/>
      <c r="M26" s="14"/>
      <c r="N26" s="25"/>
      <c r="O26" s="14"/>
      <c r="P26" s="154"/>
      <c r="Q26" s="14"/>
      <c r="R26" s="25"/>
      <c r="S26" s="14"/>
      <c r="T26" s="154"/>
      <c r="U26" s="14"/>
      <c r="V26" s="25"/>
      <c r="W26" s="14"/>
      <c r="X26" s="1531"/>
      <c r="Y26" s="14"/>
      <c r="Z26" s="25"/>
      <c r="AA26" s="14"/>
      <c r="AB26" s="154"/>
      <c r="AC26" s="14"/>
      <c r="AD26" s="25"/>
      <c r="AE26" s="14"/>
      <c r="AF26" s="154"/>
      <c r="AG26" s="14"/>
      <c r="AH26" s="25"/>
      <c r="AI26" s="14"/>
      <c r="AJ26" s="154"/>
      <c r="AK26" s="14"/>
      <c r="AL26" s="1531"/>
    </row>
    <row r="27" spans="1:38" s="190" customFormat="1" ht="17.5">
      <c r="A27" s="29"/>
      <c r="B27" s="165">
        <v>5</v>
      </c>
      <c r="C27" s="145"/>
      <c r="D27" s="14"/>
      <c r="E27" s="14"/>
      <c r="F27" s="25"/>
      <c r="G27" s="14"/>
      <c r="H27" s="25"/>
      <c r="I27" s="14"/>
      <c r="J27" s="25"/>
      <c r="K27" s="14"/>
      <c r="L27" s="1531"/>
      <c r="M27" s="14"/>
      <c r="N27" s="25"/>
      <c r="O27" s="14"/>
      <c r="P27" s="154"/>
      <c r="Q27" s="14"/>
      <c r="R27" s="25"/>
      <c r="S27" s="14"/>
      <c r="T27" s="154"/>
      <c r="U27" s="14"/>
      <c r="V27" s="25"/>
      <c r="W27" s="14"/>
      <c r="X27" s="1531"/>
      <c r="Y27" s="14"/>
      <c r="Z27" s="25"/>
      <c r="AA27" s="14"/>
      <c r="AB27" s="154"/>
      <c r="AC27" s="14"/>
      <c r="AD27" s="25"/>
      <c r="AE27" s="14"/>
      <c r="AF27" s="154"/>
      <c r="AG27" s="14"/>
      <c r="AH27" s="25"/>
      <c r="AI27" s="14"/>
      <c r="AJ27" s="154"/>
      <c r="AK27" s="14"/>
      <c r="AL27" s="1531"/>
    </row>
    <row r="28" spans="1:38" s="190" customFormat="1" ht="17.5">
      <c r="A28" s="29"/>
      <c r="B28" s="165">
        <v>6</v>
      </c>
      <c r="C28" s="145"/>
      <c r="D28" s="14"/>
      <c r="E28" s="14"/>
      <c r="F28" s="25"/>
      <c r="G28" s="14"/>
      <c r="H28" s="25"/>
      <c r="I28" s="14"/>
      <c r="J28" s="25"/>
      <c r="K28" s="14"/>
      <c r="L28" s="1531"/>
      <c r="M28" s="14"/>
      <c r="N28" s="25"/>
      <c r="O28" s="14"/>
      <c r="P28" s="154"/>
      <c r="Q28" s="14"/>
      <c r="R28" s="25"/>
      <c r="S28" s="14"/>
      <c r="T28" s="154"/>
      <c r="U28" s="14"/>
      <c r="V28" s="25"/>
      <c r="W28" s="14"/>
      <c r="X28" s="1531"/>
      <c r="Y28" s="14"/>
      <c r="Z28" s="25"/>
      <c r="AA28" s="14"/>
      <c r="AB28" s="154"/>
      <c r="AC28" s="14"/>
      <c r="AD28" s="25"/>
      <c r="AE28" s="14"/>
      <c r="AF28" s="154"/>
      <c r="AG28" s="14"/>
      <c r="AH28" s="25"/>
      <c r="AI28" s="14"/>
      <c r="AJ28" s="154"/>
      <c r="AK28" s="14"/>
      <c r="AL28" s="1531"/>
    </row>
    <row r="29" spans="1:38" s="190" customFormat="1" ht="17.5">
      <c r="A29" s="29"/>
      <c r="B29" s="165">
        <v>7</v>
      </c>
      <c r="C29" s="145"/>
      <c r="D29" s="14"/>
      <c r="E29" s="14"/>
      <c r="F29" s="25"/>
      <c r="G29" s="14"/>
      <c r="H29" s="25"/>
      <c r="I29" s="14"/>
      <c r="J29" s="25"/>
      <c r="K29" s="14"/>
      <c r="L29" s="1531"/>
      <c r="M29" s="14"/>
      <c r="N29" s="25"/>
      <c r="O29" s="14"/>
      <c r="P29" s="154"/>
      <c r="Q29" s="14"/>
      <c r="R29" s="25"/>
      <c r="S29" s="14"/>
      <c r="T29" s="154"/>
      <c r="U29" s="14"/>
      <c r="V29" s="25"/>
      <c r="W29" s="14"/>
      <c r="X29" s="1531"/>
      <c r="Y29" s="14"/>
      <c r="Z29" s="25"/>
      <c r="AA29" s="14"/>
      <c r="AB29" s="154"/>
      <c r="AC29" s="14"/>
      <c r="AD29" s="25"/>
      <c r="AE29" s="14"/>
      <c r="AF29" s="154"/>
      <c r="AG29" s="14"/>
      <c r="AH29" s="25"/>
      <c r="AI29" s="14"/>
      <c r="AJ29" s="154"/>
      <c r="AK29" s="14"/>
      <c r="AL29" s="1531"/>
    </row>
    <row r="30" spans="1:38" s="190" customFormat="1" ht="17.5">
      <c r="A30" s="29"/>
      <c r="B30" s="165">
        <v>8</v>
      </c>
      <c r="C30" s="145"/>
      <c r="D30" s="14"/>
      <c r="E30" s="14"/>
      <c r="F30" s="25"/>
      <c r="G30" s="14"/>
      <c r="H30" s="25"/>
      <c r="I30" s="14"/>
      <c r="J30" s="25"/>
      <c r="K30" s="14"/>
      <c r="L30" s="1531"/>
      <c r="M30" s="14"/>
      <c r="N30" s="25"/>
      <c r="O30" s="14"/>
      <c r="P30" s="154"/>
      <c r="Q30" s="14"/>
      <c r="R30" s="25"/>
      <c r="S30" s="14"/>
      <c r="T30" s="154"/>
      <c r="U30" s="14"/>
      <c r="V30" s="25"/>
      <c r="W30" s="14"/>
      <c r="X30" s="1531"/>
      <c r="Y30" s="14"/>
      <c r="Z30" s="25"/>
      <c r="AA30" s="14"/>
      <c r="AB30" s="154"/>
      <c r="AC30" s="14"/>
      <c r="AD30" s="25"/>
      <c r="AE30" s="14"/>
      <c r="AF30" s="154"/>
      <c r="AG30" s="14"/>
      <c r="AH30" s="25"/>
      <c r="AI30" s="14"/>
      <c r="AJ30" s="154"/>
      <c r="AK30" s="14"/>
      <c r="AL30" s="1531"/>
    </row>
    <row r="31" spans="1:38" s="190" customFormat="1" ht="17.5">
      <c r="A31" s="29"/>
      <c r="B31" s="165">
        <v>9</v>
      </c>
      <c r="C31" s="145"/>
      <c r="D31" s="14"/>
      <c r="E31" s="14"/>
      <c r="F31" s="25"/>
      <c r="G31" s="14"/>
      <c r="H31" s="25"/>
      <c r="I31" s="14"/>
      <c r="J31" s="25"/>
      <c r="K31" s="14"/>
      <c r="L31" s="1531"/>
      <c r="M31" s="14"/>
      <c r="N31" s="25"/>
      <c r="O31" s="14"/>
      <c r="P31" s="154"/>
      <c r="Q31" s="14"/>
      <c r="R31" s="25"/>
      <c r="S31" s="14"/>
      <c r="T31" s="154"/>
      <c r="U31" s="14"/>
      <c r="V31" s="25"/>
      <c r="W31" s="14"/>
      <c r="X31" s="1531"/>
      <c r="Y31" s="14"/>
      <c r="Z31" s="25"/>
      <c r="AA31" s="14"/>
      <c r="AB31" s="154"/>
      <c r="AC31" s="14"/>
      <c r="AD31" s="25"/>
      <c r="AE31" s="14"/>
      <c r="AF31" s="154"/>
      <c r="AG31" s="14"/>
      <c r="AH31" s="25"/>
      <c r="AI31" s="14"/>
      <c r="AJ31" s="154"/>
      <c r="AK31" s="14"/>
      <c r="AL31" s="1531"/>
    </row>
    <row r="32" spans="1:38" s="190" customFormat="1" ht="17.5">
      <c r="A32" s="29"/>
      <c r="B32" s="165">
        <v>10</v>
      </c>
      <c r="C32" s="145"/>
      <c r="D32" s="14"/>
      <c r="E32" s="14"/>
      <c r="F32" s="25"/>
      <c r="G32" s="14"/>
      <c r="H32" s="25"/>
      <c r="I32" s="14"/>
      <c r="J32" s="25"/>
      <c r="K32" s="14"/>
      <c r="L32" s="1531"/>
      <c r="M32" s="14"/>
      <c r="N32" s="25"/>
      <c r="O32" s="14"/>
      <c r="P32" s="154"/>
      <c r="Q32" s="14"/>
      <c r="R32" s="25"/>
      <c r="S32" s="14"/>
      <c r="T32" s="154"/>
      <c r="U32" s="14"/>
      <c r="V32" s="25"/>
      <c r="W32" s="14"/>
      <c r="X32" s="1531"/>
      <c r="Y32" s="14"/>
      <c r="Z32" s="25"/>
      <c r="AA32" s="14"/>
      <c r="AB32" s="154"/>
      <c r="AC32" s="14"/>
      <c r="AD32" s="25"/>
      <c r="AE32" s="14"/>
      <c r="AF32" s="154"/>
      <c r="AG32" s="14"/>
      <c r="AH32" s="25"/>
      <c r="AI32" s="14"/>
      <c r="AJ32" s="154"/>
      <c r="AK32" s="14"/>
      <c r="AL32" s="1531"/>
    </row>
    <row r="33" spans="1:38" s="190" customFormat="1" ht="17.5">
      <c r="A33" s="29"/>
      <c r="B33" s="165">
        <v>11</v>
      </c>
      <c r="C33" s="145"/>
      <c r="D33" s="14"/>
      <c r="E33" s="14"/>
      <c r="F33" s="25"/>
      <c r="G33" s="14"/>
      <c r="H33" s="25"/>
      <c r="I33" s="14"/>
      <c r="J33" s="25"/>
      <c r="K33" s="14"/>
      <c r="L33" s="1531"/>
      <c r="M33" s="14"/>
      <c r="N33" s="25"/>
      <c r="O33" s="14"/>
      <c r="P33" s="154"/>
      <c r="Q33" s="14"/>
      <c r="R33" s="25"/>
      <c r="S33" s="14"/>
      <c r="T33" s="154"/>
      <c r="U33" s="14"/>
      <c r="V33" s="25"/>
      <c r="W33" s="14"/>
      <c r="X33" s="1531"/>
      <c r="Y33" s="14"/>
      <c r="Z33" s="25"/>
      <c r="AA33" s="14"/>
      <c r="AB33" s="154"/>
      <c r="AC33" s="14"/>
      <c r="AD33" s="25"/>
      <c r="AE33" s="14"/>
      <c r="AF33" s="154"/>
      <c r="AG33" s="14"/>
      <c r="AH33" s="25"/>
      <c r="AI33" s="14"/>
      <c r="AJ33" s="154"/>
      <c r="AK33" s="14"/>
      <c r="AL33" s="1531"/>
    </row>
    <row r="34" spans="1:38" s="190" customFormat="1" ht="17.5">
      <c r="A34" s="29"/>
      <c r="B34" s="165">
        <v>12</v>
      </c>
      <c r="C34" s="145"/>
      <c r="D34" s="14"/>
      <c r="E34" s="14"/>
      <c r="F34" s="25"/>
      <c r="G34" s="14"/>
      <c r="H34" s="25"/>
      <c r="I34" s="14"/>
      <c r="J34" s="25"/>
      <c r="K34" s="14"/>
      <c r="L34" s="1531"/>
      <c r="M34" s="14"/>
      <c r="N34" s="25"/>
      <c r="O34" s="14"/>
      <c r="P34" s="154"/>
      <c r="Q34" s="14"/>
      <c r="R34" s="25"/>
      <c r="S34" s="14"/>
      <c r="T34" s="154"/>
      <c r="U34" s="14"/>
      <c r="V34" s="25"/>
      <c r="W34" s="14"/>
      <c r="X34" s="1531"/>
      <c r="Y34" s="14"/>
      <c r="Z34" s="25"/>
      <c r="AA34" s="14"/>
      <c r="AB34" s="154"/>
      <c r="AC34" s="14"/>
      <c r="AD34" s="25"/>
      <c r="AE34" s="14"/>
      <c r="AF34" s="154"/>
      <c r="AG34" s="14"/>
      <c r="AH34" s="25"/>
      <c r="AI34" s="14"/>
      <c r="AJ34" s="154"/>
      <c r="AK34" s="14"/>
      <c r="AL34" s="1531"/>
    </row>
    <row r="35" spans="1:38" s="190" customFormat="1" ht="17.5">
      <c r="A35" s="29"/>
      <c r="B35" s="165">
        <v>13</v>
      </c>
      <c r="C35" s="145"/>
      <c r="D35" s="14"/>
      <c r="E35" s="14"/>
      <c r="F35" s="25"/>
      <c r="G35" s="14"/>
      <c r="H35" s="25"/>
      <c r="I35" s="14"/>
      <c r="J35" s="25"/>
      <c r="K35" s="14"/>
      <c r="L35" s="1531"/>
      <c r="M35" s="14"/>
      <c r="N35" s="25"/>
      <c r="O35" s="14"/>
      <c r="P35" s="154"/>
      <c r="Q35" s="14"/>
      <c r="R35" s="25"/>
      <c r="S35" s="14"/>
      <c r="T35" s="154"/>
      <c r="U35" s="14"/>
      <c r="V35" s="25"/>
      <c r="W35" s="14"/>
      <c r="X35" s="1531"/>
      <c r="Y35" s="14"/>
      <c r="Z35" s="25"/>
      <c r="AA35" s="14"/>
      <c r="AB35" s="154"/>
      <c r="AC35" s="14"/>
      <c r="AD35" s="25"/>
      <c r="AE35" s="14"/>
      <c r="AF35" s="154"/>
      <c r="AG35" s="14"/>
      <c r="AH35" s="25"/>
      <c r="AI35" s="14"/>
      <c r="AJ35" s="154"/>
      <c r="AK35" s="14"/>
      <c r="AL35" s="1531"/>
    </row>
    <row r="36" spans="1:38" s="190" customFormat="1" ht="17.5">
      <c r="A36" s="29"/>
      <c r="B36" s="165">
        <v>14</v>
      </c>
      <c r="C36" s="145"/>
      <c r="D36" s="14"/>
      <c r="E36" s="14"/>
      <c r="F36" s="25"/>
      <c r="G36" s="14"/>
      <c r="H36" s="25"/>
      <c r="I36" s="14"/>
      <c r="J36" s="25"/>
      <c r="K36" s="14"/>
      <c r="L36" s="1531"/>
      <c r="M36" s="14"/>
      <c r="N36" s="25"/>
      <c r="O36" s="14"/>
      <c r="P36" s="154"/>
      <c r="Q36" s="14"/>
      <c r="R36" s="25"/>
      <c r="S36" s="14"/>
      <c r="T36" s="154"/>
      <c r="U36" s="14"/>
      <c r="V36" s="25"/>
      <c r="W36" s="14"/>
      <c r="X36" s="1531"/>
      <c r="Y36" s="14"/>
      <c r="Z36" s="25"/>
      <c r="AA36" s="14"/>
      <c r="AB36" s="154"/>
      <c r="AC36" s="14"/>
      <c r="AD36" s="25"/>
      <c r="AE36" s="14"/>
      <c r="AF36" s="154"/>
      <c r="AG36" s="14"/>
      <c r="AH36" s="25"/>
      <c r="AI36" s="14"/>
      <c r="AJ36" s="154"/>
      <c r="AK36" s="14"/>
      <c r="AL36" s="1531"/>
    </row>
    <row r="37" spans="1:38" s="190" customFormat="1" ht="17.5">
      <c r="A37" s="29"/>
      <c r="B37" s="165">
        <v>15</v>
      </c>
      <c r="C37" s="145"/>
      <c r="D37" s="14"/>
      <c r="E37" s="14"/>
      <c r="F37" s="25"/>
      <c r="G37" s="14"/>
      <c r="H37" s="25"/>
      <c r="I37" s="14"/>
      <c r="J37" s="25"/>
      <c r="K37" s="14"/>
      <c r="L37" s="1531"/>
      <c r="M37" s="14"/>
      <c r="N37" s="25"/>
      <c r="O37" s="14"/>
      <c r="P37" s="154"/>
      <c r="Q37" s="14"/>
      <c r="R37" s="25"/>
      <c r="S37" s="14"/>
      <c r="T37" s="154"/>
      <c r="U37" s="14"/>
      <c r="V37" s="25"/>
      <c r="W37" s="14"/>
      <c r="X37" s="1531"/>
      <c r="Y37" s="14"/>
      <c r="Z37" s="25"/>
      <c r="AA37" s="14"/>
      <c r="AB37" s="154"/>
      <c r="AC37" s="14"/>
      <c r="AD37" s="25"/>
      <c r="AE37" s="14"/>
      <c r="AF37" s="154"/>
      <c r="AG37" s="14"/>
      <c r="AH37" s="25"/>
      <c r="AI37" s="14"/>
      <c r="AJ37" s="154"/>
      <c r="AK37" s="14"/>
      <c r="AL37" s="1531"/>
    </row>
    <row r="38" spans="1:38" s="190" customFormat="1" ht="17.5">
      <c r="A38" s="29"/>
      <c r="B38" s="165">
        <v>16</v>
      </c>
      <c r="C38" s="145"/>
      <c r="D38" s="14"/>
      <c r="E38" s="14"/>
      <c r="F38" s="25"/>
      <c r="G38" s="14"/>
      <c r="H38" s="25"/>
      <c r="I38" s="14"/>
      <c r="J38" s="25"/>
      <c r="K38" s="14"/>
      <c r="L38" s="1531"/>
      <c r="M38" s="14"/>
      <c r="N38" s="25"/>
      <c r="O38" s="14"/>
      <c r="P38" s="154"/>
      <c r="Q38" s="14"/>
      <c r="R38" s="25"/>
      <c r="S38" s="14"/>
      <c r="T38" s="154"/>
      <c r="U38" s="14"/>
      <c r="V38" s="25"/>
      <c r="W38" s="14"/>
      <c r="X38" s="1531"/>
      <c r="Y38" s="14"/>
      <c r="Z38" s="25"/>
      <c r="AA38" s="14"/>
      <c r="AB38" s="154"/>
      <c r="AC38" s="14"/>
      <c r="AD38" s="25"/>
      <c r="AE38" s="14"/>
      <c r="AF38" s="154"/>
      <c r="AG38" s="14"/>
      <c r="AH38" s="25"/>
      <c r="AI38" s="14"/>
      <c r="AJ38" s="154"/>
      <c r="AK38" s="14"/>
      <c r="AL38" s="1531"/>
    </row>
    <row r="39" spans="1:38" s="190" customFormat="1" ht="17.5">
      <c r="A39" s="29"/>
      <c r="B39" s="165">
        <v>17</v>
      </c>
      <c r="C39" s="145"/>
      <c r="D39" s="14"/>
      <c r="E39" s="14"/>
      <c r="F39" s="25"/>
      <c r="G39" s="14"/>
      <c r="H39" s="25"/>
      <c r="I39" s="14"/>
      <c r="J39" s="25"/>
      <c r="K39" s="14"/>
      <c r="L39" s="1531"/>
      <c r="M39" s="14"/>
      <c r="N39" s="25"/>
      <c r="O39" s="14"/>
      <c r="P39" s="154"/>
      <c r="Q39" s="14"/>
      <c r="R39" s="25"/>
      <c r="S39" s="14"/>
      <c r="T39" s="154"/>
      <c r="U39" s="14"/>
      <c r="V39" s="25"/>
      <c r="W39" s="14"/>
      <c r="X39" s="1531"/>
      <c r="Y39" s="14"/>
      <c r="Z39" s="25"/>
      <c r="AA39" s="14"/>
      <c r="AB39" s="154"/>
      <c r="AC39" s="14"/>
      <c r="AD39" s="25"/>
      <c r="AE39" s="14"/>
      <c r="AF39" s="154"/>
      <c r="AG39" s="14"/>
      <c r="AH39" s="25"/>
      <c r="AI39" s="14"/>
      <c r="AJ39" s="154"/>
      <c r="AK39" s="14"/>
      <c r="AL39" s="1531"/>
    </row>
    <row r="40" spans="1:38" s="190" customFormat="1" ht="17.5">
      <c r="A40" s="29"/>
      <c r="B40" s="165">
        <v>18</v>
      </c>
      <c r="C40" s="145"/>
      <c r="D40" s="14"/>
      <c r="E40" s="14"/>
      <c r="F40" s="25"/>
      <c r="G40" s="14"/>
      <c r="H40" s="25"/>
      <c r="I40" s="14"/>
      <c r="J40" s="25"/>
      <c r="K40" s="14"/>
      <c r="L40" s="1531"/>
      <c r="M40" s="14"/>
      <c r="N40" s="25"/>
      <c r="O40" s="14"/>
      <c r="P40" s="154"/>
      <c r="Q40" s="14"/>
      <c r="R40" s="25"/>
      <c r="S40" s="14"/>
      <c r="T40" s="154"/>
      <c r="U40" s="14"/>
      <c r="V40" s="25"/>
      <c r="W40" s="14"/>
      <c r="X40" s="1531"/>
      <c r="Y40" s="14"/>
      <c r="Z40" s="25"/>
      <c r="AA40" s="14"/>
      <c r="AB40" s="154"/>
      <c r="AC40" s="14"/>
      <c r="AD40" s="25"/>
      <c r="AE40" s="14"/>
      <c r="AF40" s="154"/>
      <c r="AG40" s="14"/>
      <c r="AH40" s="25"/>
      <c r="AI40" s="14"/>
      <c r="AJ40" s="154"/>
      <c r="AK40" s="14"/>
      <c r="AL40" s="1531"/>
    </row>
    <row r="41" spans="1:38" s="190" customFormat="1" ht="17.5">
      <c r="A41" s="29"/>
      <c r="B41" s="165">
        <v>19</v>
      </c>
      <c r="C41" s="145"/>
      <c r="D41" s="14"/>
      <c r="E41" s="14"/>
      <c r="F41" s="25"/>
      <c r="G41" s="14"/>
      <c r="H41" s="25"/>
      <c r="I41" s="14"/>
      <c r="J41" s="25"/>
      <c r="K41" s="14"/>
      <c r="L41" s="1531"/>
      <c r="M41" s="14"/>
      <c r="N41" s="25"/>
      <c r="O41" s="14"/>
      <c r="P41" s="154"/>
      <c r="Q41" s="14"/>
      <c r="R41" s="25"/>
      <c r="S41" s="14"/>
      <c r="T41" s="154"/>
      <c r="U41" s="14"/>
      <c r="V41" s="25"/>
      <c r="W41" s="14"/>
      <c r="X41" s="1531"/>
      <c r="Y41" s="14"/>
      <c r="Z41" s="25"/>
      <c r="AA41" s="14"/>
      <c r="AB41" s="154"/>
      <c r="AC41" s="14"/>
      <c r="AD41" s="25"/>
      <c r="AE41" s="14"/>
      <c r="AF41" s="154"/>
      <c r="AG41" s="14"/>
      <c r="AH41" s="25"/>
      <c r="AI41" s="14"/>
      <c r="AJ41" s="154"/>
      <c r="AK41" s="14"/>
      <c r="AL41" s="1531"/>
    </row>
    <row r="42" spans="1:38" s="190" customFormat="1" ht="17.5">
      <c r="A42" s="29"/>
      <c r="B42" s="165">
        <v>20</v>
      </c>
      <c r="C42" s="145"/>
      <c r="D42" s="14"/>
      <c r="E42" s="14"/>
      <c r="F42" s="25"/>
      <c r="G42" s="14"/>
      <c r="H42" s="25"/>
      <c r="I42" s="14"/>
      <c r="J42" s="25"/>
      <c r="K42" s="14"/>
      <c r="L42" s="1531"/>
      <c r="M42" s="14"/>
      <c r="N42" s="25"/>
      <c r="O42" s="14"/>
      <c r="P42" s="154"/>
      <c r="Q42" s="14"/>
      <c r="R42" s="25"/>
      <c r="S42" s="14"/>
      <c r="T42" s="154"/>
      <c r="U42" s="14"/>
      <c r="V42" s="25"/>
      <c r="W42" s="14"/>
      <c r="X42" s="1531"/>
      <c r="Y42" s="14"/>
      <c r="Z42" s="25"/>
      <c r="AA42" s="14"/>
      <c r="AB42" s="154"/>
      <c r="AC42" s="14"/>
      <c r="AD42" s="25"/>
      <c r="AE42" s="14"/>
      <c r="AF42" s="154"/>
      <c r="AG42" s="14"/>
      <c r="AH42" s="25"/>
      <c r="AI42" s="14"/>
      <c r="AJ42" s="154"/>
      <c r="AK42" s="14"/>
      <c r="AL42" s="1531"/>
    </row>
    <row r="43" spans="1:38" s="190" customFormat="1" ht="17.5">
      <c r="A43" s="29"/>
      <c r="B43" s="165">
        <v>21</v>
      </c>
      <c r="C43" s="145"/>
      <c r="D43" s="14"/>
      <c r="E43" s="14"/>
      <c r="F43" s="25"/>
      <c r="G43" s="14"/>
      <c r="H43" s="25"/>
      <c r="I43" s="14"/>
      <c r="J43" s="25"/>
      <c r="K43" s="14"/>
      <c r="L43" s="1531"/>
      <c r="M43" s="14"/>
      <c r="N43" s="25"/>
      <c r="O43" s="14"/>
      <c r="P43" s="154"/>
      <c r="Q43" s="14"/>
      <c r="R43" s="25"/>
      <c r="S43" s="14"/>
      <c r="T43" s="154"/>
      <c r="U43" s="14"/>
      <c r="V43" s="25"/>
      <c r="W43" s="14"/>
      <c r="X43" s="1531"/>
      <c r="Y43" s="14"/>
      <c r="Z43" s="25"/>
      <c r="AA43" s="14"/>
      <c r="AB43" s="154"/>
      <c r="AC43" s="14"/>
      <c r="AD43" s="25"/>
      <c r="AE43" s="14"/>
      <c r="AF43" s="154"/>
      <c r="AG43" s="14"/>
      <c r="AH43" s="25"/>
      <c r="AI43" s="14"/>
      <c r="AJ43" s="154"/>
      <c r="AK43" s="14"/>
      <c r="AL43" s="1531"/>
    </row>
    <row r="44" spans="1:38" s="190" customFormat="1" ht="17.5">
      <c r="A44" s="29"/>
      <c r="B44" s="165">
        <v>22</v>
      </c>
      <c r="C44" s="145"/>
      <c r="D44" s="14"/>
      <c r="E44" s="14"/>
      <c r="F44" s="25"/>
      <c r="G44" s="14"/>
      <c r="H44" s="25"/>
      <c r="I44" s="14"/>
      <c r="J44" s="25"/>
      <c r="K44" s="14"/>
      <c r="L44" s="1531"/>
      <c r="M44" s="14"/>
      <c r="N44" s="25"/>
      <c r="O44" s="14"/>
      <c r="P44" s="154"/>
      <c r="Q44" s="14"/>
      <c r="R44" s="25"/>
      <c r="S44" s="14"/>
      <c r="T44" s="154"/>
      <c r="U44" s="14"/>
      <c r="V44" s="25"/>
      <c r="W44" s="14"/>
      <c r="X44" s="1531"/>
      <c r="Y44" s="14"/>
      <c r="Z44" s="25"/>
      <c r="AA44" s="14"/>
      <c r="AB44" s="154"/>
      <c r="AC44" s="14"/>
      <c r="AD44" s="25"/>
      <c r="AE44" s="14"/>
      <c r="AF44" s="154"/>
      <c r="AG44" s="14"/>
      <c r="AH44" s="25"/>
      <c r="AI44" s="14"/>
      <c r="AJ44" s="154"/>
      <c r="AK44" s="14"/>
      <c r="AL44" s="1531"/>
    </row>
    <row r="45" spans="1:38" s="190" customFormat="1" ht="17.5">
      <c r="A45" s="29"/>
      <c r="B45" s="165">
        <v>23</v>
      </c>
      <c r="C45" s="145"/>
      <c r="D45" s="14"/>
      <c r="E45" s="14"/>
      <c r="F45" s="25"/>
      <c r="G45" s="14"/>
      <c r="H45" s="25"/>
      <c r="I45" s="14"/>
      <c r="J45" s="25"/>
      <c r="K45" s="14"/>
      <c r="L45" s="1531"/>
      <c r="M45" s="14"/>
      <c r="N45" s="25"/>
      <c r="O45" s="14"/>
      <c r="P45" s="154"/>
      <c r="Q45" s="14"/>
      <c r="R45" s="25"/>
      <c r="S45" s="14"/>
      <c r="T45" s="154"/>
      <c r="U45" s="14"/>
      <c r="V45" s="25"/>
      <c r="W45" s="14"/>
      <c r="X45" s="1531"/>
      <c r="Y45" s="14"/>
      <c r="Z45" s="25"/>
      <c r="AA45" s="14"/>
      <c r="AB45" s="154"/>
      <c r="AC45" s="14"/>
      <c r="AD45" s="25"/>
      <c r="AE45" s="14"/>
      <c r="AF45" s="154"/>
      <c r="AG45" s="14"/>
      <c r="AH45" s="25"/>
      <c r="AI45" s="14"/>
      <c r="AJ45" s="154"/>
      <c r="AK45" s="14"/>
      <c r="AL45" s="1531"/>
    </row>
    <row r="46" spans="1:38" s="190" customFormat="1" ht="17.5">
      <c r="A46" s="29"/>
      <c r="B46" s="165">
        <v>24</v>
      </c>
      <c r="C46" s="145"/>
      <c r="D46" s="14"/>
      <c r="E46" s="14"/>
      <c r="F46" s="25"/>
      <c r="G46" s="14"/>
      <c r="H46" s="25"/>
      <c r="I46" s="14"/>
      <c r="J46" s="25"/>
      <c r="K46" s="14"/>
      <c r="L46" s="1531"/>
      <c r="M46" s="14"/>
      <c r="N46" s="25"/>
      <c r="O46" s="14"/>
      <c r="P46" s="154"/>
      <c r="Q46" s="14"/>
      <c r="R46" s="25"/>
      <c r="S46" s="14"/>
      <c r="T46" s="154"/>
      <c r="U46" s="14"/>
      <c r="V46" s="25"/>
      <c r="W46" s="14"/>
      <c r="X46" s="1531"/>
      <c r="Y46" s="14"/>
      <c r="Z46" s="25"/>
      <c r="AA46" s="14"/>
      <c r="AB46" s="154"/>
      <c r="AC46" s="14"/>
      <c r="AD46" s="25"/>
      <c r="AE46" s="14"/>
      <c r="AF46" s="154"/>
      <c r="AG46" s="14"/>
      <c r="AH46" s="25"/>
      <c r="AI46" s="14"/>
      <c r="AJ46" s="154"/>
      <c r="AK46" s="14"/>
      <c r="AL46" s="1531"/>
    </row>
    <row r="47" spans="1:38" s="190" customFormat="1" ht="17.5">
      <c r="A47" s="29"/>
      <c r="B47" s="165">
        <v>25</v>
      </c>
      <c r="C47" s="145"/>
      <c r="D47" s="14"/>
      <c r="E47" s="14"/>
      <c r="F47" s="25"/>
      <c r="G47" s="14"/>
      <c r="H47" s="25"/>
      <c r="I47" s="14"/>
      <c r="J47" s="25"/>
      <c r="K47" s="14"/>
      <c r="L47" s="1531"/>
      <c r="M47" s="14"/>
      <c r="N47" s="25"/>
      <c r="O47" s="14"/>
      <c r="P47" s="154"/>
      <c r="Q47" s="14"/>
      <c r="R47" s="25"/>
      <c r="S47" s="14"/>
      <c r="T47" s="154"/>
      <c r="U47" s="14"/>
      <c r="V47" s="25"/>
      <c r="W47" s="14"/>
      <c r="X47" s="1531"/>
      <c r="Y47" s="14"/>
      <c r="Z47" s="25"/>
      <c r="AA47" s="14"/>
      <c r="AB47" s="154"/>
      <c r="AC47" s="14"/>
      <c r="AD47" s="25"/>
      <c r="AE47" s="14"/>
      <c r="AF47" s="154"/>
      <c r="AG47" s="14"/>
      <c r="AH47" s="25"/>
      <c r="AI47" s="14"/>
      <c r="AJ47" s="154"/>
      <c r="AK47" s="14"/>
      <c r="AL47" s="1531"/>
    </row>
    <row r="48" spans="1:38" s="190" customFormat="1" ht="17.5">
      <c r="A48" s="29"/>
      <c r="B48" s="165">
        <v>26</v>
      </c>
      <c r="C48" s="145"/>
      <c r="D48" s="14"/>
      <c r="E48" s="14"/>
      <c r="F48" s="25"/>
      <c r="G48" s="14"/>
      <c r="H48" s="25"/>
      <c r="I48" s="14"/>
      <c r="J48" s="25"/>
      <c r="K48" s="14"/>
      <c r="L48" s="1531"/>
      <c r="M48" s="14"/>
      <c r="N48" s="25"/>
      <c r="O48" s="14"/>
      <c r="P48" s="154"/>
      <c r="Q48" s="14"/>
      <c r="R48" s="25"/>
      <c r="S48" s="14"/>
      <c r="T48" s="154"/>
      <c r="U48" s="14"/>
      <c r="V48" s="25"/>
      <c r="W48" s="14"/>
      <c r="X48" s="1531"/>
      <c r="Y48" s="14"/>
      <c r="Z48" s="25"/>
      <c r="AA48" s="14"/>
      <c r="AB48" s="154"/>
      <c r="AC48" s="14"/>
      <c r="AD48" s="25"/>
      <c r="AE48" s="14"/>
      <c r="AF48" s="154"/>
      <c r="AG48" s="14"/>
      <c r="AH48" s="25"/>
      <c r="AI48" s="14"/>
      <c r="AJ48" s="154"/>
      <c r="AK48" s="14"/>
      <c r="AL48" s="1531"/>
    </row>
    <row r="49" spans="1:38" s="190" customFormat="1" ht="17.5">
      <c r="A49" s="29"/>
      <c r="B49" s="165">
        <v>27</v>
      </c>
      <c r="C49" s="145"/>
      <c r="D49" s="14"/>
      <c r="E49" s="14"/>
      <c r="F49" s="25"/>
      <c r="G49" s="14"/>
      <c r="H49" s="25"/>
      <c r="I49" s="14"/>
      <c r="J49" s="25"/>
      <c r="K49" s="14"/>
      <c r="L49" s="1531"/>
      <c r="M49" s="14"/>
      <c r="N49" s="25"/>
      <c r="O49" s="14"/>
      <c r="P49" s="154"/>
      <c r="Q49" s="14"/>
      <c r="R49" s="25"/>
      <c r="S49" s="14"/>
      <c r="T49" s="154"/>
      <c r="U49" s="14"/>
      <c r="V49" s="25"/>
      <c r="W49" s="14"/>
      <c r="X49" s="1531"/>
      <c r="Y49" s="14"/>
      <c r="Z49" s="25"/>
      <c r="AA49" s="14"/>
      <c r="AB49" s="154"/>
      <c r="AC49" s="14"/>
      <c r="AD49" s="25"/>
      <c r="AE49" s="14"/>
      <c r="AF49" s="154"/>
      <c r="AG49" s="14"/>
      <c r="AH49" s="25"/>
      <c r="AI49" s="14"/>
      <c r="AJ49" s="154"/>
      <c r="AK49" s="14"/>
      <c r="AL49" s="1531"/>
    </row>
    <row r="50" spans="1:38" s="190" customFormat="1" ht="17.5">
      <c r="A50" s="29"/>
      <c r="B50" s="165">
        <v>28</v>
      </c>
      <c r="C50" s="145"/>
      <c r="D50" s="14"/>
      <c r="E50" s="14"/>
      <c r="F50" s="25"/>
      <c r="G50" s="14"/>
      <c r="H50" s="25"/>
      <c r="I50" s="14"/>
      <c r="J50" s="25"/>
      <c r="K50" s="14"/>
      <c r="L50" s="1531"/>
      <c r="M50" s="14"/>
      <c r="N50" s="25"/>
      <c r="O50" s="14"/>
      <c r="P50" s="154"/>
      <c r="Q50" s="14"/>
      <c r="R50" s="25"/>
      <c r="S50" s="14"/>
      <c r="T50" s="154"/>
      <c r="U50" s="14"/>
      <c r="V50" s="25"/>
      <c r="W50" s="14"/>
      <c r="X50" s="1531"/>
      <c r="Y50" s="14"/>
      <c r="Z50" s="25"/>
      <c r="AA50" s="14"/>
      <c r="AB50" s="154"/>
      <c r="AC50" s="14"/>
      <c r="AD50" s="25"/>
      <c r="AE50" s="14"/>
      <c r="AF50" s="154"/>
      <c r="AG50" s="14"/>
      <c r="AH50" s="25"/>
      <c r="AI50" s="14"/>
      <c r="AJ50" s="154"/>
      <c r="AK50" s="14"/>
      <c r="AL50" s="1531"/>
    </row>
    <row r="51" spans="1:38" s="190" customFormat="1" ht="17.5">
      <c r="A51" s="29"/>
      <c r="B51" s="165">
        <v>29</v>
      </c>
      <c r="C51" s="145"/>
      <c r="D51" s="14"/>
      <c r="E51" s="14"/>
      <c r="F51" s="25"/>
      <c r="G51" s="14"/>
      <c r="H51" s="25"/>
      <c r="I51" s="14"/>
      <c r="J51" s="25"/>
      <c r="K51" s="14"/>
      <c r="L51" s="1531"/>
      <c r="M51" s="14"/>
      <c r="N51" s="25"/>
      <c r="O51" s="14"/>
      <c r="P51" s="154"/>
      <c r="Q51" s="14"/>
      <c r="R51" s="25"/>
      <c r="S51" s="14"/>
      <c r="T51" s="154"/>
      <c r="U51" s="14"/>
      <c r="V51" s="25"/>
      <c r="W51" s="14"/>
      <c r="X51" s="1531"/>
      <c r="Y51" s="14"/>
      <c r="Z51" s="25"/>
      <c r="AA51" s="14"/>
      <c r="AB51" s="154"/>
      <c r="AC51" s="14"/>
      <c r="AD51" s="25"/>
      <c r="AE51" s="14"/>
      <c r="AF51" s="154"/>
      <c r="AG51" s="14"/>
      <c r="AH51" s="25"/>
      <c r="AI51" s="14"/>
      <c r="AJ51" s="154"/>
      <c r="AK51" s="14"/>
      <c r="AL51" s="1531"/>
    </row>
    <row r="52" spans="1:38" s="190" customFormat="1" ht="17.5">
      <c r="A52" s="29"/>
      <c r="B52" s="165">
        <v>30</v>
      </c>
      <c r="C52" s="145"/>
      <c r="D52" s="14"/>
      <c r="E52" s="14"/>
      <c r="F52" s="25"/>
      <c r="G52" s="14"/>
      <c r="H52" s="25"/>
      <c r="I52" s="14"/>
      <c r="J52" s="25"/>
      <c r="K52" s="14"/>
      <c r="L52" s="1531"/>
      <c r="M52" s="14"/>
      <c r="N52" s="25"/>
      <c r="O52" s="14"/>
      <c r="P52" s="154"/>
      <c r="Q52" s="14"/>
      <c r="R52" s="25"/>
      <c r="S52" s="14"/>
      <c r="T52" s="154"/>
      <c r="U52" s="14"/>
      <c r="V52" s="25"/>
      <c r="W52" s="14"/>
      <c r="X52" s="1531"/>
      <c r="Y52" s="14"/>
      <c r="Z52" s="25"/>
      <c r="AA52" s="14"/>
      <c r="AB52" s="154"/>
      <c r="AC52" s="14"/>
      <c r="AD52" s="25"/>
      <c r="AE52" s="14"/>
      <c r="AF52" s="154"/>
      <c r="AG52" s="14"/>
      <c r="AH52" s="25"/>
      <c r="AI52" s="14"/>
      <c r="AJ52" s="154"/>
      <c r="AK52" s="14"/>
      <c r="AL52" s="1531"/>
    </row>
    <row r="53" spans="1:38" s="190" customFormat="1" ht="17.5">
      <c r="A53" s="29"/>
      <c r="B53" s="165">
        <v>31</v>
      </c>
      <c r="C53" s="145"/>
      <c r="D53" s="14"/>
      <c r="E53" s="14"/>
      <c r="F53" s="25"/>
      <c r="G53" s="14"/>
      <c r="H53" s="25"/>
      <c r="I53" s="14"/>
      <c r="J53" s="25"/>
      <c r="K53" s="14"/>
      <c r="L53" s="1531"/>
      <c r="M53" s="14"/>
      <c r="N53" s="25"/>
      <c r="O53" s="14"/>
      <c r="P53" s="154"/>
      <c r="Q53" s="14"/>
      <c r="R53" s="25"/>
      <c r="S53" s="14"/>
      <c r="T53" s="154"/>
      <c r="U53" s="14"/>
      <c r="V53" s="25"/>
      <c r="W53" s="14"/>
      <c r="X53" s="1531"/>
      <c r="Y53" s="14"/>
      <c r="Z53" s="25"/>
      <c r="AA53" s="14"/>
      <c r="AB53" s="154"/>
      <c r="AC53" s="14"/>
      <c r="AD53" s="25"/>
      <c r="AE53" s="14"/>
      <c r="AF53" s="154"/>
      <c r="AG53" s="14"/>
      <c r="AH53" s="25"/>
      <c r="AI53" s="14"/>
      <c r="AJ53" s="154"/>
      <c r="AK53" s="14"/>
      <c r="AL53" s="1531"/>
    </row>
    <row r="54" spans="1:38" s="190" customFormat="1" ht="17.5">
      <c r="A54" s="29"/>
      <c r="B54" s="165">
        <v>32</v>
      </c>
      <c r="C54" s="145"/>
      <c r="D54" s="14"/>
      <c r="E54" s="14"/>
      <c r="F54" s="25"/>
      <c r="G54" s="14"/>
      <c r="H54" s="25"/>
      <c r="I54" s="14"/>
      <c r="J54" s="25"/>
      <c r="K54" s="14"/>
      <c r="L54" s="1531"/>
      <c r="M54" s="14"/>
      <c r="N54" s="25"/>
      <c r="O54" s="14"/>
      <c r="P54" s="154"/>
      <c r="Q54" s="14"/>
      <c r="R54" s="25"/>
      <c r="S54" s="14"/>
      <c r="T54" s="154"/>
      <c r="U54" s="14"/>
      <c r="V54" s="25"/>
      <c r="W54" s="14"/>
      <c r="X54" s="1531"/>
      <c r="Y54" s="14"/>
      <c r="Z54" s="25"/>
      <c r="AA54" s="14"/>
      <c r="AB54" s="154"/>
      <c r="AC54" s="14"/>
      <c r="AD54" s="25"/>
      <c r="AE54" s="14"/>
      <c r="AF54" s="154"/>
      <c r="AG54" s="14"/>
      <c r="AH54" s="25"/>
      <c r="AI54" s="14"/>
      <c r="AJ54" s="154"/>
      <c r="AK54" s="14"/>
      <c r="AL54" s="1531"/>
    </row>
    <row r="55" spans="1:38" s="190" customFormat="1" ht="17.5">
      <c r="A55" s="29"/>
      <c r="B55" s="165">
        <v>33</v>
      </c>
      <c r="C55" s="145"/>
      <c r="D55" s="14"/>
      <c r="E55" s="14"/>
      <c r="F55" s="25"/>
      <c r="G55" s="14"/>
      <c r="H55" s="25"/>
      <c r="I55" s="14"/>
      <c r="J55" s="25"/>
      <c r="K55" s="14"/>
      <c r="L55" s="1531"/>
      <c r="M55" s="14"/>
      <c r="N55" s="25"/>
      <c r="O55" s="14"/>
      <c r="P55" s="154"/>
      <c r="Q55" s="14"/>
      <c r="R55" s="25"/>
      <c r="S55" s="14"/>
      <c r="T55" s="154"/>
      <c r="U55" s="14"/>
      <c r="V55" s="25"/>
      <c r="W55" s="14"/>
      <c r="X55" s="1531"/>
      <c r="Y55" s="14"/>
      <c r="Z55" s="25"/>
      <c r="AA55" s="14"/>
      <c r="AB55" s="154"/>
      <c r="AC55" s="14"/>
      <c r="AD55" s="25"/>
      <c r="AE55" s="14"/>
      <c r="AF55" s="154"/>
      <c r="AG55" s="14"/>
      <c r="AH55" s="25"/>
      <c r="AI55" s="14"/>
      <c r="AJ55" s="154"/>
      <c r="AK55" s="14"/>
      <c r="AL55" s="1531"/>
    </row>
    <row r="56" spans="1:38" s="190" customFormat="1" ht="17.5">
      <c r="A56" s="29"/>
      <c r="B56" s="165">
        <v>34</v>
      </c>
      <c r="C56" s="145"/>
      <c r="D56" s="14"/>
      <c r="E56" s="14"/>
      <c r="F56" s="25"/>
      <c r="G56" s="14"/>
      <c r="H56" s="25"/>
      <c r="I56" s="14"/>
      <c r="J56" s="25"/>
      <c r="K56" s="14"/>
      <c r="L56" s="1531"/>
      <c r="M56" s="14"/>
      <c r="N56" s="25"/>
      <c r="O56" s="14"/>
      <c r="P56" s="154"/>
      <c r="Q56" s="14"/>
      <c r="R56" s="25"/>
      <c r="S56" s="14"/>
      <c r="T56" s="154"/>
      <c r="U56" s="14"/>
      <c r="V56" s="25"/>
      <c r="W56" s="14"/>
      <c r="X56" s="1531"/>
      <c r="Y56" s="14"/>
      <c r="Z56" s="25"/>
      <c r="AA56" s="14"/>
      <c r="AB56" s="154"/>
      <c r="AC56" s="14"/>
      <c r="AD56" s="25"/>
      <c r="AE56" s="14"/>
      <c r="AF56" s="154"/>
      <c r="AG56" s="14"/>
      <c r="AH56" s="25"/>
      <c r="AI56" s="14"/>
      <c r="AJ56" s="154"/>
      <c r="AK56" s="14"/>
      <c r="AL56" s="1531"/>
    </row>
    <row r="57" spans="1:38" s="190" customFormat="1" ht="17.5">
      <c r="A57" s="29"/>
      <c r="B57" s="165">
        <v>35</v>
      </c>
      <c r="C57" s="145"/>
      <c r="D57" s="14"/>
      <c r="E57" s="14"/>
      <c r="F57" s="25"/>
      <c r="G57" s="14"/>
      <c r="H57" s="25"/>
      <c r="I57" s="14"/>
      <c r="J57" s="25"/>
      <c r="K57" s="14"/>
      <c r="L57" s="1531"/>
      <c r="M57" s="14"/>
      <c r="N57" s="25"/>
      <c r="O57" s="14"/>
      <c r="P57" s="154"/>
      <c r="Q57" s="14"/>
      <c r="R57" s="25"/>
      <c r="S57" s="14"/>
      <c r="T57" s="154"/>
      <c r="U57" s="14"/>
      <c r="V57" s="25"/>
      <c r="W57" s="14"/>
      <c r="X57" s="1531"/>
      <c r="Y57" s="14"/>
      <c r="Z57" s="25"/>
      <c r="AA57" s="14"/>
      <c r="AB57" s="154"/>
      <c r="AC57" s="14"/>
      <c r="AD57" s="25"/>
      <c r="AE57" s="14"/>
      <c r="AF57" s="154"/>
      <c r="AG57" s="14"/>
      <c r="AH57" s="25"/>
      <c r="AI57" s="14"/>
      <c r="AJ57" s="154"/>
      <c r="AK57" s="14"/>
      <c r="AL57" s="1531"/>
    </row>
    <row r="58" spans="1:38" s="190" customFormat="1" ht="17.5">
      <c r="A58" s="29"/>
      <c r="B58" s="165">
        <v>36</v>
      </c>
      <c r="C58" s="145"/>
      <c r="D58" s="14"/>
      <c r="E58" s="14"/>
      <c r="F58" s="25"/>
      <c r="G58" s="14"/>
      <c r="H58" s="25"/>
      <c r="I58" s="14"/>
      <c r="J58" s="25"/>
      <c r="K58" s="14"/>
      <c r="L58" s="1531"/>
      <c r="M58" s="14"/>
      <c r="N58" s="25"/>
      <c r="O58" s="14"/>
      <c r="P58" s="154"/>
      <c r="Q58" s="14"/>
      <c r="R58" s="25"/>
      <c r="S58" s="14"/>
      <c r="T58" s="154"/>
      <c r="U58" s="14"/>
      <c r="V58" s="25"/>
      <c r="W58" s="14"/>
      <c r="X58" s="1531"/>
      <c r="Y58" s="14"/>
      <c r="Z58" s="25"/>
      <c r="AA58" s="14"/>
      <c r="AB58" s="154"/>
      <c r="AC58" s="14"/>
      <c r="AD58" s="25"/>
      <c r="AE58" s="14"/>
      <c r="AF58" s="154"/>
      <c r="AG58" s="14"/>
      <c r="AH58" s="25"/>
      <c r="AI58" s="14"/>
      <c r="AJ58" s="154"/>
      <c r="AK58" s="14"/>
      <c r="AL58" s="1531"/>
    </row>
    <row r="59" spans="1:38" s="190" customFormat="1" ht="17.5">
      <c r="A59" s="29"/>
      <c r="B59" s="165">
        <v>37</v>
      </c>
      <c r="C59" s="145"/>
      <c r="D59" s="14"/>
      <c r="E59" s="14"/>
      <c r="F59" s="25"/>
      <c r="G59" s="14"/>
      <c r="H59" s="25"/>
      <c r="I59" s="14"/>
      <c r="J59" s="25"/>
      <c r="K59" s="14"/>
      <c r="L59" s="1531"/>
      <c r="M59" s="14"/>
      <c r="N59" s="25"/>
      <c r="O59" s="14"/>
      <c r="P59" s="154"/>
      <c r="Q59" s="14"/>
      <c r="R59" s="25"/>
      <c r="S59" s="14"/>
      <c r="T59" s="154"/>
      <c r="U59" s="14"/>
      <c r="V59" s="25"/>
      <c r="W59" s="14"/>
      <c r="X59" s="1531"/>
      <c r="Y59" s="14"/>
      <c r="Z59" s="25"/>
      <c r="AA59" s="14"/>
      <c r="AB59" s="154"/>
      <c r="AC59" s="14"/>
      <c r="AD59" s="25"/>
      <c r="AE59" s="14"/>
      <c r="AF59" s="154"/>
      <c r="AG59" s="14"/>
      <c r="AH59" s="25"/>
      <c r="AI59" s="14"/>
      <c r="AJ59" s="154"/>
      <c r="AK59" s="14"/>
      <c r="AL59" s="1531"/>
    </row>
    <row r="60" spans="1:38" s="190" customFormat="1" ht="17.5">
      <c r="A60" s="29"/>
      <c r="B60" s="165">
        <v>38</v>
      </c>
      <c r="C60" s="145"/>
      <c r="D60" s="14"/>
      <c r="E60" s="14"/>
      <c r="F60" s="25"/>
      <c r="G60" s="14"/>
      <c r="H60" s="25"/>
      <c r="I60" s="14"/>
      <c r="J60" s="25"/>
      <c r="K60" s="14"/>
      <c r="L60" s="1531"/>
      <c r="M60" s="14"/>
      <c r="N60" s="25"/>
      <c r="O60" s="14"/>
      <c r="P60" s="154"/>
      <c r="Q60" s="14"/>
      <c r="R60" s="25"/>
      <c r="S60" s="14"/>
      <c r="T60" s="154"/>
      <c r="U60" s="14"/>
      <c r="V60" s="25"/>
      <c r="W60" s="14"/>
      <c r="X60" s="1531"/>
      <c r="Y60" s="14"/>
      <c r="Z60" s="25"/>
      <c r="AA60" s="14"/>
      <c r="AB60" s="154"/>
      <c r="AC60" s="14"/>
      <c r="AD60" s="25"/>
      <c r="AE60" s="14"/>
      <c r="AF60" s="154"/>
      <c r="AG60" s="14"/>
      <c r="AH60" s="25"/>
      <c r="AI60" s="14"/>
      <c r="AJ60" s="154"/>
      <c r="AK60" s="14"/>
      <c r="AL60" s="1531"/>
    </row>
    <row r="61" spans="1:38" s="190" customFormat="1" ht="17.5">
      <c r="A61" s="29"/>
      <c r="B61" s="165">
        <v>39</v>
      </c>
      <c r="C61" s="145"/>
      <c r="D61" s="14"/>
      <c r="E61" s="14"/>
      <c r="F61" s="25"/>
      <c r="G61" s="14"/>
      <c r="H61" s="25"/>
      <c r="I61" s="14"/>
      <c r="J61" s="25"/>
      <c r="K61" s="14"/>
      <c r="L61" s="1531"/>
      <c r="M61" s="14"/>
      <c r="N61" s="25"/>
      <c r="O61" s="14"/>
      <c r="P61" s="154"/>
      <c r="Q61" s="14"/>
      <c r="R61" s="25"/>
      <c r="S61" s="14"/>
      <c r="T61" s="154"/>
      <c r="U61" s="14"/>
      <c r="V61" s="25"/>
      <c r="W61" s="14"/>
      <c r="X61" s="1531"/>
      <c r="Y61" s="14"/>
      <c r="Z61" s="25"/>
      <c r="AA61" s="14"/>
      <c r="AB61" s="154"/>
      <c r="AC61" s="14"/>
      <c r="AD61" s="25"/>
      <c r="AE61" s="14"/>
      <c r="AF61" s="154"/>
      <c r="AG61" s="14"/>
      <c r="AH61" s="25"/>
      <c r="AI61" s="14"/>
      <c r="AJ61" s="154"/>
      <c r="AK61" s="14"/>
      <c r="AL61" s="1531"/>
    </row>
    <row r="62" spans="1:38" s="190" customFormat="1" ht="17.5">
      <c r="A62" s="29"/>
      <c r="B62" s="165">
        <v>40</v>
      </c>
      <c r="C62" s="145"/>
      <c r="D62" s="14"/>
      <c r="E62" s="14"/>
      <c r="F62" s="25"/>
      <c r="G62" s="14"/>
      <c r="H62" s="25"/>
      <c r="I62" s="14"/>
      <c r="J62" s="25"/>
      <c r="K62" s="14"/>
      <c r="L62" s="1531"/>
      <c r="M62" s="14"/>
      <c r="N62" s="25"/>
      <c r="O62" s="14"/>
      <c r="P62" s="154"/>
      <c r="Q62" s="14"/>
      <c r="R62" s="25"/>
      <c r="S62" s="14"/>
      <c r="T62" s="154"/>
      <c r="U62" s="14"/>
      <c r="V62" s="25"/>
      <c r="W62" s="14"/>
      <c r="X62" s="1531"/>
      <c r="Y62" s="14"/>
      <c r="Z62" s="25"/>
      <c r="AA62" s="14"/>
      <c r="AB62" s="154"/>
      <c r="AC62" s="14"/>
      <c r="AD62" s="25"/>
      <c r="AE62" s="14"/>
      <c r="AF62" s="154"/>
      <c r="AG62" s="14"/>
      <c r="AH62" s="25"/>
      <c r="AI62" s="14"/>
      <c r="AJ62" s="154"/>
      <c r="AK62" s="14"/>
      <c r="AL62" s="1531"/>
    </row>
    <row r="63" spans="1:38" s="190" customFormat="1" ht="17.5">
      <c r="A63" s="29"/>
      <c r="B63" s="165">
        <v>41</v>
      </c>
      <c r="C63" s="145"/>
      <c r="D63" s="14"/>
      <c r="E63" s="14"/>
      <c r="F63" s="25"/>
      <c r="G63" s="14"/>
      <c r="H63" s="25"/>
      <c r="I63" s="14"/>
      <c r="J63" s="25"/>
      <c r="K63" s="14"/>
      <c r="L63" s="1531"/>
      <c r="M63" s="14"/>
      <c r="N63" s="25"/>
      <c r="O63" s="14"/>
      <c r="P63" s="154"/>
      <c r="Q63" s="14"/>
      <c r="R63" s="25"/>
      <c r="S63" s="14"/>
      <c r="T63" s="154"/>
      <c r="U63" s="14"/>
      <c r="V63" s="25"/>
      <c r="W63" s="14"/>
      <c r="X63" s="1531"/>
      <c r="Y63" s="14"/>
      <c r="Z63" s="25"/>
      <c r="AA63" s="14"/>
      <c r="AB63" s="154"/>
      <c r="AC63" s="14"/>
      <c r="AD63" s="25"/>
      <c r="AE63" s="14"/>
      <c r="AF63" s="154"/>
      <c r="AG63" s="14"/>
      <c r="AH63" s="25"/>
      <c r="AI63" s="14"/>
      <c r="AJ63" s="154"/>
      <c r="AK63" s="14"/>
      <c r="AL63" s="1531"/>
    </row>
    <row r="64" spans="1:38" s="190" customFormat="1" ht="17.5">
      <c r="A64" s="29"/>
      <c r="B64" s="165">
        <v>42</v>
      </c>
      <c r="C64" s="145"/>
      <c r="D64" s="14"/>
      <c r="E64" s="14"/>
      <c r="F64" s="25"/>
      <c r="G64" s="14"/>
      <c r="H64" s="25"/>
      <c r="I64" s="14"/>
      <c r="J64" s="25"/>
      <c r="K64" s="14"/>
      <c r="L64" s="1531"/>
      <c r="M64" s="14"/>
      <c r="N64" s="25"/>
      <c r="O64" s="14"/>
      <c r="P64" s="154"/>
      <c r="Q64" s="14"/>
      <c r="R64" s="25"/>
      <c r="S64" s="14"/>
      <c r="T64" s="154"/>
      <c r="U64" s="14"/>
      <c r="V64" s="25"/>
      <c r="W64" s="14"/>
      <c r="X64" s="1531"/>
      <c r="Y64" s="14"/>
      <c r="Z64" s="25"/>
      <c r="AA64" s="14"/>
      <c r="AB64" s="154"/>
      <c r="AC64" s="14"/>
      <c r="AD64" s="25"/>
      <c r="AE64" s="14"/>
      <c r="AF64" s="154"/>
      <c r="AG64" s="14"/>
      <c r="AH64" s="25"/>
      <c r="AI64" s="14"/>
      <c r="AJ64" s="154"/>
      <c r="AK64" s="14"/>
      <c r="AL64" s="1531"/>
    </row>
    <row r="65" spans="1:38" s="190" customFormat="1" ht="17.5">
      <c r="A65" s="29"/>
      <c r="B65" s="165">
        <v>43</v>
      </c>
      <c r="C65" s="145"/>
      <c r="D65" s="14"/>
      <c r="E65" s="14"/>
      <c r="F65" s="25"/>
      <c r="G65" s="14"/>
      <c r="H65" s="25"/>
      <c r="I65" s="14"/>
      <c r="J65" s="25"/>
      <c r="K65" s="14"/>
      <c r="L65" s="1531"/>
      <c r="M65" s="14"/>
      <c r="N65" s="25"/>
      <c r="O65" s="14"/>
      <c r="P65" s="154"/>
      <c r="Q65" s="14"/>
      <c r="R65" s="25"/>
      <c r="S65" s="14"/>
      <c r="T65" s="154"/>
      <c r="U65" s="14"/>
      <c r="V65" s="25"/>
      <c r="W65" s="14"/>
      <c r="X65" s="1531"/>
      <c r="Y65" s="14"/>
      <c r="Z65" s="25"/>
      <c r="AA65" s="14"/>
      <c r="AB65" s="154"/>
      <c r="AC65" s="14"/>
      <c r="AD65" s="25"/>
      <c r="AE65" s="14"/>
      <c r="AF65" s="154"/>
      <c r="AG65" s="14"/>
      <c r="AH65" s="25"/>
      <c r="AI65" s="14"/>
      <c r="AJ65" s="154"/>
      <c r="AK65" s="14"/>
      <c r="AL65" s="1531"/>
    </row>
    <row r="66" spans="1:38" s="190" customFormat="1" ht="17.5">
      <c r="A66" s="29"/>
      <c r="B66" s="165">
        <v>44</v>
      </c>
      <c r="C66" s="145"/>
      <c r="D66" s="14"/>
      <c r="E66" s="14"/>
      <c r="F66" s="25"/>
      <c r="G66" s="14"/>
      <c r="H66" s="25"/>
      <c r="I66" s="14"/>
      <c r="J66" s="25"/>
      <c r="K66" s="14"/>
      <c r="L66" s="1531"/>
      <c r="M66" s="14"/>
      <c r="N66" s="25"/>
      <c r="O66" s="14"/>
      <c r="P66" s="154"/>
      <c r="Q66" s="14"/>
      <c r="R66" s="25"/>
      <c r="S66" s="14"/>
      <c r="T66" s="154"/>
      <c r="U66" s="14"/>
      <c r="V66" s="25"/>
      <c r="W66" s="14"/>
      <c r="X66" s="1531"/>
      <c r="Y66" s="14"/>
      <c r="Z66" s="25"/>
      <c r="AA66" s="14"/>
      <c r="AB66" s="154"/>
      <c r="AC66" s="14"/>
      <c r="AD66" s="25"/>
      <c r="AE66" s="14"/>
      <c r="AF66" s="154"/>
      <c r="AG66" s="14"/>
      <c r="AH66" s="25"/>
      <c r="AI66" s="14"/>
      <c r="AJ66" s="154"/>
      <c r="AK66" s="14"/>
      <c r="AL66" s="1531"/>
    </row>
    <row r="67" spans="1:38" s="190" customFormat="1" ht="17.5">
      <c r="A67" s="29"/>
      <c r="B67" s="165">
        <v>45</v>
      </c>
      <c r="C67" s="145"/>
      <c r="D67" s="14"/>
      <c r="E67" s="14"/>
      <c r="F67" s="25"/>
      <c r="G67" s="14"/>
      <c r="H67" s="25"/>
      <c r="I67" s="14"/>
      <c r="J67" s="25"/>
      <c r="K67" s="14"/>
      <c r="L67" s="1531"/>
      <c r="M67" s="14"/>
      <c r="N67" s="25"/>
      <c r="O67" s="14"/>
      <c r="P67" s="154"/>
      <c r="Q67" s="14"/>
      <c r="R67" s="25"/>
      <c r="S67" s="14"/>
      <c r="T67" s="154"/>
      <c r="U67" s="14"/>
      <c r="V67" s="25"/>
      <c r="W67" s="14"/>
      <c r="X67" s="1531"/>
      <c r="Y67" s="14"/>
      <c r="Z67" s="25"/>
      <c r="AA67" s="14"/>
      <c r="AB67" s="154"/>
      <c r="AC67" s="14"/>
      <c r="AD67" s="25"/>
      <c r="AE67" s="14"/>
      <c r="AF67" s="154"/>
      <c r="AG67" s="14"/>
      <c r="AH67" s="25"/>
      <c r="AI67" s="14"/>
      <c r="AJ67" s="154"/>
      <c r="AK67" s="14"/>
      <c r="AL67" s="1531"/>
    </row>
    <row r="68" spans="1:38" s="190" customFormat="1" ht="17.5">
      <c r="A68" s="29"/>
      <c r="B68" s="165">
        <v>46</v>
      </c>
      <c r="C68" s="145"/>
      <c r="D68" s="14"/>
      <c r="E68" s="14"/>
      <c r="F68" s="25"/>
      <c r="G68" s="14"/>
      <c r="H68" s="25"/>
      <c r="I68" s="14"/>
      <c r="J68" s="25"/>
      <c r="K68" s="14"/>
      <c r="L68" s="1531"/>
      <c r="M68" s="14"/>
      <c r="N68" s="25"/>
      <c r="O68" s="14"/>
      <c r="P68" s="154"/>
      <c r="Q68" s="14"/>
      <c r="R68" s="25"/>
      <c r="S68" s="14"/>
      <c r="T68" s="154"/>
      <c r="U68" s="14"/>
      <c r="V68" s="25"/>
      <c r="W68" s="14"/>
      <c r="X68" s="1531"/>
      <c r="Y68" s="14"/>
      <c r="Z68" s="25"/>
      <c r="AA68" s="14"/>
      <c r="AB68" s="154"/>
      <c r="AC68" s="14"/>
      <c r="AD68" s="25"/>
      <c r="AE68" s="14"/>
      <c r="AF68" s="154"/>
      <c r="AG68" s="14"/>
      <c r="AH68" s="25"/>
      <c r="AI68" s="14"/>
      <c r="AJ68" s="154"/>
      <c r="AK68" s="14"/>
      <c r="AL68" s="1531"/>
    </row>
    <row r="69" spans="1:38" s="190" customFormat="1" ht="17.5">
      <c r="A69" s="29"/>
      <c r="B69" s="165">
        <v>47</v>
      </c>
      <c r="C69" s="145"/>
      <c r="D69" s="14"/>
      <c r="E69" s="14"/>
      <c r="F69" s="25"/>
      <c r="G69" s="14"/>
      <c r="H69" s="25"/>
      <c r="I69" s="14"/>
      <c r="J69" s="25"/>
      <c r="K69" s="14"/>
      <c r="L69" s="1531"/>
      <c r="M69" s="14"/>
      <c r="N69" s="25"/>
      <c r="O69" s="14"/>
      <c r="P69" s="154"/>
      <c r="Q69" s="14"/>
      <c r="R69" s="25"/>
      <c r="S69" s="14"/>
      <c r="T69" s="154"/>
      <c r="U69" s="14"/>
      <c r="V69" s="25"/>
      <c r="W69" s="14"/>
      <c r="X69" s="1531"/>
      <c r="Y69" s="14"/>
      <c r="Z69" s="25"/>
      <c r="AA69" s="14"/>
      <c r="AB69" s="154"/>
      <c r="AC69" s="14"/>
      <c r="AD69" s="25"/>
      <c r="AE69" s="14"/>
      <c r="AF69" s="154"/>
      <c r="AG69" s="14"/>
      <c r="AH69" s="25"/>
      <c r="AI69" s="14"/>
      <c r="AJ69" s="154"/>
      <c r="AK69" s="14"/>
      <c r="AL69" s="1531"/>
    </row>
    <row r="70" spans="1:38" s="190" customFormat="1" ht="17.5">
      <c r="A70" s="29"/>
      <c r="B70" s="165">
        <v>48</v>
      </c>
      <c r="C70" s="145"/>
      <c r="D70" s="14"/>
      <c r="E70" s="14"/>
      <c r="F70" s="25"/>
      <c r="G70" s="14"/>
      <c r="H70" s="25"/>
      <c r="I70" s="14"/>
      <c r="J70" s="25"/>
      <c r="K70" s="14"/>
      <c r="L70" s="1531"/>
      <c r="M70" s="14"/>
      <c r="N70" s="25"/>
      <c r="O70" s="14"/>
      <c r="P70" s="154"/>
      <c r="Q70" s="14"/>
      <c r="R70" s="25"/>
      <c r="S70" s="14"/>
      <c r="T70" s="154"/>
      <c r="U70" s="14"/>
      <c r="V70" s="25"/>
      <c r="W70" s="14"/>
      <c r="X70" s="1531"/>
      <c r="Y70" s="14"/>
      <c r="Z70" s="25"/>
      <c r="AA70" s="14"/>
      <c r="AB70" s="154"/>
      <c r="AC70" s="14"/>
      <c r="AD70" s="25"/>
      <c r="AE70" s="14"/>
      <c r="AF70" s="154"/>
      <c r="AG70" s="14"/>
      <c r="AH70" s="25"/>
      <c r="AI70" s="14"/>
      <c r="AJ70" s="154"/>
      <c r="AK70" s="14"/>
      <c r="AL70" s="1531"/>
    </row>
    <row r="71" spans="1:38" s="190" customFormat="1" ht="17.5">
      <c r="A71" s="29"/>
      <c r="B71" s="165">
        <v>49</v>
      </c>
      <c r="C71" s="145"/>
      <c r="D71" s="14"/>
      <c r="E71" s="14"/>
      <c r="F71" s="25"/>
      <c r="G71" s="14"/>
      <c r="H71" s="25"/>
      <c r="I71" s="14"/>
      <c r="J71" s="25"/>
      <c r="K71" s="14"/>
      <c r="L71" s="1531"/>
      <c r="M71" s="14"/>
      <c r="N71" s="25"/>
      <c r="O71" s="14"/>
      <c r="P71" s="154"/>
      <c r="Q71" s="14"/>
      <c r="R71" s="25"/>
      <c r="S71" s="14"/>
      <c r="T71" s="154"/>
      <c r="U71" s="14"/>
      <c r="V71" s="25"/>
      <c r="W71" s="14"/>
      <c r="X71" s="1531"/>
      <c r="Y71" s="14"/>
      <c r="Z71" s="25"/>
      <c r="AA71" s="14"/>
      <c r="AB71" s="154"/>
      <c r="AC71" s="14"/>
      <c r="AD71" s="25"/>
      <c r="AE71" s="14"/>
      <c r="AF71" s="154"/>
      <c r="AG71" s="14"/>
      <c r="AH71" s="25"/>
      <c r="AI71" s="14"/>
      <c r="AJ71" s="154"/>
      <c r="AK71" s="14"/>
      <c r="AL71" s="1531"/>
    </row>
    <row r="72" spans="1:38" s="190" customFormat="1" ht="17.5">
      <c r="A72" s="29"/>
      <c r="B72" s="165">
        <v>50</v>
      </c>
      <c r="C72" s="145"/>
      <c r="D72" s="14"/>
      <c r="E72" s="14"/>
      <c r="F72" s="25"/>
      <c r="G72" s="14"/>
      <c r="H72" s="25"/>
      <c r="I72" s="14"/>
      <c r="J72" s="25"/>
      <c r="K72" s="14"/>
      <c r="L72" s="1531"/>
      <c r="M72" s="14"/>
      <c r="N72" s="25"/>
      <c r="O72" s="14"/>
      <c r="P72" s="154"/>
      <c r="Q72" s="14"/>
      <c r="R72" s="25"/>
      <c r="S72" s="14"/>
      <c r="T72" s="154"/>
      <c r="U72" s="14"/>
      <c r="V72" s="25"/>
      <c r="W72" s="14"/>
      <c r="X72" s="1531"/>
      <c r="Y72" s="14"/>
      <c r="Z72" s="25"/>
      <c r="AA72" s="14"/>
      <c r="AB72" s="154"/>
      <c r="AC72" s="14"/>
      <c r="AD72" s="25"/>
      <c r="AE72" s="14"/>
      <c r="AF72" s="154"/>
      <c r="AG72" s="14"/>
      <c r="AH72" s="25"/>
      <c r="AI72" s="14"/>
      <c r="AJ72" s="154"/>
      <c r="AK72" s="14"/>
      <c r="AL72" s="1531"/>
    </row>
    <row r="73" spans="1:38" s="190" customFormat="1" ht="17.5">
      <c r="A73" s="29"/>
      <c r="B73" s="165">
        <v>51</v>
      </c>
      <c r="C73" s="145"/>
      <c r="D73" s="14"/>
      <c r="E73" s="14"/>
      <c r="F73" s="25"/>
      <c r="G73" s="14"/>
      <c r="H73" s="25"/>
      <c r="I73" s="14"/>
      <c r="J73" s="25"/>
      <c r="K73" s="14"/>
      <c r="L73" s="1531"/>
      <c r="M73" s="14"/>
      <c r="N73" s="25"/>
      <c r="O73" s="14"/>
      <c r="P73" s="154"/>
      <c r="Q73" s="14"/>
      <c r="R73" s="25"/>
      <c r="S73" s="14"/>
      <c r="T73" s="154"/>
      <c r="U73" s="14"/>
      <c r="V73" s="25"/>
      <c r="W73" s="14"/>
      <c r="X73" s="1531"/>
      <c r="Y73" s="14"/>
      <c r="Z73" s="25"/>
      <c r="AA73" s="14"/>
      <c r="AB73" s="154"/>
      <c r="AC73" s="14"/>
      <c r="AD73" s="25"/>
      <c r="AE73" s="14"/>
      <c r="AF73" s="154"/>
      <c r="AG73" s="14"/>
      <c r="AH73" s="25"/>
      <c r="AI73" s="14"/>
      <c r="AJ73" s="154"/>
      <c r="AK73" s="14"/>
      <c r="AL73" s="1531"/>
    </row>
    <row r="74" spans="1:38" s="190" customFormat="1" ht="17.5">
      <c r="A74" s="29"/>
      <c r="B74" s="165">
        <v>52</v>
      </c>
      <c r="C74" s="145"/>
      <c r="D74" s="14"/>
      <c r="E74" s="14"/>
      <c r="F74" s="25"/>
      <c r="G74" s="14"/>
      <c r="H74" s="25"/>
      <c r="I74" s="14"/>
      <c r="J74" s="25"/>
      <c r="K74" s="14"/>
      <c r="L74" s="1531"/>
      <c r="M74" s="14"/>
      <c r="N74" s="25"/>
      <c r="O74" s="14"/>
      <c r="P74" s="154"/>
      <c r="Q74" s="14"/>
      <c r="R74" s="25"/>
      <c r="S74" s="14"/>
      <c r="T74" s="154"/>
      <c r="U74" s="14"/>
      <c r="V74" s="25"/>
      <c r="W74" s="14"/>
      <c r="X74" s="1531"/>
      <c r="Y74" s="14"/>
      <c r="Z74" s="25"/>
      <c r="AA74" s="14"/>
      <c r="AB74" s="154"/>
      <c r="AC74" s="14"/>
      <c r="AD74" s="25"/>
      <c r="AE74" s="14"/>
      <c r="AF74" s="154"/>
      <c r="AG74" s="14"/>
      <c r="AH74" s="25"/>
      <c r="AI74" s="14"/>
      <c r="AJ74" s="154"/>
      <c r="AK74" s="14"/>
      <c r="AL74" s="1531"/>
    </row>
    <row r="75" spans="1:38" s="190" customFormat="1" ht="17.5">
      <c r="A75" s="29"/>
      <c r="B75" s="165">
        <v>53</v>
      </c>
      <c r="C75" s="145"/>
      <c r="D75" s="14"/>
      <c r="E75" s="14"/>
      <c r="F75" s="25"/>
      <c r="G75" s="14"/>
      <c r="H75" s="25"/>
      <c r="I75" s="14"/>
      <c r="J75" s="25"/>
      <c r="K75" s="14"/>
      <c r="L75" s="1531"/>
      <c r="M75" s="14"/>
      <c r="N75" s="25"/>
      <c r="O75" s="14"/>
      <c r="P75" s="154"/>
      <c r="Q75" s="14"/>
      <c r="R75" s="25"/>
      <c r="S75" s="14"/>
      <c r="T75" s="154"/>
      <c r="U75" s="14"/>
      <c r="V75" s="25"/>
      <c r="W75" s="14"/>
      <c r="X75" s="1531"/>
      <c r="Y75" s="14"/>
      <c r="Z75" s="25"/>
      <c r="AA75" s="14"/>
      <c r="AB75" s="154"/>
      <c r="AC75" s="14"/>
      <c r="AD75" s="25"/>
      <c r="AE75" s="14"/>
      <c r="AF75" s="154"/>
      <c r="AG75" s="14"/>
      <c r="AH75" s="25"/>
      <c r="AI75" s="14"/>
      <c r="AJ75" s="154"/>
      <c r="AK75" s="14"/>
      <c r="AL75" s="1531"/>
    </row>
    <row r="76" spans="1:38" s="190" customFormat="1" ht="17.5">
      <c r="A76" s="29"/>
      <c r="B76" s="165">
        <v>54</v>
      </c>
      <c r="C76" s="145"/>
      <c r="D76" s="14"/>
      <c r="E76" s="14"/>
      <c r="F76" s="25"/>
      <c r="G76" s="14"/>
      <c r="H76" s="25"/>
      <c r="I76" s="14"/>
      <c r="J76" s="25"/>
      <c r="K76" s="14"/>
      <c r="L76" s="1531"/>
      <c r="M76" s="14"/>
      <c r="N76" s="25"/>
      <c r="O76" s="14"/>
      <c r="P76" s="154"/>
      <c r="Q76" s="14"/>
      <c r="R76" s="25"/>
      <c r="S76" s="14"/>
      <c r="T76" s="154"/>
      <c r="U76" s="14"/>
      <c r="V76" s="25"/>
      <c r="W76" s="14"/>
      <c r="X76" s="1531"/>
      <c r="Y76" s="14"/>
      <c r="Z76" s="25"/>
      <c r="AA76" s="14"/>
      <c r="AB76" s="154"/>
      <c r="AC76" s="14"/>
      <c r="AD76" s="25"/>
      <c r="AE76" s="14"/>
      <c r="AF76" s="154"/>
      <c r="AG76" s="14"/>
      <c r="AH76" s="25"/>
      <c r="AI76" s="14"/>
      <c r="AJ76" s="154"/>
      <c r="AK76" s="14"/>
      <c r="AL76" s="1531"/>
    </row>
    <row r="77" spans="1:38" s="190" customFormat="1" ht="17.5">
      <c r="A77" s="29"/>
      <c r="B77" s="165">
        <v>55</v>
      </c>
      <c r="C77" s="145"/>
      <c r="D77" s="14"/>
      <c r="E77" s="14"/>
      <c r="F77" s="25"/>
      <c r="G77" s="14"/>
      <c r="H77" s="25"/>
      <c r="I77" s="14"/>
      <c r="J77" s="25"/>
      <c r="K77" s="14"/>
      <c r="L77" s="1531"/>
      <c r="M77" s="14"/>
      <c r="N77" s="25"/>
      <c r="O77" s="14"/>
      <c r="P77" s="154"/>
      <c r="Q77" s="14"/>
      <c r="R77" s="25"/>
      <c r="S77" s="14"/>
      <c r="T77" s="154"/>
      <c r="U77" s="14"/>
      <c r="V77" s="25"/>
      <c r="W77" s="14"/>
      <c r="X77" s="1531"/>
      <c r="Y77" s="14"/>
      <c r="Z77" s="25"/>
      <c r="AA77" s="14"/>
      <c r="AB77" s="154"/>
      <c r="AC77" s="14"/>
      <c r="AD77" s="25"/>
      <c r="AE77" s="14"/>
      <c r="AF77" s="154"/>
      <c r="AG77" s="14"/>
      <c r="AH77" s="25"/>
      <c r="AI77" s="14"/>
      <c r="AJ77" s="154"/>
      <c r="AK77" s="14"/>
      <c r="AL77" s="1531"/>
    </row>
    <row r="78" spans="1:38" s="190" customFormat="1" ht="17.5">
      <c r="A78" s="29"/>
      <c r="B78" s="165">
        <v>56</v>
      </c>
      <c r="C78" s="145"/>
      <c r="D78" s="14"/>
      <c r="E78" s="14"/>
      <c r="F78" s="25"/>
      <c r="G78" s="14"/>
      <c r="H78" s="25"/>
      <c r="I78" s="14"/>
      <c r="J78" s="25"/>
      <c r="K78" s="14"/>
      <c r="L78" s="1531"/>
      <c r="M78" s="14"/>
      <c r="N78" s="25"/>
      <c r="O78" s="14"/>
      <c r="P78" s="154"/>
      <c r="Q78" s="14"/>
      <c r="R78" s="25"/>
      <c r="S78" s="14"/>
      <c r="T78" s="154"/>
      <c r="U78" s="14"/>
      <c r="V78" s="25"/>
      <c r="W78" s="14"/>
      <c r="X78" s="1531"/>
      <c r="Y78" s="14"/>
      <c r="Z78" s="25"/>
      <c r="AA78" s="14"/>
      <c r="AB78" s="154"/>
      <c r="AC78" s="14"/>
      <c r="AD78" s="25"/>
      <c r="AE78" s="14"/>
      <c r="AF78" s="154"/>
      <c r="AG78" s="14"/>
      <c r="AH78" s="25"/>
      <c r="AI78" s="14"/>
      <c r="AJ78" s="154"/>
      <c r="AK78" s="14"/>
      <c r="AL78" s="1531"/>
    </row>
    <row r="79" spans="1:38" s="190" customFormat="1" ht="17.5">
      <c r="A79" s="29"/>
      <c r="B79" s="165">
        <v>57</v>
      </c>
      <c r="C79" s="145"/>
      <c r="D79" s="14"/>
      <c r="E79" s="14"/>
      <c r="F79" s="25"/>
      <c r="G79" s="14"/>
      <c r="H79" s="25"/>
      <c r="I79" s="14"/>
      <c r="J79" s="25"/>
      <c r="K79" s="14"/>
      <c r="L79" s="1531"/>
      <c r="M79" s="14"/>
      <c r="N79" s="25"/>
      <c r="O79" s="14"/>
      <c r="P79" s="154"/>
      <c r="Q79" s="14"/>
      <c r="R79" s="25"/>
      <c r="S79" s="14"/>
      <c r="T79" s="154"/>
      <c r="U79" s="14"/>
      <c r="V79" s="25"/>
      <c r="W79" s="14"/>
      <c r="X79" s="1531"/>
      <c r="Y79" s="14"/>
      <c r="Z79" s="25"/>
      <c r="AA79" s="14"/>
      <c r="AB79" s="154"/>
      <c r="AC79" s="14"/>
      <c r="AD79" s="25"/>
      <c r="AE79" s="14"/>
      <c r="AF79" s="154"/>
      <c r="AG79" s="14"/>
      <c r="AH79" s="25"/>
      <c r="AI79" s="14"/>
      <c r="AJ79" s="154"/>
      <c r="AK79" s="14"/>
      <c r="AL79" s="1531"/>
    </row>
    <row r="80" spans="1:38" s="190" customFormat="1" ht="17.5">
      <c r="A80" s="29"/>
      <c r="B80" s="165">
        <v>58</v>
      </c>
      <c r="C80" s="145"/>
      <c r="D80" s="14"/>
      <c r="E80" s="14"/>
      <c r="F80" s="25"/>
      <c r="G80" s="14"/>
      <c r="H80" s="25"/>
      <c r="I80" s="14"/>
      <c r="J80" s="25"/>
      <c r="K80" s="14"/>
      <c r="L80" s="1531"/>
      <c r="M80" s="14"/>
      <c r="N80" s="25"/>
      <c r="O80" s="14"/>
      <c r="P80" s="154"/>
      <c r="Q80" s="14"/>
      <c r="R80" s="25"/>
      <c r="S80" s="14"/>
      <c r="T80" s="154"/>
      <c r="U80" s="14"/>
      <c r="V80" s="25"/>
      <c r="W80" s="14"/>
      <c r="X80" s="1531"/>
      <c r="Y80" s="14"/>
      <c r="Z80" s="25"/>
      <c r="AA80" s="14"/>
      <c r="AB80" s="154"/>
      <c r="AC80" s="14"/>
      <c r="AD80" s="25"/>
      <c r="AE80" s="14"/>
      <c r="AF80" s="154"/>
      <c r="AG80" s="14"/>
      <c r="AH80" s="25"/>
      <c r="AI80" s="14"/>
      <c r="AJ80" s="154"/>
      <c r="AK80" s="14"/>
      <c r="AL80" s="1531"/>
    </row>
    <row r="81" spans="1:38" s="190" customFormat="1" ht="17.5">
      <c r="A81" s="29"/>
      <c r="B81" s="165">
        <v>59</v>
      </c>
      <c r="C81" s="145"/>
      <c r="D81" s="14"/>
      <c r="E81" s="14"/>
      <c r="F81" s="25"/>
      <c r="G81" s="14"/>
      <c r="H81" s="25"/>
      <c r="I81" s="14"/>
      <c r="J81" s="25"/>
      <c r="K81" s="14"/>
      <c r="L81" s="1531"/>
      <c r="M81" s="14"/>
      <c r="N81" s="25"/>
      <c r="O81" s="14"/>
      <c r="P81" s="154"/>
      <c r="Q81" s="14"/>
      <c r="R81" s="25"/>
      <c r="S81" s="14"/>
      <c r="T81" s="154"/>
      <c r="U81" s="14"/>
      <c r="V81" s="25"/>
      <c r="W81" s="14"/>
      <c r="X81" s="1531"/>
      <c r="Y81" s="14"/>
      <c r="Z81" s="25"/>
      <c r="AA81" s="14"/>
      <c r="AB81" s="154"/>
      <c r="AC81" s="14"/>
      <c r="AD81" s="25"/>
      <c r="AE81" s="14"/>
      <c r="AF81" s="154"/>
      <c r="AG81" s="14"/>
      <c r="AH81" s="25"/>
      <c r="AI81" s="14"/>
      <c r="AJ81" s="154"/>
      <c r="AK81" s="14"/>
      <c r="AL81" s="1531"/>
    </row>
    <row r="82" spans="1:38" s="190" customFormat="1" ht="17.5">
      <c r="A82" s="29"/>
      <c r="B82" s="165">
        <v>60</v>
      </c>
      <c r="C82" s="145"/>
      <c r="D82" s="14"/>
      <c r="E82" s="14"/>
      <c r="F82" s="25"/>
      <c r="G82" s="14"/>
      <c r="H82" s="25"/>
      <c r="I82" s="14"/>
      <c r="J82" s="25"/>
      <c r="K82" s="14"/>
      <c r="L82" s="1531"/>
      <c r="M82" s="14"/>
      <c r="N82" s="25"/>
      <c r="O82" s="14"/>
      <c r="P82" s="154"/>
      <c r="Q82" s="14"/>
      <c r="R82" s="25"/>
      <c r="S82" s="14"/>
      <c r="T82" s="154"/>
      <c r="U82" s="14"/>
      <c r="V82" s="25"/>
      <c r="W82" s="14"/>
      <c r="X82" s="1531"/>
      <c r="Y82" s="14"/>
      <c r="Z82" s="25"/>
      <c r="AA82" s="14"/>
      <c r="AB82" s="154"/>
      <c r="AC82" s="14"/>
      <c r="AD82" s="25"/>
      <c r="AE82" s="14"/>
      <c r="AF82" s="154"/>
      <c r="AG82" s="14"/>
      <c r="AH82" s="25"/>
      <c r="AI82" s="14"/>
      <c r="AJ82" s="154"/>
      <c r="AK82" s="14"/>
      <c r="AL82" s="1531"/>
    </row>
    <row r="83" spans="1:38" s="190" customFormat="1" ht="17.5">
      <c r="A83" s="29"/>
      <c r="B83" s="165">
        <v>61</v>
      </c>
      <c r="C83" s="145"/>
      <c r="D83" s="14"/>
      <c r="E83" s="14"/>
      <c r="F83" s="25"/>
      <c r="G83" s="14"/>
      <c r="H83" s="25"/>
      <c r="I83" s="14"/>
      <c r="J83" s="25"/>
      <c r="K83" s="14"/>
      <c r="L83" s="1531"/>
      <c r="M83" s="14"/>
      <c r="N83" s="25"/>
      <c r="O83" s="14"/>
      <c r="P83" s="154"/>
      <c r="Q83" s="14"/>
      <c r="R83" s="25"/>
      <c r="S83" s="14"/>
      <c r="T83" s="154"/>
      <c r="U83" s="14"/>
      <c r="V83" s="25"/>
      <c r="W83" s="14"/>
      <c r="X83" s="1531"/>
      <c r="Y83" s="14"/>
      <c r="Z83" s="25"/>
      <c r="AA83" s="14"/>
      <c r="AB83" s="154"/>
      <c r="AC83" s="14"/>
      <c r="AD83" s="25"/>
      <c r="AE83" s="14"/>
      <c r="AF83" s="154"/>
      <c r="AG83" s="14"/>
      <c r="AH83" s="25"/>
      <c r="AI83" s="14"/>
      <c r="AJ83" s="154"/>
      <c r="AK83" s="14"/>
      <c r="AL83" s="1531"/>
    </row>
    <row r="84" spans="1:38" s="190" customFormat="1" ht="17.5">
      <c r="A84" s="29"/>
      <c r="B84" s="165">
        <v>62</v>
      </c>
      <c r="C84" s="145"/>
      <c r="D84" s="14"/>
      <c r="E84" s="14"/>
      <c r="F84" s="25"/>
      <c r="G84" s="14"/>
      <c r="H84" s="25"/>
      <c r="I84" s="14"/>
      <c r="J84" s="25"/>
      <c r="K84" s="14"/>
      <c r="L84" s="1531"/>
      <c r="M84" s="14"/>
      <c r="N84" s="25"/>
      <c r="O84" s="14"/>
      <c r="P84" s="154"/>
      <c r="Q84" s="14"/>
      <c r="R84" s="25"/>
      <c r="S84" s="14"/>
      <c r="T84" s="154"/>
      <c r="U84" s="14"/>
      <c r="V84" s="25"/>
      <c r="W84" s="14"/>
      <c r="X84" s="1531"/>
      <c r="Y84" s="14"/>
      <c r="Z84" s="25"/>
      <c r="AA84" s="14"/>
      <c r="AB84" s="154"/>
      <c r="AC84" s="14"/>
      <c r="AD84" s="25"/>
      <c r="AE84" s="14"/>
      <c r="AF84" s="154"/>
      <c r="AG84" s="14"/>
      <c r="AH84" s="25"/>
      <c r="AI84" s="14"/>
      <c r="AJ84" s="154"/>
      <c r="AK84" s="14"/>
      <c r="AL84" s="1531"/>
    </row>
    <row r="85" spans="1:38" s="190" customFormat="1" ht="17.5">
      <c r="A85" s="29"/>
      <c r="B85" s="165">
        <v>63</v>
      </c>
      <c r="C85" s="145"/>
      <c r="D85" s="14"/>
      <c r="E85" s="14"/>
      <c r="F85" s="25"/>
      <c r="G85" s="14"/>
      <c r="H85" s="25"/>
      <c r="I85" s="14"/>
      <c r="J85" s="25"/>
      <c r="K85" s="14"/>
      <c r="L85" s="1531"/>
      <c r="M85" s="14"/>
      <c r="N85" s="25"/>
      <c r="O85" s="14"/>
      <c r="P85" s="154"/>
      <c r="Q85" s="14"/>
      <c r="R85" s="25"/>
      <c r="S85" s="14"/>
      <c r="T85" s="154"/>
      <c r="U85" s="14"/>
      <c r="V85" s="25"/>
      <c r="W85" s="14"/>
      <c r="X85" s="1531"/>
      <c r="Y85" s="14"/>
      <c r="Z85" s="25"/>
      <c r="AA85" s="14"/>
      <c r="AB85" s="154"/>
      <c r="AC85" s="14"/>
      <c r="AD85" s="25"/>
      <c r="AE85" s="14"/>
      <c r="AF85" s="154"/>
      <c r="AG85" s="14"/>
      <c r="AH85" s="25"/>
      <c r="AI85" s="14"/>
      <c r="AJ85" s="154"/>
      <c r="AK85" s="14"/>
      <c r="AL85" s="1531"/>
    </row>
    <row r="86" spans="1:38" s="190" customFormat="1" ht="17.5">
      <c r="A86" s="29"/>
      <c r="B86" s="165">
        <v>64</v>
      </c>
      <c r="C86" s="145"/>
      <c r="D86" s="14"/>
      <c r="E86" s="14"/>
      <c r="F86" s="25"/>
      <c r="G86" s="14"/>
      <c r="H86" s="25"/>
      <c r="I86" s="14"/>
      <c r="J86" s="25"/>
      <c r="K86" s="14"/>
      <c r="L86" s="1531"/>
      <c r="M86" s="14"/>
      <c r="N86" s="25"/>
      <c r="O86" s="14"/>
      <c r="P86" s="154"/>
      <c r="Q86" s="14"/>
      <c r="R86" s="25"/>
      <c r="S86" s="14"/>
      <c r="T86" s="154"/>
      <c r="U86" s="14"/>
      <c r="V86" s="25"/>
      <c r="W86" s="14"/>
      <c r="X86" s="1531"/>
      <c r="Y86" s="14"/>
      <c r="Z86" s="25"/>
      <c r="AA86" s="14"/>
      <c r="AB86" s="154"/>
      <c r="AC86" s="14"/>
      <c r="AD86" s="25"/>
      <c r="AE86" s="14"/>
      <c r="AF86" s="154"/>
      <c r="AG86" s="14"/>
      <c r="AH86" s="25"/>
      <c r="AI86" s="14"/>
      <c r="AJ86" s="154"/>
      <c r="AK86" s="14"/>
      <c r="AL86" s="1531"/>
    </row>
    <row r="87" spans="1:38" s="190" customFormat="1" ht="17.5">
      <c r="A87" s="29"/>
      <c r="B87" s="165">
        <v>65</v>
      </c>
      <c r="C87" s="145"/>
      <c r="D87" s="14"/>
      <c r="E87" s="14"/>
      <c r="F87" s="25"/>
      <c r="G87" s="14"/>
      <c r="H87" s="25"/>
      <c r="I87" s="14"/>
      <c r="J87" s="25"/>
      <c r="K87" s="14"/>
      <c r="L87" s="1531"/>
      <c r="M87" s="14"/>
      <c r="N87" s="25"/>
      <c r="O87" s="14"/>
      <c r="P87" s="154"/>
      <c r="Q87" s="14"/>
      <c r="R87" s="25"/>
      <c r="S87" s="14"/>
      <c r="T87" s="154"/>
      <c r="U87" s="14"/>
      <c r="V87" s="25"/>
      <c r="W87" s="14"/>
      <c r="X87" s="1531"/>
      <c r="Y87" s="14"/>
      <c r="Z87" s="25"/>
      <c r="AA87" s="14"/>
      <c r="AB87" s="154"/>
      <c r="AC87" s="14"/>
      <c r="AD87" s="25"/>
      <c r="AE87" s="14"/>
      <c r="AF87" s="154"/>
      <c r="AG87" s="14"/>
      <c r="AH87" s="25"/>
      <c r="AI87" s="14"/>
      <c r="AJ87" s="154"/>
      <c r="AK87" s="14"/>
      <c r="AL87" s="1531"/>
    </row>
    <row r="88" spans="1:38" s="190" customFormat="1" ht="17.5">
      <c r="A88" s="29"/>
      <c r="B88" s="165">
        <v>66</v>
      </c>
      <c r="C88" s="145"/>
      <c r="D88" s="14"/>
      <c r="E88" s="14"/>
      <c r="F88" s="25"/>
      <c r="G88" s="14"/>
      <c r="H88" s="25"/>
      <c r="I88" s="14"/>
      <c r="J88" s="25"/>
      <c r="K88" s="14"/>
      <c r="L88" s="1531"/>
      <c r="M88" s="14"/>
      <c r="N88" s="25"/>
      <c r="O88" s="14"/>
      <c r="P88" s="154"/>
      <c r="Q88" s="14"/>
      <c r="R88" s="25"/>
      <c r="S88" s="14"/>
      <c r="T88" s="154"/>
      <c r="U88" s="14"/>
      <c r="V88" s="25"/>
      <c r="W88" s="14"/>
      <c r="X88" s="1531"/>
      <c r="Y88" s="14"/>
      <c r="Z88" s="25"/>
      <c r="AA88" s="14"/>
      <c r="AB88" s="154"/>
      <c r="AC88" s="14"/>
      <c r="AD88" s="25"/>
      <c r="AE88" s="14"/>
      <c r="AF88" s="154"/>
      <c r="AG88" s="14"/>
      <c r="AH88" s="25"/>
      <c r="AI88" s="14"/>
      <c r="AJ88" s="154"/>
      <c r="AK88" s="14"/>
      <c r="AL88" s="1531"/>
    </row>
    <row r="89" spans="1:38" s="190" customFormat="1" ht="17.5">
      <c r="A89" s="29"/>
      <c r="B89" s="165">
        <v>67</v>
      </c>
      <c r="C89" s="145"/>
      <c r="D89" s="14"/>
      <c r="E89" s="14"/>
      <c r="F89" s="25"/>
      <c r="G89" s="14"/>
      <c r="H89" s="25"/>
      <c r="I89" s="14"/>
      <c r="J89" s="25"/>
      <c r="K89" s="14"/>
      <c r="L89" s="1531"/>
      <c r="M89" s="14"/>
      <c r="N89" s="25"/>
      <c r="O89" s="14"/>
      <c r="P89" s="154"/>
      <c r="Q89" s="14"/>
      <c r="R89" s="25"/>
      <c r="S89" s="14"/>
      <c r="T89" s="154"/>
      <c r="U89" s="14"/>
      <c r="V89" s="25"/>
      <c r="W89" s="14"/>
      <c r="X89" s="1531"/>
      <c r="Y89" s="14"/>
      <c r="Z89" s="25"/>
      <c r="AA89" s="14"/>
      <c r="AB89" s="154"/>
      <c r="AC89" s="14"/>
      <c r="AD89" s="25"/>
      <c r="AE89" s="14"/>
      <c r="AF89" s="154"/>
      <c r="AG89" s="14"/>
      <c r="AH89" s="25"/>
      <c r="AI89" s="14"/>
      <c r="AJ89" s="154"/>
      <c r="AK89" s="14"/>
      <c r="AL89" s="1531"/>
    </row>
    <row r="90" spans="1:38" s="190" customFormat="1" ht="17.5">
      <c r="A90" s="29"/>
      <c r="B90" s="165">
        <v>68</v>
      </c>
      <c r="C90" s="145"/>
      <c r="D90" s="14"/>
      <c r="E90" s="14"/>
      <c r="F90" s="25"/>
      <c r="G90" s="14"/>
      <c r="H90" s="25"/>
      <c r="I90" s="14"/>
      <c r="J90" s="25"/>
      <c r="K90" s="14"/>
      <c r="L90" s="1531"/>
      <c r="M90" s="14"/>
      <c r="N90" s="25"/>
      <c r="O90" s="14"/>
      <c r="P90" s="154"/>
      <c r="Q90" s="14"/>
      <c r="R90" s="25"/>
      <c r="S90" s="14"/>
      <c r="T90" s="154"/>
      <c r="U90" s="14"/>
      <c r="V90" s="25"/>
      <c r="W90" s="14"/>
      <c r="X90" s="1531"/>
      <c r="Y90" s="14"/>
      <c r="Z90" s="25"/>
      <c r="AA90" s="14"/>
      <c r="AB90" s="154"/>
      <c r="AC90" s="14"/>
      <c r="AD90" s="25"/>
      <c r="AE90" s="14"/>
      <c r="AF90" s="154"/>
      <c r="AG90" s="14"/>
      <c r="AH90" s="25"/>
      <c r="AI90" s="14"/>
      <c r="AJ90" s="154"/>
      <c r="AK90" s="14"/>
      <c r="AL90" s="1531"/>
    </row>
    <row r="91" spans="1:38" s="190" customFormat="1" ht="17.5">
      <c r="A91" s="29"/>
      <c r="B91" s="165">
        <v>69</v>
      </c>
      <c r="C91" s="145"/>
      <c r="D91" s="14"/>
      <c r="E91" s="14"/>
      <c r="F91" s="25"/>
      <c r="G91" s="14"/>
      <c r="H91" s="25"/>
      <c r="I91" s="14"/>
      <c r="J91" s="25"/>
      <c r="K91" s="14"/>
      <c r="L91" s="1531"/>
      <c r="M91" s="14"/>
      <c r="N91" s="25"/>
      <c r="O91" s="14"/>
      <c r="P91" s="154"/>
      <c r="Q91" s="14"/>
      <c r="R91" s="25"/>
      <c r="S91" s="14"/>
      <c r="T91" s="154"/>
      <c r="U91" s="14"/>
      <c r="V91" s="25"/>
      <c r="W91" s="14"/>
      <c r="X91" s="1531"/>
      <c r="Y91" s="14"/>
      <c r="Z91" s="25"/>
      <c r="AA91" s="14"/>
      <c r="AB91" s="154"/>
      <c r="AC91" s="14"/>
      <c r="AD91" s="25"/>
      <c r="AE91" s="14"/>
      <c r="AF91" s="154"/>
      <c r="AG91" s="14"/>
      <c r="AH91" s="25"/>
      <c r="AI91" s="14"/>
      <c r="AJ91" s="154"/>
      <c r="AK91" s="14"/>
      <c r="AL91" s="1531"/>
    </row>
    <row r="92" spans="1:38" s="190" customFormat="1" ht="17.5">
      <c r="A92" s="29"/>
      <c r="B92" s="165">
        <v>70</v>
      </c>
      <c r="C92" s="145"/>
      <c r="D92" s="14"/>
      <c r="E92" s="14"/>
      <c r="F92" s="25"/>
      <c r="G92" s="14"/>
      <c r="H92" s="25"/>
      <c r="I92" s="14"/>
      <c r="J92" s="25"/>
      <c r="K92" s="14"/>
      <c r="L92" s="1531"/>
      <c r="M92" s="14"/>
      <c r="N92" s="25"/>
      <c r="O92" s="14"/>
      <c r="P92" s="154"/>
      <c r="Q92" s="14"/>
      <c r="R92" s="25"/>
      <c r="S92" s="14"/>
      <c r="T92" s="154"/>
      <c r="U92" s="14"/>
      <c r="V92" s="25"/>
      <c r="W92" s="14"/>
      <c r="X92" s="1531"/>
      <c r="Y92" s="14"/>
      <c r="Z92" s="25"/>
      <c r="AA92" s="14"/>
      <c r="AB92" s="154"/>
      <c r="AC92" s="14"/>
      <c r="AD92" s="25"/>
      <c r="AE92" s="14"/>
      <c r="AF92" s="154"/>
      <c r="AG92" s="14"/>
      <c r="AH92" s="25"/>
      <c r="AI92" s="14"/>
      <c r="AJ92" s="154"/>
      <c r="AK92" s="14"/>
      <c r="AL92" s="1531"/>
    </row>
    <row r="93" spans="1:38" ht="17.5">
      <c r="A93" s="29"/>
      <c r="B93" s="14"/>
      <c r="C93" s="14" t="s">
        <v>17</v>
      </c>
      <c r="D93" s="14" t="s">
        <v>17</v>
      </c>
      <c r="E93" s="14" t="s">
        <v>17</v>
      </c>
      <c r="F93" s="14" t="s">
        <v>1753</v>
      </c>
      <c r="G93" s="14" t="s">
        <v>17</v>
      </c>
      <c r="H93" s="14" t="s">
        <v>17</v>
      </c>
      <c r="I93" s="14" t="s">
        <v>17</v>
      </c>
      <c r="J93" s="14" t="s">
        <v>17</v>
      </c>
      <c r="K93" s="14" t="s">
        <v>17</v>
      </c>
      <c r="L93" s="787" t="s">
        <v>17</v>
      </c>
      <c r="M93" s="14" t="s">
        <v>17</v>
      </c>
      <c r="N93" s="13" t="s">
        <v>17</v>
      </c>
      <c r="O93" s="14" t="s">
        <v>17</v>
      </c>
      <c r="P93" s="1516" t="s">
        <v>17</v>
      </c>
      <c r="Q93" s="14" t="s">
        <v>17</v>
      </c>
      <c r="R93" s="13" t="s">
        <v>17</v>
      </c>
      <c r="S93" s="14" t="s">
        <v>17</v>
      </c>
      <c r="T93" s="1516" t="s">
        <v>17</v>
      </c>
      <c r="U93" s="14" t="s">
        <v>17</v>
      </c>
      <c r="V93" s="13" t="s">
        <v>17</v>
      </c>
      <c r="W93" s="14" t="s">
        <v>17</v>
      </c>
      <c r="X93" s="787" t="s">
        <v>17</v>
      </c>
      <c r="Y93" s="14" t="s">
        <v>17</v>
      </c>
      <c r="Z93" s="13" t="s">
        <v>17</v>
      </c>
      <c r="AA93" s="14" t="s">
        <v>17</v>
      </c>
      <c r="AB93" s="1516" t="s">
        <v>17</v>
      </c>
      <c r="AC93" s="14" t="s">
        <v>17</v>
      </c>
      <c r="AD93" s="13" t="s">
        <v>17</v>
      </c>
      <c r="AE93" s="14" t="s">
        <v>17</v>
      </c>
      <c r="AF93" s="1516" t="s">
        <v>17</v>
      </c>
      <c r="AG93" s="14" t="s">
        <v>17</v>
      </c>
      <c r="AH93" s="13" t="s">
        <v>17</v>
      </c>
      <c r="AI93" s="14" t="s">
        <v>17</v>
      </c>
      <c r="AJ93" s="1516" t="s">
        <v>17</v>
      </c>
      <c r="AK93" s="14" t="s">
        <v>17</v>
      </c>
      <c r="AL93" s="787" t="s">
        <v>17</v>
      </c>
    </row>
    <row r="94" spans="1:38" s="29" customFormat="1" ht="17.5">
      <c r="B94" s="141" t="str">
        <f>"© W/E adviseurs, Utrecht/Eindhoven, versie rekenhulpmiddelen "&amp;TEXT(Wijzigingsblad!$B$3,"d mmmm jjjj")</f>
        <v>© W/E adviseurs, Utrecht/Eindhoven, versie rekenhulpmiddelen 17 april 2024</v>
      </c>
      <c r="C94" s="30"/>
      <c r="L94" s="474"/>
      <c r="X94" s="474"/>
      <c r="AL94" s="474"/>
    </row>
  </sheetData>
  <sheetProtection sheet="1" objects="1" scenarios="1"/>
  <mergeCells count="7">
    <mergeCell ref="F12:H12"/>
    <mergeCell ref="B3:C3"/>
    <mergeCell ref="F6:H6"/>
    <mergeCell ref="F7:H7"/>
    <mergeCell ref="F8:H8"/>
    <mergeCell ref="F9:H9"/>
    <mergeCell ref="F10:H10"/>
  </mergeCells>
  <phoneticPr fontId="86" type="noConversion"/>
  <dataValidations count="5">
    <dataValidation type="list" allowBlank="1" showInputMessage="1" showErrorMessage="1" sqref="F12" xr:uid="{1D8DB0D7-E0C6-48E8-964F-EB42499D1E27}">
      <formula1>Gebruiksfuncties</formula1>
    </dataValidation>
    <dataValidation type="decimal" operator="greaterThanOrEqual" allowBlank="1" showInputMessage="1" showErrorMessage="1" sqref="H23:H92 F23:F92 AL23:AL92 X23:X92 Z23:Z92 L23:L92 N23:N92" xr:uid="{D30FEA27-1B2C-4BE6-BE5A-F6D7586203A0}">
      <formula1>0</formula1>
    </dataValidation>
    <dataValidation allowBlank="1" showInputMessage="1" showErrorMessage="1" promptTitle="Doel rekenblad" prompt="Het rekenblad combineert de resultaten van maximaal 10 GPR berekeningen tot één gewogen resultaat. Dit is toepasbaar in de volgende situaties:         _x000a_1 Een gebouw bevat meerdere gebruiksfuncties. " sqref="J7" xr:uid="{BB06816D-C447-46A6-8935-77F77CCB75BC}"/>
    <dataValidation allowBlank="1" showInputMessage="1" showErrorMessage="1" promptTitle="2.3.3" prompt="Waterverbruik toiletsystemen winkeleenheid" sqref="H17" xr:uid="{51D8B566-F3ED-4459-B63A-9852BA721B0C}"/>
    <dataValidation allowBlank="1" showInputMessage="1" showErrorMessage="1" promptTitle="2.3.5" prompt="Waterverbruik kranen winkeleenheid" sqref="J17" xr:uid="{2D5944CA-541E-40C5-9122-230BA7298455}"/>
  </dataValidations>
  <hyperlinks>
    <hyperlink ref="A1" location="'Overzicht GPR Hulpmiddelen'!A1" tooltip="naar startscherm" display="&lt;" xr:uid="{6A20DCAE-666C-4FEB-8A5E-7DDD7027EA49}"/>
  </hyperlinks>
  <pageMargins left="0.7" right="0.7" top="0.75" bottom="0.75" header="0.3" footer="0.3"/>
  <pageSetup paperSize="9" scale="51" orientation="portrait" horizontalDpi="4294967293"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80772-C9F6-458B-AE00-7CC415252E35}">
  <sheetPr codeName="Blad11">
    <tabColor theme="0" tint="-0.249977111117893"/>
    <pageSetUpPr autoPageBreaks="0" fitToPage="1"/>
  </sheetPr>
  <dimension ref="A1:AE42"/>
  <sheetViews>
    <sheetView zoomScale="90" zoomScaleNormal="90" zoomScaleSheetLayoutView="90" workbookViewId="0">
      <selection sqref="A1:XFD1048576"/>
    </sheetView>
  </sheetViews>
  <sheetFormatPr defaultColWidth="10.7265625" defaultRowHeight="17.5" outlineLevelRow="1"/>
  <cols>
    <col min="1" max="1" width="10.7265625" style="29" customWidth="1"/>
    <col min="2" max="2" width="2.7265625" style="29" customWidth="1"/>
    <col min="3" max="3" width="10.7265625" style="30" customWidth="1"/>
    <col min="4" max="4" width="25" style="30" customWidth="1"/>
    <col min="5" max="7" width="11.7265625" style="29" customWidth="1"/>
    <col min="8" max="8" width="11.7265625" style="30" customWidth="1"/>
    <col min="9" max="9" width="12.453125" style="29" customWidth="1"/>
    <col min="10" max="10" width="17.453125" style="29" customWidth="1"/>
    <col min="11" max="11" width="10.7265625" style="29" customWidth="1"/>
    <col min="12" max="12" width="10.7265625" style="1342" customWidth="1"/>
    <col min="13" max="19" width="10.7265625" style="29" customWidth="1"/>
    <col min="20" max="20" width="12.7265625" style="29" bestFit="1" customWidth="1"/>
    <col min="21" max="24" width="10.7265625" style="29" customWidth="1"/>
    <col min="25" max="25" width="11.7265625" style="29" customWidth="1"/>
    <col min="26" max="26" width="10.7265625" style="29" customWidth="1"/>
    <col min="27" max="16384" width="10.7265625" style="29"/>
  </cols>
  <sheetData>
    <row r="1" spans="1:26" s="18" customFormat="1" ht="32.5">
      <c r="A1" s="192" t="s">
        <v>12</v>
      </c>
      <c r="B1" s="177"/>
      <c r="C1" s="175"/>
      <c r="D1" s="194"/>
      <c r="E1" s="31"/>
      <c r="F1" s="31"/>
      <c r="G1" s="21"/>
      <c r="H1" s="21"/>
      <c r="I1" s="21"/>
      <c r="J1" s="21"/>
      <c r="K1" s="21"/>
      <c r="L1" s="31"/>
      <c r="M1" s="21"/>
      <c r="N1" s="21"/>
      <c r="O1" s="21"/>
      <c r="P1" s="21"/>
      <c r="Q1" s="21"/>
      <c r="R1" s="21"/>
      <c r="S1" s="507"/>
      <c r="T1" s="507"/>
      <c r="U1" s="507"/>
      <c r="V1" s="507"/>
      <c r="W1" s="507"/>
      <c r="X1" s="507"/>
      <c r="Y1" s="507"/>
      <c r="Z1" s="507"/>
    </row>
    <row r="2" spans="1:26" s="19" customFormat="1" ht="21">
      <c r="A2" s="87"/>
      <c r="B2" s="28" t="s">
        <v>1568</v>
      </c>
      <c r="C2" s="32"/>
      <c r="D2" s="32"/>
      <c r="E2" s="180"/>
      <c r="F2" s="181"/>
      <c r="G2" s="182"/>
      <c r="H2" s="180"/>
      <c r="I2" s="32"/>
      <c r="J2" s="32"/>
      <c r="K2" s="27"/>
      <c r="L2" s="32"/>
      <c r="M2" s="27"/>
      <c r="N2" s="27"/>
      <c r="O2" s="27"/>
      <c r="P2" s="27"/>
      <c r="Q2" s="27"/>
      <c r="R2" s="27"/>
      <c r="S2" s="28"/>
      <c r="T2" s="28"/>
      <c r="U2" s="28"/>
      <c r="V2" s="28"/>
      <c r="W2" s="28"/>
      <c r="X2" s="28"/>
      <c r="Y2" s="28"/>
      <c r="Z2" s="28"/>
    </row>
    <row r="3" spans="1:26">
      <c r="B3" s="1687">
        <v>45110</v>
      </c>
      <c r="C3" s="1688"/>
      <c r="D3" s="1713"/>
      <c r="E3" s="30"/>
      <c r="H3" s="29"/>
    </row>
    <row r="4" spans="1:26" s="18" customFormat="1" ht="5.25" customHeight="1">
      <c r="B4" s="14"/>
      <c r="C4" s="67"/>
      <c r="D4" s="67"/>
      <c r="E4" s="67"/>
      <c r="F4" s="67"/>
      <c r="G4" s="14"/>
      <c r="H4" s="67"/>
      <c r="I4" s="14"/>
      <c r="J4" s="14"/>
      <c r="K4" s="14"/>
      <c r="L4" s="34"/>
      <c r="M4" s="14"/>
      <c r="N4" s="14"/>
      <c r="O4" s="14"/>
      <c r="P4" s="14"/>
      <c r="Q4" s="14"/>
      <c r="R4" s="14"/>
      <c r="S4" s="14"/>
      <c r="T4" s="14"/>
      <c r="U4" s="14"/>
      <c r="V4" s="14"/>
      <c r="W4" s="14"/>
      <c r="X4" s="14"/>
      <c r="Y4" s="14"/>
      <c r="Z4" s="14"/>
    </row>
    <row r="5" spans="1:26" s="19" customFormat="1">
      <c r="B5" s="14"/>
      <c r="C5" s="68" t="s">
        <v>3</v>
      </c>
      <c r="D5" s="68"/>
      <c r="E5" s="68"/>
      <c r="F5" s="68"/>
      <c r="G5" s="68"/>
      <c r="H5" s="68"/>
      <c r="I5" s="14"/>
      <c r="J5" s="14"/>
      <c r="K5" s="14"/>
      <c r="L5" s="34"/>
      <c r="M5" s="14"/>
      <c r="N5" s="14"/>
      <c r="O5" s="14"/>
      <c r="P5" s="14"/>
      <c r="Q5" s="14"/>
      <c r="R5" s="14"/>
      <c r="S5" s="14"/>
      <c r="T5" s="14"/>
      <c r="U5" s="14"/>
      <c r="V5" s="14"/>
      <c r="W5" s="14"/>
      <c r="X5" s="14"/>
      <c r="Y5" s="14"/>
      <c r="Z5" s="14"/>
    </row>
    <row r="6" spans="1:26" s="19" customFormat="1" ht="17.25" customHeight="1">
      <c r="B6" s="14"/>
      <c r="C6" s="22" t="s">
        <v>4</v>
      </c>
      <c r="D6" s="22"/>
      <c r="E6" s="1691" t="str">
        <f>IF('Overzicht GPR Hulpmiddelen'!D6="","",'Overzicht GPR Hulpmiddelen'!D6)</f>
        <v/>
      </c>
      <c r="F6" s="1691"/>
      <c r="G6" s="1691"/>
      <c r="H6" s="1691"/>
      <c r="I6" s="14"/>
      <c r="J6" s="155" t="s">
        <v>1582</v>
      </c>
      <c r="K6" s="14"/>
      <c r="L6" s="34"/>
      <c r="M6" s="14"/>
      <c r="N6" s="14"/>
      <c r="O6" s="14"/>
      <c r="P6" s="14"/>
      <c r="Q6" s="14"/>
      <c r="R6" s="14"/>
      <c r="S6" s="14"/>
      <c r="T6" s="14"/>
      <c r="U6" s="14"/>
      <c r="V6" s="14"/>
      <c r="W6" s="14"/>
      <c r="X6" s="14"/>
      <c r="Y6" s="14"/>
      <c r="Z6" s="14"/>
    </row>
    <row r="7" spans="1:26" s="19" customFormat="1">
      <c r="B7" s="14"/>
      <c r="C7" s="22" t="s">
        <v>5</v>
      </c>
      <c r="D7" s="22"/>
      <c r="E7" s="1691" t="str">
        <f>IF('Overzicht GPR Hulpmiddelen'!D7="","",'Overzicht GPR Hulpmiddelen'!D7)</f>
        <v/>
      </c>
      <c r="F7" s="1691"/>
      <c r="G7" s="1691"/>
      <c r="H7" s="1691"/>
      <c r="I7" s="14"/>
      <c r="J7" s="1071" t="s">
        <v>1585</v>
      </c>
      <c r="K7" s="14"/>
      <c r="L7" s="34"/>
      <c r="M7" s="14"/>
      <c r="N7" s="14"/>
      <c r="O7" s="14"/>
      <c r="P7" s="14"/>
      <c r="Q7" s="14"/>
      <c r="R7" s="14"/>
      <c r="S7" s="14"/>
      <c r="T7" s="14"/>
      <c r="U7" s="14"/>
      <c r="V7" s="14"/>
      <c r="W7" s="14"/>
      <c r="X7" s="14"/>
      <c r="Y7" s="14"/>
      <c r="Z7" s="14"/>
    </row>
    <row r="8" spans="1:26" s="19" customFormat="1">
      <c r="B8" s="14"/>
      <c r="C8" s="22" t="s">
        <v>6</v>
      </c>
      <c r="D8" s="22"/>
      <c r="E8" s="1691" t="str">
        <f>IF('Overzicht GPR Hulpmiddelen'!D8="","",'Overzicht GPR Hulpmiddelen'!D8)</f>
        <v/>
      </c>
      <c r="F8" s="1691"/>
      <c r="G8" s="1691"/>
      <c r="H8" s="1691"/>
      <c r="I8" s="14"/>
      <c r="J8" s="14"/>
      <c r="K8" s="14"/>
      <c r="L8" s="34"/>
      <c r="M8" s="14"/>
      <c r="N8" s="14"/>
      <c r="O8" s="14"/>
      <c r="P8" s="14"/>
      <c r="Q8" s="14"/>
      <c r="R8" s="14"/>
      <c r="S8" s="14"/>
      <c r="T8" s="14"/>
      <c r="U8" s="14"/>
      <c r="V8" s="14"/>
      <c r="W8" s="14"/>
      <c r="X8" s="14"/>
      <c r="Y8" s="14"/>
      <c r="Z8" s="14"/>
    </row>
    <row r="9" spans="1:26" s="19" customFormat="1">
      <c r="B9" s="14"/>
      <c r="C9" s="22" t="s">
        <v>7</v>
      </c>
      <c r="D9" s="22"/>
      <c r="E9" s="1699" t="str">
        <f>IF('Overzicht GPR Hulpmiddelen'!D9="","",'Overzicht GPR Hulpmiddelen'!D9)</f>
        <v/>
      </c>
      <c r="F9" s="1699"/>
      <c r="G9" s="1699"/>
      <c r="H9" s="1699"/>
      <c r="I9" s="14"/>
      <c r="J9" s="14"/>
      <c r="K9" s="14"/>
      <c r="L9" s="34"/>
      <c r="M9" s="14"/>
      <c r="N9" s="14"/>
      <c r="O9" s="14"/>
      <c r="P9" s="14"/>
      <c r="Q9" s="14"/>
      <c r="R9" s="14"/>
      <c r="S9" s="14"/>
      <c r="T9" s="14"/>
      <c r="U9" s="14"/>
      <c r="V9" s="14"/>
      <c r="W9" s="14"/>
      <c r="X9" s="14"/>
      <c r="Y9" s="14"/>
      <c r="Z9" s="14"/>
    </row>
    <row r="10" spans="1:26" s="19" customFormat="1">
      <c r="B10" s="14"/>
      <c r="C10" s="22" t="s">
        <v>488</v>
      </c>
      <c r="D10" s="22"/>
      <c r="E10" s="1685"/>
      <c r="F10" s="1685"/>
      <c r="G10" s="1685"/>
      <c r="H10" s="1685"/>
      <c r="I10" s="14"/>
      <c r="J10" s="14"/>
      <c r="K10" s="14"/>
      <c r="L10" s="34"/>
      <c r="M10" s="14"/>
      <c r="N10" s="14"/>
      <c r="O10" s="14"/>
      <c r="P10" s="14"/>
      <c r="Q10" s="14"/>
      <c r="R10" s="14"/>
      <c r="S10" s="14"/>
      <c r="T10" s="14"/>
      <c r="U10" s="14"/>
      <c r="V10" s="14"/>
      <c r="W10" s="14"/>
      <c r="X10" s="14"/>
      <c r="Y10" s="14"/>
      <c r="Z10" s="14"/>
    </row>
    <row r="11" spans="1:26">
      <c r="A11" s="212"/>
      <c r="B11" s="891"/>
      <c r="C11" s="891"/>
      <c r="D11" s="891"/>
      <c r="E11" s="891"/>
      <c r="F11" s="891"/>
      <c r="G11" s="891"/>
      <c r="H11" s="891"/>
      <c r="I11" s="891"/>
      <c r="J11" s="891"/>
      <c r="K11" s="891"/>
      <c r="L11" s="1343"/>
      <c r="M11" s="891"/>
      <c r="N11" s="891"/>
      <c r="O11" s="891"/>
      <c r="P11" s="891"/>
      <c r="Q11" s="891"/>
      <c r="R11" s="891"/>
      <c r="S11" s="14"/>
      <c r="T11" s="14"/>
      <c r="U11" s="14"/>
      <c r="V11" s="14"/>
      <c r="W11" s="14"/>
      <c r="X11" s="14"/>
      <c r="Y11" s="14"/>
      <c r="Z11" s="14"/>
    </row>
    <row r="12" spans="1:26" s="896" customFormat="1" ht="25.5" customHeight="1">
      <c r="A12" s="86"/>
      <c r="B12" s="893"/>
      <c r="C12" s="893"/>
      <c r="D12" s="893"/>
      <c r="E12" s="893"/>
      <c r="F12" s="893"/>
      <c r="G12" s="893"/>
      <c r="H12" s="893"/>
      <c r="I12" s="1064" t="s">
        <v>1583</v>
      </c>
      <c r="J12" s="1064"/>
      <c r="K12" s="1064" t="s">
        <v>1584</v>
      </c>
      <c r="L12" s="1344"/>
      <c r="M12" s="893"/>
      <c r="N12" s="893"/>
      <c r="O12" s="893"/>
      <c r="P12" s="893"/>
      <c r="Q12" s="893"/>
      <c r="R12" s="893"/>
      <c r="S12" s="893"/>
      <c r="T12" s="893"/>
      <c r="U12" s="893"/>
      <c r="V12" s="893"/>
      <c r="W12" s="893"/>
      <c r="X12" s="893"/>
      <c r="Y12" s="893"/>
      <c r="Z12" s="893"/>
    </row>
    <row r="13" spans="1:26" s="422" customFormat="1" ht="32">
      <c r="A13" s="425"/>
      <c r="B13" s="423"/>
      <c r="C13" s="1055"/>
      <c r="D13" s="1055"/>
      <c r="E13" s="1056"/>
      <c r="F13" s="1068" t="s">
        <v>1575</v>
      </c>
      <c r="G13" s="1068" t="s">
        <v>1574</v>
      </c>
      <c r="H13" s="1068" t="s">
        <v>1572</v>
      </c>
      <c r="I13" s="1068" t="s">
        <v>833</v>
      </c>
      <c r="J13" s="1068"/>
      <c r="K13" s="1069" t="s">
        <v>833</v>
      </c>
      <c r="L13" s="109" t="s">
        <v>1671</v>
      </c>
      <c r="M13" s="1070"/>
      <c r="N13" s="1070"/>
      <c r="O13" s="1070"/>
      <c r="P13" s="1070"/>
      <c r="Q13" s="1070"/>
      <c r="R13" s="1070"/>
      <c r="S13" s="1074" t="s">
        <v>1586</v>
      </c>
      <c r="T13" s="1074" t="s">
        <v>16</v>
      </c>
      <c r="U13" s="1074" t="s">
        <v>1576</v>
      </c>
      <c r="V13" s="1074" t="s">
        <v>1577</v>
      </c>
      <c r="W13" s="1074" t="s">
        <v>1578</v>
      </c>
      <c r="X13" s="1074" t="s">
        <v>1579</v>
      </c>
      <c r="Y13" s="1074" t="s">
        <v>1580</v>
      </c>
      <c r="Z13" s="1074" t="s">
        <v>1581</v>
      </c>
    </row>
    <row r="14" spans="1:26" s="1067" customFormat="1" ht="16">
      <c r="A14" s="1066"/>
      <c r="B14" s="423"/>
      <c r="C14" s="1055"/>
      <c r="D14" s="1055"/>
      <c r="E14" s="1056"/>
      <c r="F14" s="902" t="s">
        <v>396</v>
      </c>
      <c r="G14" s="1068"/>
      <c r="H14" s="1068"/>
      <c r="I14" s="1068"/>
      <c r="J14" s="1068"/>
      <c r="K14" s="1069"/>
      <c r="L14" s="1345"/>
      <c r="M14" s="1070"/>
      <c r="N14" s="1070"/>
      <c r="O14" s="1070"/>
      <c r="P14" s="1070"/>
      <c r="Q14" s="1070"/>
      <c r="R14" s="1070"/>
      <c r="S14" s="1074"/>
      <c r="T14" s="1074"/>
      <c r="U14" s="1074">
        <v>1</v>
      </c>
      <c r="V14" s="1074">
        <v>3</v>
      </c>
      <c r="W14" s="1074">
        <v>5</v>
      </c>
      <c r="X14" s="1074"/>
      <c r="Y14" s="1074"/>
      <c r="Z14" s="1074"/>
    </row>
    <row r="15" spans="1:26" s="940" customFormat="1">
      <c r="A15" s="1048"/>
      <c r="B15" s="14"/>
      <c r="C15" s="1049" t="s">
        <v>1567</v>
      </c>
      <c r="D15" s="330" t="s">
        <v>1273</v>
      </c>
      <c r="E15" s="330"/>
      <c r="F15" s="922"/>
      <c r="G15" s="922">
        <f>SUM(G17,G21)</f>
        <v>2000</v>
      </c>
      <c r="H15" s="1050">
        <f>G15/$G$15</f>
        <v>1</v>
      </c>
      <c r="I15" s="330"/>
      <c r="J15" s="330"/>
      <c r="K15" s="1050"/>
      <c r="L15" s="1346"/>
      <c r="M15" s="1050"/>
      <c r="N15" s="1050"/>
      <c r="O15" s="1050"/>
      <c r="P15" s="1050"/>
      <c r="Q15" s="1050"/>
      <c r="R15" s="1050"/>
      <c r="S15" s="1075"/>
      <c r="T15" s="1075"/>
      <c r="U15" s="1075"/>
      <c r="V15" s="1075"/>
      <c r="W15" s="1075"/>
      <c r="X15" s="1075"/>
      <c r="Y15" s="1075"/>
      <c r="Z15" s="1075"/>
    </row>
    <row r="16" spans="1:26" s="1067" customFormat="1" ht="7.5" customHeight="1">
      <c r="A16" s="1066"/>
      <c r="B16" s="423"/>
      <c r="C16" s="1055"/>
      <c r="D16" s="1055"/>
      <c r="E16" s="1056"/>
      <c r="F16" s="1068"/>
      <c r="G16" s="1068"/>
      <c r="H16" s="1068"/>
      <c r="I16" s="1068"/>
      <c r="J16" s="1068"/>
      <c r="K16" s="1069"/>
      <c r="L16" s="1345"/>
      <c r="M16" s="1070"/>
      <c r="N16" s="1070"/>
      <c r="O16" s="1070"/>
      <c r="P16" s="1070"/>
      <c r="Q16" s="1070"/>
      <c r="R16" s="1070"/>
      <c r="S16" s="1074"/>
      <c r="T16" s="1074"/>
      <c r="U16" s="1074"/>
      <c r="V16" s="1074"/>
      <c r="W16" s="1074"/>
      <c r="X16" s="1074"/>
      <c r="Y16" s="1074"/>
      <c r="Z16" s="1074"/>
    </row>
    <row r="17" spans="1:26" s="940" customFormat="1">
      <c r="A17" s="139" t="s">
        <v>396</v>
      </c>
      <c r="B17" s="14"/>
      <c r="C17" s="1049">
        <v>1</v>
      </c>
      <c r="D17" s="330" t="s">
        <v>8</v>
      </c>
      <c r="E17" s="330"/>
      <c r="F17" s="922">
        <f>SUMIFS(F18:F19,S18:S19,2)</f>
        <v>4</v>
      </c>
      <c r="G17" s="922">
        <f>SUMIFS(G18:G19,S18:S19,2)</f>
        <v>1000</v>
      </c>
      <c r="H17" s="1050">
        <f>G17/$G$17</f>
        <v>1</v>
      </c>
      <c r="I17" s="1052" cm="1">
        <f t="array" ref="I17">SUMPRODUCT(H18:H19*I18:I19*(T18:T19=$T$39))</f>
        <v>0</v>
      </c>
      <c r="J17" s="1052"/>
      <c r="K17" s="1050"/>
      <c r="L17" s="1346"/>
      <c r="M17" s="1050"/>
      <c r="N17" s="1050"/>
      <c r="O17" s="1050"/>
      <c r="P17" s="1050"/>
      <c r="Q17" s="1050"/>
      <c r="R17" s="1050"/>
      <c r="S17" s="1075">
        <v>1</v>
      </c>
      <c r="T17" s="1076" t="str">
        <f>VLOOKUP(S17,$S$37:$T$40,COLUMNS($S$36:$T$36),FALSE)</f>
        <v>Thema</v>
      </c>
      <c r="U17" s="1075" t="str">
        <f t="shared" ref="U17:W19" si="0">LEFT($C17,U$14)</f>
        <v>1</v>
      </c>
      <c r="V17" s="1075" t="str">
        <f t="shared" si="0"/>
        <v>1</v>
      </c>
      <c r="W17" s="1075" t="str">
        <f t="shared" si="0"/>
        <v>1</v>
      </c>
      <c r="X17" s="1075">
        <f>SUMIFS($F$17:$F$34,$S$17:$S$34,2,$C$17:$C$34,V17)/SUMIFS($F$17:$F$34,$S$17:$S$34,2,$U$17:$U$34,U17)*1000</f>
        <v>0</v>
      </c>
      <c r="Y17" s="1075">
        <f>SUMIFS($F$17:$F$34,$S$17:$S$34,0,$V$17:$V$34,V17)</f>
        <v>0</v>
      </c>
      <c r="Z17" s="1075">
        <f>IF(S17=3,F17/SUMIFS($F$17:$F$34,$V$17:$V$34,V17,$S$17:$S$34,3)*(X17-Y17),0)</f>
        <v>0</v>
      </c>
    </row>
    <row r="18" spans="1:26">
      <c r="A18" s="18"/>
      <c r="B18" s="14"/>
      <c r="C18" s="23" t="s">
        <v>164</v>
      </c>
      <c r="D18" s="22" t="s">
        <v>1556</v>
      </c>
      <c r="E18" s="22"/>
      <c r="F18" s="24">
        <v>3</v>
      </c>
      <c r="G18" s="24" cm="1">
        <f t="array" ref="G18">_xlfn.IFS(
S18=0,Y18,
S18=1,F18,
S18=2,X18,
S18=3,Z18)</f>
        <v>750</v>
      </c>
      <c r="H18" s="1051">
        <f>G18/$G$17</f>
        <v>0.75</v>
      </c>
      <c r="I18" s="433"/>
      <c r="J18" s="1052"/>
      <c r="K18" s="1051"/>
      <c r="L18" s="1347"/>
      <c r="M18" s="1051"/>
      <c r="N18" s="1051"/>
      <c r="O18" s="1051"/>
      <c r="P18" s="1051"/>
      <c r="Q18" s="1051"/>
      <c r="R18" s="1051"/>
      <c r="S18" s="904">
        <v>2</v>
      </c>
      <c r="T18" s="903" t="str">
        <f>VLOOKUP(S18,$S$37:$T$40,COLUMNS($S$36:$T$36),FALSE)</f>
        <v>Subthema</v>
      </c>
      <c r="U18" s="904" t="str">
        <f t="shared" si="0"/>
        <v>1</v>
      </c>
      <c r="V18" s="904" t="str">
        <f t="shared" si="0"/>
        <v>1.1</v>
      </c>
      <c r="W18" s="904" t="str">
        <f t="shared" si="0"/>
        <v>1.1</v>
      </c>
      <c r="X18" s="904">
        <f>SUMIFS($F$17:$F$34,$S$17:$S$34,2,$C$17:$C$34,V18)/SUMIFS($F$17:$F$34,$S$17:$S$34,2,$U$17:$U$34,U18)*1000</f>
        <v>750</v>
      </c>
      <c r="Y18" s="904">
        <f>SUMIFS($F$17:$F$34,$S$17:$S$34,0,$V$17:$V$34,V18)</f>
        <v>0</v>
      </c>
      <c r="Z18" s="904">
        <f>IF(S18=3,F18/SUMIFS($F$17:$F$34,$V$17:$V$34,V18,$S$17:$S$34,3)*(X18-Y18),0)</f>
        <v>0</v>
      </c>
    </row>
    <row r="19" spans="1:26">
      <c r="A19" s="18"/>
      <c r="B19" s="14"/>
      <c r="C19" s="23" t="s">
        <v>1015</v>
      </c>
      <c r="D19" s="22" t="s">
        <v>1557</v>
      </c>
      <c r="E19" s="22"/>
      <c r="F19" s="24">
        <v>1</v>
      </c>
      <c r="G19" s="24" cm="1">
        <f t="array" ref="G19">_xlfn.IFS(
S19=0,Y19,
S19=1,F19,
S19=2,X19,
S19=3,Z19)</f>
        <v>250</v>
      </c>
      <c r="H19" s="1051">
        <f>G19/$G$17</f>
        <v>0.25</v>
      </c>
      <c r="I19" s="433"/>
      <c r="J19" s="1052"/>
      <c r="K19" s="1051"/>
      <c r="L19" s="1347"/>
      <c r="M19" s="1051"/>
      <c r="N19" s="1051"/>
      <c r="O19" s="1051"/>
      <c r="P19" s="1051"/>
      <c r="Q19" s="1051"/>
      <c r="R19" s="1051"/>
      <c r="S19" s="904">
        <v>2</v>
      </c>
      <c r="T19" s="903" t="str">
        <f>VLOOKUP(S19,$S$37:$T$40,COLUMNS($S$36:$T$36),FALSE)</f>
        <v>Subthema</v>
      </c>
      <c r="U19" s="904" t="str">
        <f t="shared" si="0"/>
        <v>1</v>
      </c>
      <c r="V19" s="904" t="str">
        <f t="shared" si="0"/>
        <v>1.2</v>
      </c>
      <c r="W19" s="904" t="str">
        <f t="shared" si="0"/>
        <v>1.2</v>
      </c>
      <c r="X19" s="904">
        <f>SUMIFS($F$17:$F$34,$S$17:$S$34,2,$C$17:$C$34,V19)/SUMIFS($F$17:$F$34,$S$17:$S$34,2,$U$17:$U$34,U19)*1000</f>
        <v>250</v>
      </c>
      <c r="Y19" s="904">
        <f>SUMIFS($F$17:$F$34,$S$17:$S$34,0,$V$17:$V$34,V19)</f>
        <v>0</v>
      </c>
      <c r="Z19" s="904">
        <f>IF(S19=3,F19/SUMIFS($F$17:$F$34,$V$17:$V$34,V19,$S$17:$S$34,3)*(X19-Y19),0)</f>
        <v>0</v>
      </c>
    </row>
    <row r="20" spans="1:26" s="1067" customFormat="1" ht="7.5" customHeight="1">
      <c r="A20" s="1066"/>
      <c r="B20" s="423"/>
      <c r="C20" s="1055"/>
      <c r="D20" s="1055"/>
      <c r="E20" s="1056"/>
      <c r="F20" s="1068"/>
      <c r="G20" s="1068"/>
      <c r="H20" s="1068"/>
      <c r="I20" s="1068"/>
      <c r="J20" s="1068"/>
      <c r="K20" s="1069"/>
      <c r="L20" s="1345"/>
      <c r="M20" s="1070"/>
      <c r="N20" s="1070"/>
      <c r="O20" s="1070"/>
      <c r="P20" s="1070"/>
      <c r="Q20" s="1070"/>
      <c r="R20" s="1070"/>
      <c r="S20" s="1074"/>
      <c r="T20" s="1087"/>
      <c r="U20" s="1074"/>
      <c r="V20" s="1074"/>
      <c r="W20" s="1074"/>
      <c r="X20" s="1074"/>
      <c r="Y20" s="1074"/>
      <c r="Z20" s="1074"/>
    </row>
    <row r="21" spans="1:26" s="940" customFormat="1">
      <c r="A21" s="18"/>
      <c r="B21" s="14"/>
      <c r="C21" s="1049">
        <v>2</v>
      </c>
      <c r="D21" s="330" t="s">
        <v>9</v>
      </c>
      <c r="E21" s="330"/>
      <c r="F21" s="922">
        <f>SUMIFS(F22:F34,S22:S34,2)</f>
        <v>10</v>
      </c>
      <c r="G21" s="922">
        <f>SUMIFS(G22:G34,S22:S34,2)</f>
        <v>1000</v>
      </c>
      <c r="H21" s="1050">
        <f>G21/$G$21</f>
        <v>1</v>
      </c>
      <c r="I21" s="1052">
        <f>SUM($H$22*I22,$H$33*I33,$H$34*I34)</f>
        <v>0</v>
      </c>
      <c r="J21" s="1052"/>
      <c r="K21" s="1052">
        <f>SUM($H$22*K22,$H$33*K33,$H$34*K34)</f>
        <v>4.1999999999999993</v>
      </c>
      <c r="L21" s="1348"/>
      <c r="M21" s="1059"/>
      <c r="N21" s="1059"/>
      <c r="O21" s="1059"/>
      <c r="P21" s="1059"/>
      <c r="Q21" s="1059"/>
      <c r="R21" s="1059"/>
      <c r="S21" s="1075">
        <f t="shared" ref="S21:S34" si="1">IF(D21="Startwaarde",0,
IF(LEN(C21)=1,1,
IF(LEN(C21)=3,2,
3)))</f>
        <v>1</v>
      </c>
      <c r="T21" s="1076" t="str">
        <f t="shared" ref="T21:T34" si="2">VLOOKUP(S21,$S$37:$T$40,COLUMNS($S$36:$T$36),FALSE)</f>
        <v>Thema</v>
      </c>
      <c r="U21" s="1075" t="str">
        <f t="shared" ref="U21:W34" si="3">LEFT($C21,U$14)</f>
        <v>2</v>
      </c>
      <c r="V21" s="1075" t="str">
        <f t="shared" si="3"/>
        <v>2</v>
      </c>
      <c r="W21" s="1075" t="str">
        <f t="shared" si="3"/>
        <v>2</v>
      </c>
      <c r="X21" s="1075">
        <f t="shared" ref="X21:X34" si="4">SUMIFS($F$17:$F$34,$S$17:$S$34,2,$C$17:$C$34,V21)/SUMIFS($F$17:$F$34,$S$17:$S$34,2,$U$17:$U$34,U21)*1000</f>
        <v>0</v>
      </c>
      <c r="Y21" s="1075">
        <f t="shared" ref="Y21:Y34" si="5">SUMIFS($F$21:$F$34,$S$21:$S$34,0,$V$21:$V$34,V21)</f>
        <v>0</v>
      </c>
      <c r="Z21" s="1075">
        <f t="shared" ref="Z21:Z34" si="6">IF(S21=3,F21/SUMIFS($F$21:$F$34,$V$21:$V$34,V21,$S$21:$S$34,3)*(X21-Y21),0)</f>
        <v>0</v>
      </c>
    </row>
    <row r="22" spans="1:26">
      <c r="A22" s="139" t="s">
        <v>396</v>
      </c>
      <c r="B22" s="787"/>
      <c r="C22" s="23" t="s">
        <v>1293</v>
      </c>
      <c r="D22" s="22" t="s">
        <v>432</v>
      </c>
      <c r="E22" s="22"/>
      <c r="F22" s="24">
        <v>7</v>
      </c>
      <c r="G22" s="24" cm="1">
        <f t="array" ref="G22">_xlfn.IFS(
S22=0,Y22,
S22=1,F22,
S22=2,X22,
S22=3,Z22)</f>
        <v>700</v>
      </c>
      <c r="H22" s="1051">
        <f>G22/$G$21</f>
        <v>0.7</v>
      </c>
      <c r="I22" s="433"/>
      <c r="J22" s="1051"/>
      <c r="K22" s="1057">
        <f>SUM(K23:K32)/G22*10</f>
        <v>6</v>
      </c>
      <c r="L22" s="1349"/>
      <c r="M22" s="1050"/>
      <c r="N22" s="1050"/>
      <c r="O22" s="1050"/>
      <c r="P22" s="1050"/>
      <c r="Q22" s="1050"/>
      <c r="R22" s="1050"/>
      <c r="S22" s="904">
        <f t="shared" si="1"/>
        <v>2</v>
      </c>
      <c r="T22" s="903" t="str">
        <f t="shared" si="2"/>
        <v>Subthema</v>
      </c>
      <c r="U22" s="904" t="str">
        <f t="shared" si="3"/>
        <v>2</v>
      </c>
      <c r="V22" s="904" t="str">
        <f t="shared" si="3"/>
        <v>2.1</v>
      </c>
      <c r="W22" s="904" t="str">
        <f t="shared" si="3"/>
        <v>2.1</v>
      </c>
      <c r="X22" s="904">
        <f t="shared" si="4"/>
        <v>700</v>
      </c>
      <c r="Y22" s="904">
        <f t="shared" si="5"/>
        <v>420</v>
      </c>
      <c r="Z22" s="904">
        <f t="shared" si="6"/>
        <v>0</v>
      </c>
    </row>
    <row r="23" spans="1:26" s="448" customFormat="1" outlineLevel="1">
      <c r="A23" s="139" t="s">
        <v>396</v>
      </c>
      <c r="B23" s="764"/>
      <c r="C23" s="1053" t="s">
        <v>1559</v>
      </c>
      <c r="D23" s="946" t="s">
        <v>1558</v>
      </c>
      <c r="E23" s="946"/>
      <c r="F23" s="1054">
        <f>6/10*G22</f>
        <v>420</v>
      </c>
      <c r="G23" s="1054" cm="1">
        <f t="array" ref="G23">_xlfn.IFS(
S23=0,Y23,
S23=1,F23,
S23=2,X23,
S23=3,Z23)</f>
        <v>420</v>
      </c>
      <c r="H23" s="1065">
        <f t="shared" ref="H23:H33" si="7">G23/$G$21</f>
        <v>0.42</v>
      </c>
      <c r="I23" s="1054"/>
      <c r="J23" s="1051"/>
      <c r="K23" s="1054">
        <f>G23</f>
        <v>420</v>
      </c>
      <c r="L23" s="1350"/>
      <c r="M23" s="1054"/>
      <c r="N23" s="1054"/>
      <c r="O23" s="1054"/>
      <c r="P23" s="1054"/>
      <c r="Q23" s="1054"/>
      <c r="R23" s="1054"/>
      <c r="S23" s="1077">
        <f t="shared" si="1"/>
        <v>0</v>
      </c>
      <c r="T23" s="1078" t="str">
        <f t="shared" si="2"/>
        <v>Startwaarde</v>
      </c>
      <c r="U23" s="1077" t="str">
        <f t="shared" si="3"/>
        <v>2</v>
      </c>
      <c r="V23" s="1077" t="str">
        <f t="shared" si="3"/>
        <v>2.1</v>
      </c>
      <c r="W23" s="1077" t="str">
        <f t="shared" si="3"/>
        <v>2.1.1</v>
      </c>
      <c r="X23" s="1077">
        <f t="shared" si="4"/>
        <v>700</v>
      </c>
      <c r="Y23" s="1077">
        <f t="shared" si="5"/>
        <v>420</v>
      </c>
      <c r="Z23" s="1077">
        <f t="shared" si="6"/>
        <v>0</v>
      </c>
    </row>
    <row r="24" spans="1:26" s="448" customFormat="1" outlineLevel="1">
      <c r="A24" s="18"/>
      <c r="B24" s="764"/>
      <c r="C24" s="1053" t="s">
        <v>1560</v>
      </c>
      <c r="D24" s="946" t="s">
        <v>1573</v>
      </c>
      <c r="E24" s="946"/>
      <c r="F24" s="1054">
        <v>20</v>
      </c>
      <c r="G24" s="1054" cm="1">
        <f t="array" ref="G24">_xlfn.IFS(
S24=0,Y24,
S24=1,F24,
S24=2,X24,
S24=3,Z24)</f>
        <v>140</v>
      </c>
      <c r="H24" s="1065">
        <f t="shared" si="7"/>
        <v>0.14000000000000001</v>
      </c>
      <c r="I24" s="1054"/>
      <c r="J24" s="1051"/>
      <c r="K24" s="433"/>
      <c r="L24" s="1350"/>
      <c r="M24" s="1054"/>
      <c r="N24" s="1054"/>
      <c r="O24" s="1054"/>
      <c r="P24" s="1054"/>
      <c r="Q24" s="1054"/>
      <c r="R24" s="1054"/>
      <c r="S24" s="1077">
        <f t="shared" si="1"/>
        <v>3</v>
      </c>
      <c r="T24" s="1078" t="str">
        <f t="shared" si="2"/>
        <v>Maatregelgroep</v>
      </c>
      <c r="U24" s="1077" t="str">
        <f t="shared" si="3"/>
        <v>2</v>
      </c>
      <c r="V24" s="1077" t="str">
        <f t="shared" si="3"/>
        <v>2.1</v>
      </c>
      <c r="W24" s="1077" t="str">
        <f t="shared" si="3"/>
        <v>2.1.2</v>
      </c>
      <c r="X24" s="1077">
        <f t="shared" si="4"/>
        <v>700</v>
      </c>
      <c r="Y24" s="1077">
        <f t="shared" si="5"/>
        <v>420</v>
      </c>
      <c r="Z24" s="1077">
        <f t="shared" si="6"/>
        <v>140</v>
      </c>
    </row>
    <row r="25" spans="1:26" s="448" customFormat="1" outlineLevel="1">
      <c r="A25" s="18"/>
      <c r="B25" s="452"/>
      <c r="C25" s="1053" t="s">
        <v>157</v>
      </c>
      <c r="D25" s="946" t="s">
        <v>156</v>
      </c>
      <c r="E25" s="946"/>
      <c r="F25" s="1054">
        <v>3</v>
      </c>
      <c r="G25" s="1054" cm="1">
        <f t="array" ref="G25">_xlfn.IFS(
S25=0,Y25,
S25=1,F25,
S25=2,X25,
S25=3,Z25)</f>
        <v>21</v>
      </c>
      <c r="H25" s="1065">
        <f t="shared" si="7"/>
        <v>2.1000000000000001E-2</v>
      </c>
      <c r="I25" s="1054"/>
      <c r="J25" s="1051"/>
      <c r="K25" s="433"/>
      <c r="L25" s="1350"/>
      <c r="M25" s="1054"/>
      <c r="N25" s="1054"/>
      <c r="O25" s="1054"/>
      <c r="P25" s="1054"/>
      <c r="Q25" s="1054"/>
      <c r="R25" s="1054"/>
      <c r="S25" s="1077">
        <f t="shared" si="1"/>
        <v>3</v>
      </c>
      <c r="T25" s="1078" t="str">
        <f t="shared" si="2"/>
        <v>Maatregelgroep</v>
      </c>
      <c r="U25" s="1077" t="str">
        <f t="shared" si="3"/>
        <v>2</v>
      </c>
      <c r="V25" s="1077" t="str">
        <f t="shared" si="3"/>
        <v>2.1</v>
      </c>
      <c r="W25" s="1077" t="str">
        <f t="shared" si="3"/>
        <v>2.1.3</v>
      </c>
      <c r="X25" s="1077">
        <f t="shared" si="4"/>
        <v>700</v>
      </c>
      <c r="Y25" s="1077">
        <f t="shared" si="5"/>
        <v>420</v>
      </c>
      <c r="Z25" s="1077">
        <f t="shared" si="6"/>
        <v>21</v>
      </c>
    </row>
    <row r="26" spans="1:26" s="448" customFormat="1" outlineLevel="1">
      <c r="A26" s="18"/>
      <c r="B26" s="764"/>
      <c r="C26" s="1053" t="s">
        <v>159</v>
      </c>
      <c r="D26" s="946" t="s">
        <v>38</v>
      </c>
      <c r="E26" s="946"/>
      <c r="F26" s="1054">
        <v>4</v>
      </c>
      <c r="G26" s="1054" cm="1">
        <f t="array" ref="G26">_xlfn.IFS(
S26=0,Y26,
S26=1,F26,
S26=2,X26,
S26=3,Z26)</f>
        <v>28</v>
      </c>
      <c r="H26" s="1065">
        <f t="shared" si="7"/>
        <v>2.8000000000000001E-2</v>
      </c>
      <c r="I26" s="1054"/>
      <c r="J26" s="1051"/>
      <c r="K26" s="433"/>
      <c r="L26" s="1350"/>
      <c r="M26" s="1054"/>
      <c r="N26" s="1054"/>
      <c r="O26" s="1054"/>
      <c r="P26" s="1054"/>
      <c r="Q26" s="1054"/>
      <c r="R26" s="1054"/>
      <c r="S26" s="1077">
        <f t="shared" si="1"/>
        <v>3</v>
      </c>
      <c r="T26" s="1078" t="str">
        <f t="shared" si="2"/>
        <v>Maatregelgroep</v>
      </c>
      <c r="U26" s="1077" t="str">
        <f t="shared" si="3"/>
        <v>2</v>
      </c>
      <c r="V26" s="1077" t="str">
        <f t="shared" si="3"/>
        <v>2.1</v>
      </c>
      <c r="W26" s="1077" t="str">
        <f t="shared" si="3"/>
        <v>2.1.4</v>
      </c>
      <c r="X26" s="1077">
        <f t="shared" si="4"/>
        <v>700</v>
      </c>
      <c r="Y26" s="1077">
        <f t="shared" si="5"/>
        <v>420</v>
      </c>
      <c r="Z26" s="1077">
        <f t="shared" si="6"/>
        <v>28</v>
      </c>
    </row>
    <row r="27" spans="1:26" s="448" customFormat="1" outlineLevel="1">
      <c r="A27" s="18"/>
      <c r="B27" s="450"/>
      <c r="C27" s="1053" t="s">
        <v>162</v>
      </c>
      <c r="D27" s="946" t="s">
        <v>161</v>
      </c>
      <c r="E27" s="946"/>
      <c r="F27" s="1054">
        <v>2</v>
      </c>
      <c r="G27" s="1054" cm="1">
        <f t="array" ref="G27">_xlfn.IFS(
S27=0,Y27,
S27=1,F27,
S27=2,X27,
S27=3,Z27)</f>
        <v>14</v>
      </c>
      <c r="H27" s="1065">
        <f t="shared" si="7"/>
        <v>1.4E-2</v>
      </c>
      <c r="I27" s="1054"/>
      <c r="J27" s="1051"/>
      <c r="K27" s="433"/>
      <c r="L27" s="1350"/>
      <c r="M27" s="1054"/>
      <c r="N27" s="1054"/>
      <c r="O27" s="1054"/>
      <c r="P27" s="1054"/>
      <c r="Q27" s="1054"/>
      <c r="R27" s="1054"/>
      <c r="S27" s="1077">
        <f t="shared" si="1"/>
        <v>3</v>
      </c>
      <c r="T27" s="1078" t="str">
        <f t="shared" si="2"/>
        <v>Maatregelgroep</v>
      </c>
      <c r="U27" s="1077" t="str">
        <f t="shared" si="3"/>
        <v>2</v>
      </c>
      <c r="V27" s="1077" t="str">
        <f t="shared" si="3"/>
        <v>2.1</v>
      </c>
      <c r="W27" s="1077" t="str">
        <f t="shared" si="3"/>
        <v>2.1.5</v>
      </c>
      <c r="X27" s="1077">
        <f t="shared" si="4"/>
        <v>700</v>
      </c>
      <c r="Y27" s="1077">
        <f t="shared" si="5"/>
        <v>420</v>
      </c>
      <c r="Z27" s="1077">
        <f t="shared" si="6"/>
        <v>14</v>
      </c>
    </row>
    <row r="28" spans="1:26" s="448" customFormat="1" outlineLevel="1">
      <c r="A28" s="18"/>
      <c r="B28" s="764"/>
      <c r="C28" s="1053" t="s">
        <v>175</v>
      </c>
      <c r="D28" s="946" t="s">
        <v>1561</v>
      </c>
      <c r="E28" s="946"/>
      <c r="F28" s="1054">
        <v>1</v>
      </c>
      <c r="G28" s="1054" cm="1">
        <f t="array" ref="G28">_xlfn.IFS(
S28=0,Y28,
S28=1,F28,
S28=2,X28,
S28=3,Z28)</f>
        <v>7</v>
      </c>
      <c r="H28" s="1065">
        <f t="shared" si="7"/>
        <v>7.0000000000000001E-3</v>
      </c>
      <c r="I28" s="1054"/>
      <c r="J28" s="1051"/>
      <c r="K28" s="433"/>
      <c r="L28" s="1350"/>
      <c r="M28" s="1054"/>
      <c r="N28" s="1054"/>
      <c r="O28" s="1054"/>
      <c r="P28" s="1054"/>
      <c r="Q28" s="1054"/>
      <c r="R28" s="1054"/>
      <c r="S28" s="1077">
        <f t="shared" si="1"/>
        <v>3</v>
      </c>
      <c r="T28" s="1078" t="str">
        <f t="shared" si="2"/>
        <v>Maatregelgroep</v>
      </c>
      <c r="U28" s="1077" t="str">
        <f t="shared" si="3"/>
        <v>2</v>
      </c>
      <c r="V28" s="1077" t="str">
        <f t="shared" si="3"/>
        <v>2.1</v>
      </c>
      <c r="W28" s="1077" t="str">
        <f t="shared" si="3"/>
        <v>2.1.6</v>
      </c>
      <c r="X28" s="1077">
        <f t="shared" si="4"/>
        <v>700</v>
      </c>
      <c r="Y28" s="1077">
        <f t="shared" si="5"/>
        <v>420</v>
      </c>
      <c r="Z28" s="1077">
        <f t="shared" si="6"/>
        <v>7</v>
      </c>
    </row>
    <row r="29" spans="1:26" s="448" customFormat="1" outlineLevel="1">
      <c r="A29" s="18"/>
      <c r="B29" s="764"/>
      <c r="C29" s="1053" t="s">
        <v>173</v>
      </c>
      <c r="D29" s="946" t="s">
        <v>172</v>
      </c>
      <c r="E29" s="946"/>
      <c r="F29" s="1054">
        <v>3</v>
      </c>
      <c r="G29" s="1054" cm="1">
        <f t="array" ref="G29">_xlfn.IFS(
S29=0,Y29,
S29=1,F29,
S29=2,X29,
S29=3,Z29)</f>
        <v>21</v>
      </c>
      <c r="H29" s="1065">
        <f t="shared" si="7"/>
        <v>2.1000000000000001E-2</v>
      </c>
      <c r="I29" s="1054"/>
      <c r="J29" s="1051"/>
      <c r="K29" s="433"/>
      <c r="L29" s="1350"/>
      <c r="M29" s="1054"/>
      <c r="N29" s="1054"/>
      <c r="O29" s="1054"/>
      <c r="P29" s="1054"/>
      <c r="Q29" s="1054"/>
      <c r="R29" s="1054"/>
      <c r="S29" s="1077">
        <f t="shared" si="1"/>
        <v>3</v>
      </c>
      <c r="T29" s="1078" t="str">
        <f t="shared" si="2"/>
        <v>Maatregelgroep</v>
      </c>
      <c r="U29" s="1077" t="str">
        <f t="shared" si="3"/>
        <v>2</v>
      </c>
      <c r="V29" s="1077" t="str">
        <f t="shared" si="3"/>
        <v>2.1</v>
      </c>
      <c r="W29" s="1077" t="str">
        <f t="shared" si="3"/>
        <v>2.1.7</v>
      </c>
      <c r="X29" s="1077">
        <f t="shared" si="4"/>
        <v>700</v>
      </c>
      <c r="Y29" s="1077">
        <f t="shared" si="5"/>
        <v>420</v>
      </c>
      <c r="Z29" s="1077">
        <f t="shared" si="6"/>
        <v>21</v>
      </c>
    </row>
    <row r="30" spans="1:26" s="448" customFormat="1" outlineLevel="1">
      <c r="A30" s="18"/>
      <c r="B30" s="764"/>
      <c r="C30" s="1053" t="s">
        <v>178</v>
      </c>
      <c r="D30" s="946" t="s">
        <v>177</v>
      </c>
      <c r="E30" s="946"/>
      <c r="F30" s="1054">
        <v>3</v>
      </c>
      <c r="G30" s="1054" cm="1">
        <f t="array" ref="G30">_xlfn.IFS(
S30=0,Y30,
S30=1,F30,
S30=2,X30,
S30=3,Z30)</f>
        <v>21</v>
      </c>
      <c r="H30" s="1065">
        <f t="shared" si="7"/>
        <v>2.1000000000000001E-2</v>
      </c>
      <c r="I30" s="1054"/>
      <c r="J30" s="1051"/>
      <c r="K30" s="433"/>
      <c r="L30" s="1350"/>
      <c r="M30" s="1054"/>
      <c r="N30" s="1054"/>
      <c r="O30" s="1054"/>
      <c r="P30" s="1054"/>
      <c r="Q30" s="1054"/>
      <c r="R30" s="1054"/>
      <c r="S30" s="1077">
        <f t="shared" si="1"/>
        <v>3</v>
      </c>
      <c r="T30" s="1078" t="str">
        <f t="shared" si="2"/>
        <v>Maatregelgroep</v>
      </c>
      <c r="U30" s="1077" t="str">
        <f t="shared" si="3"/>
        <v>2</v>
      </c>
      <c r="V30" s="1077" t="str">
        <f t="shared" si="3"/>
        <v>2.1</v>
      </c>
      <c r="W30" s="1077" t="str">
        <f t="shared" si="3"/>
        <v>2.1.8</v>
      </c>
      <c r="X30" s="1077">
        <f t="shared" si="4"/>
        <v>700</v>
      </c>
      <c r="Y30" s="1077">
        <f t="shared" si="5"/>
        <v>420</v>
      </c>
      <c r="Z30" s="1077">
        <f t="shared" si="6"/>
        <v>21</v>
      </c>
    </row>
    <row r="31" spans="1:26" s="448" customFormat="1" outlineLevel="1">
      <c r="A31" s="18"/>
      <c r="B31" s="764"/>
      <c r="C31" s="1053" t="s">
        <v>182</v>
      </c>
      <c r="D31" s="946" t="s">
        <v>29</v>
      </c>
      <c r="E31" s="946"/>
      <c r="F31" s="1054">
        <v>4</v>
      </c>
      <c r="G31" s="1054" cm="1">
        <f t="array" ref="G31">_xlfn.IFS(
S31=0,Y31,
S31=1,F31,
S31=2,X31,
S31=3,Z31)</f>
        <v>28</v>
      </c>
      <c r="H31" s="1065">
        <f t="shared" si="7"/>
        <v>2.8000000000000001E-2</v>
      </c>
      <c r="I31" s="1054"/>
      <c r="J31" s="1051"/>
      <c r="K31" s="433"/>
      <c r="L31" s="1350"/>
      <c r="M31" s="1054"/>
      <c r="N31" s="1054"/>
      <c r="O31" s="1054"/>
      <c r="P31" s="1054"/>
      <c r="Q31" s="1054"/>
      <c r="R31" s="1054"/>
      <c r="S31" s="1077">
        <f t="shared" si="1"/>
        <v>3</v>
      </c>
      <c r="T31" s="1078" t="str">
        <f t="shared" si="2"/>
        <v>Maatregelgroep</v>
      </c>
      <c r="U31" s="1077" t="str">
        <f t="shared" si="3"/>
        <v>2</v>
      </c>
      <c r="V31" s="1077" t="str">
        <f t="shared" si="3"/>
        <v>2.1</v>
      </c>
      <c r="W31" s="1077" t="str">
        <f t="shared" si="3"/>
        <v>2.1.9</v>
      </c>
      <c r="X31" s="1077">
        <f t="shared" si="4"/>
        <v>700</v>
      </c>
      <c r="Y31" s="1077">
        <f t="shared" si="5"/>
        <v>420</v>
      </c>
      <c r="Z31" s="1077">
        <f t="shared" si="6"/>
        <v>28</v>
      </c>
    </row>
    <row r="32" spans="1:26" s="448" customFormat="1" outlineLevel="1">
      <c r="A32" s="18"/>
      <c r="B32" s="764"/>
      <c r="C32" s="1053" t="s">
        <v>154</v>
      </c>
      <c r="D32" s="946" t="s">
        <v>1562</v>
      </c>
      <c r="E32" s="946"/>
      <c r="F32" s="1054">
        <v>0</v>
      </c>
      <c r="G32" s="1054" cm="1">
        <f t="array" ref="G32">_xlfn.IFS(
S32=0,Y32,
S32=1,F32,
S32=2,X32,
S32=3,Z32)</f>
        <v>0</v>
      </c>
      <c r="H32" s="1065">
        <f t="shared" si="7"/>
        <v>0</v>
      </c>
      <c r="I32" s="1054"/>
      <c r="J32" s="1051"/>
      <c r="K32" s="433"/>
      <c r="L32" s="1350"/>
      <c r="M32" s="1054"/>
      <c r="N32" s="1054"/>
      <c r="O32" s="1054"/>
      <c r="P32" s="1054"/>
      <c r="Q32" s="1054"/>
      <c r="R32" s="1054"/>
      <c r="S32" s="1077">
        <f t="shared" si="1"/>
        <v>3</v>
      </c>
      <c r="T32" s="1078" t="str">
        <f t="shared" si="2"/>
        <v>Maatregelgroep</v>
      </c>
      <c r="U32" s="1077" t="str">
        <f t="shared" si="3"/>
        <v>2</v>
      </c>
      <c r="V32" s="1077" t="str">
        <f t="shared" si="3"/>
        <v>2.1</v>
      </c>
      <c r="W32" s="1077" t="str">
        <f t="shared" si="3"/>
        <v>2.1.1</v>
      </c>
      <c r="X32" s="1077">
        <f t="shared" si="4"/>
        <v>700</v>
      </c>
      <c r="Y32" s="1077">
        <f t="shared" si="5"/>
        <v>420</v>
      </c>
      <c r="Z32" s="1077">
        <f t="shared" si="6"/>
        <v>0</v>
      </c>
    </row>
    <row r="33" spans="1:31">
      <c r="A33" s="18"/>
      <c r="B33" s="14"/>
      <c r="C33" s="23" t="s">
        <v>1563</v>
      </c>
      <c r="D33" s="22" t="s">
        <v>1564</v>
      </c>
      <c r="E33" s="22"/>
      <c r="F33" s="24">
        <v>1</v>
      </c>
      <c r="G33" s="24" cm="1">
        <f t="array" ref="G33">_xlfn.IFS(
S33=0,Y33,
S33=1,F33,
S33=2,X33,
S33=3,Z33)</f>
        <v>100</v>
      </c>
      <c r="H33" s="1051">
        <f t="shared" si="7"/>
        <v>0.1</v>
      </c>
      <c r="I33" s="433"/>
      <c r="J33" s="1051"/>
      <c r="K33" s="1057">
        <f t="shared" ref="K33:K34" si="8">I33</f>
        <v>0</v>
      </c>
      <c r="L33" s="1351"/>
      <c r="M33" s="24"/>
      <c r="N33" s="24"/>
      <c r="O33" s="24"/>
      <c r="P33" s="24"/>
      <c r="Q33" s="24"/>
      <c r="R33" s="24"/>
      <c r="S33" s="904">
        <f t="shared" si="1"/>
        <v>2</v>
      </c>
      <c r="T33" s="903" t="str">
        <f t="shared" si="2"/>
        <v>Subthema</v>
      </c>
      <c r="U33" s="904" t="str">
        <f t="shared" si="3"/>
        <v>2</v>
      </c>
      <c r="V33" s="904" t="str">
        <f t="shared" si="3"/>
        <v>2.2</v>
      </c>
      <c r="W33" s="904" t="str">
        <f t="shared" si="3"/>
        <v>2.2</v>
      </c>
      <c r="X33" s="904">
        <f t="shared" si="4"/>
        <v>100</v>
      </c>
      <c r="Y33" s="904">
        <f t="shared" si="5"/>
        <v>0</v>
      </c>
      <c r="Z33" s="904">
        <f t="shared" si="6"/>
        <v>0</v>
      </c>
    </row>
    <row r="34" spans="1:31">
      <c r="A34" s="18"/>
      <c r="B34" s="14"/>
      <c r="C34" s="23" t="s">
        <v>1565</v>
      </c>
      <c r="D34" s="22" t="s">
        <v>1566</v>
      </c>
      <c r="E34" s="22"/>
      <c r="F34" s="24">
        <v>2</v>
      </c>
      <c r="G34" s="24" cm="1">
        <f t="array" ref="G34">_xlfn.IFS(
S34=0,Y34,
S34=1,F34,
S34=2,X34,
S34=3,Z34)</f>
        <v>200</v>
      </c>
      <c r="H34" s="1051">
        <f>G34/$G$21</f>
        <v>0.2</v>
      </c>
      <c r="I34" s="433"/>
      <c r="J34" s="1051"/>
      <c r="K34" s="1057">
        <f t="shared" si="8"/>
        <v>0</v>
      </c>
      <c r="L34" s="1351"/>
      <c r="M34" s="24"/>
      <c r="N34" s="24"/>
      <c r="O34" s="24"/>
      <c r="P34" s="24"/>
      <c r="Q34" s="24"/>
      <c r="R34" s="24"/>
      <c r="S34" s="904">
        <f t="shared" si="1"/>
        <v>2</v>
      </c>
      <c r="T34" s="903" t="str">
        <f t="shared" si="2"/>
        <v>Subthema</v>
      </c>
      <c r="U34" s="904" t="str">
        <f t="shared" si="3"/>
        <v>2</v>
      </c>
      <c r="V34" s="904" t="str">
        <f t="shared" si="3"/>
        <v>2.3</v>
      </c>
      <c r="W34" s="904" t="str">
        <f t="shared" si="3"/>
        <v>2.3</v>
      </c>
      <c r="X34" s="904">
        <f t="shared" si="4"/>
        <v>200</v>
      </c>
      <c r="Y34" s="904">
        <f t="shared" si="5"/>
        <v>0</v>
      </c>
      <c r="Z34" s="904">
        <f t="shared" si="6"/>
        <v>0</v>
      </c>
    </row>
    <row r="35" spans="1:31" s="1086" customFormat="1">
      <c r="A35" s="1079"/>
      <c r="B35" s="1080"/>
      <c r="C35" s="1081"/>
      <c r="D35" s="1081"/>
      <c r="E35" s="1082"/>
      <c r="F35" s="1083"/>
      <c r="G35" s="1083"/>
      <c r="H35" s="1083"/>
      <c r="I35" s="1083"/>
      <c r="J35" s="1083"/>
      <c r="K35" s="1084"/>
      <c r="L35" s="1352"/>
      <c r="M35" s="1085"/>
      <c r="N35" s="1085"/>
      <c r="O35" s="1085"/>
      <c r="P35" s="1085"/>
      <c r="Q35" s="1085"/>
      <c r="R35" s="1085"/>
      <c r="S35" s="1083"/>
      <c r="T35" s="1083"/>
      <c r="U35" s="1083"/>
      <c r="V35" s="1083"/>
      <c r="W35" s="1083"/>
      <c r="X35" s="1083"/>
      <c r="Y35" s="1083"/>
      <c r="Z35" s="1083"/>
    </row>
    <row r="36" spans="1:31" s="940" customFormat="1">
      <c r="A36" s="18"/>
      <c r="B36" s="14"/>
      <c r="C36" s="1049" t="s">
        <v>1567</v>
      </c>
      <c r="D36" s="330" t="s">
        <v>1273</v>
      </c>
      <c r="E36" s="330"/>
      <c r="F36" s="922"/>
      <c r="G36" s="922">
        <f>SUM(G37:G41)</f>
        <v>2000</v>
      </c>
      <c r="H36" s="1050" t="str">
        <f>FIXED(G36/$G$36,IF(ROUND(G36/$G$36,0)=G36/$G$36,0,1))*100&amp;"%"</f>
        <v>100%</v>
      </c>
      <c r="I36" s="1058">
        <f>SUMPRODUCT(H37:H41,I37:I41)</f>
        <v>0</v>
      </c>
      <c r="J36" s="1052"/>
      <c r="K36" s="1058">
        <f>SUMPRODUCT(H37:H41,K37:K41)</f>
        <v>1.0499999999999998</v>
      </c>
      <c r="L36" s="1353" t="str">
        <f>IF(ABS(I36-K36)/K36&lt;1%,"Gelijke score","Ongelijke score")</f>
        <v>Ongelijke score</v>
      </c>
      <c r="M36" s="1050"/>
      <c r="N36" s="1050"/>
      <c r="O36" s="1050"/>
      <c r="P36" s="1050"/>
      <c r="Q36" s="1050"/>
      <c r="R36" s="1050"/>
      <c r="S36" s="1075" t="s">
        <v>1586</v>
      </c>
      <c r="T36" s="1076" t="s">
        <v>16</v>
      </c>
      <c r="U36" s="330"/>
      <c r="V36" s="330"/>
      <c r="W36" s="330"/>
      <c r="X36" s="330"/>
      <c r="Y36" s="330"/>
      <c r="Z36" s="330"/>
    </row>
    <row r="37" spans="1:31">
      <c r="A37" s="18"/>
      <c r="B37" s="14"/>
      <c r="C37" s="23" t="s">
        <v>1571</v>
      </c>
      <c r="D37" s="22" t="s">
        <v>1569</v>
      </c>
      <c r="E37" s="22"/>
      <c r="F37" s="24"/>
      <c r="G37" s="24">
        <f>SUM(G18,G24+G24/SUM(G24:G32)*G23)</f>
        <v>1100</v>
      </c>
      <c r="H37" s="1051">
        <f>G37/$G$36</f>
        <v>0.55000000000000004</v>
      </c>
      <c r="I37" s="919"/>
      <c r="J37" s="1052"/>
      <c r="K37" s="1072">
        <f>I37</f>
        <v>0</v>
      </c>
      <c r="L37" s="1353" t="e">
        <f t="shared" ref="L37:L39" si="9">IF(ABS(I37-K37)/K37&lt;1%,"Gelijke score","Ongelijke score")</f>
        <v>#DIV/0!</v>
      </c>
      <c r="M37" s="1051"/>
      <c r="N37" s="1051"/>
      <c r="O37" s="1051"/>
      <c r="P37" s="1051"/>
      <c r="Q37" s="1051"/>
      <c r="R37" s="1051"/>
      <c r="S37" s="904">
        <v>0</v>
      </c>
      <c r="T37" s="903" t="s">
        <v>1558</v>
      </c>
      <c r="U37" s="22"/>
      <c r="V37" s="22"/>
      <c r="W37" s="22"/>
      <c r="X37" s="22"/>
      <c r="Y37" s="22"/>
      <c r="Z37" s="22"/>
    </row>
    <row r="38" spans="1:31">
      <c r="A38" s="18"/>
      <c r="B38" s="14"/>
      <c r="C38" s="23" t="s">
        <v>1015</v>
      </c>
      <c r="D38" s="22" t="str">
        <f>D19</f>
        <v>Energieprestatie, aanvullend</v>
      </c>
      <c r="E38" s="22"/>
      <c r="F38" s="24"/>
      <c r="G38" s="24">
        <f>G19</f>
        <v>250</v>
      </c>
      <c r="H38" s="1061">
        <f t="shared" ref="H38:H41" si="10">G38/$G$36</f>
        <v>0.125</v>
      </c>
      <c r="I38" s="1073">
        <f>I19</f>
        <v>0</v>
      </c>
      <c r="J38" s="1052"/>
      <c r="K38" s="1072">
        <f>I38</f>
        <v>0</v>
      </c>
      <c r="L38" s="1353"/>
      <c r="M38" s="1051"/>
      <c r="N38" s="1051"/>
      <c r="O38" s="1051"/>
      <c r="P38" s="1051"/>
      <c r="Q38" s="1051"/>
      <c r="R38" s="1051"/>
      <c r="S38" s="904">
        <v>1</v>
      </c>
      <c r="T38" s="903" t="s">
        <v>1576</v>
      </c>
      <c r="U38" s="22"/>
      <c r="V38" s="22"/>
      <c r="W38" s="22"/>
      <c r="X38" s="22"/>
      <c r="Y38" s="22"/>
      <c r="Z38" s="22"/>
    </row>
    <row r="39" spans="1:31">
      <c r="A39" s="18"/>
      <c r="B39" s="14"/>
      <c r="C39" s="23" t="s">
        <v>1293</v>
      </c>
      <c r="D39" s="22" t="s">
        <v>1570</v>
      </c>
      <c r="E39" s="22"/>
      <c r="F39" s="24"/>
      <c r="G39" s="24">
        <f>G22-SUM(G24+G24/SUM(G24:G32)*G23)</f>
        <v>350</v>
      </c>
      <c r="H39" s="1061">
        <f t="shared" si="10"/>
        <v>0.17499999999999999</v>
      </c>
      <c r="I39" s="919"/>
      <c r="J39" s="1052"/>
      <c r="K39" s="1072">
        <f>SUM(K25:K32,SUM(G25:G32)/SUM(G24:G32)*G23)/G39*10</f>
        <v>6</v>
      </c>
      <c r="L39" s="1353" t="str">
        <f t="shared" si="9"/>
        <v>Ongelijke score</v>
      </c>
      <c r="M39" s="1063"/>
      <c r="N39" s="1063"/>
      <c r="O39" s="1063"/>
      <c r="P39" s="1063"/>
      <c r="Q39" s="1063"/>
      <c r="R39" s="1063"/>
      <c r="S39" s="904">
        <v>2</v>
      </c>
      <c r="T39" s="903" t="s">
        <v>1577</v>
      </c>
      <c r="U39" s="22"/>
      <c r="V39" s="1062"/>
      <c r="W39" s="1063"/>
      <c r="X39" s="22"/>
      <c r="Y39" s="22"/>
      <c r="Z39" s="22"/>
    </row>
    <row r="40" spans="1:31">
      <c r="A40" s="18"/>
      <c r="B40" s="14"/>
      <c r="C40" s="23" t="str">
        <f>C33</f>
        <v>2.2</v>
      </c>
      <c r="D40" s="22" t="str">
        <f t="shared" ref="D40:D41" si="11">D33</f>
        <v>Water</v>
      </c>
      <c r="E40" s="22"/>
      <c r="F40" s="24"/>
      <c r="G40" s="24">
        <f>G33</f>
        <v>100</v>
      </c>
      <c r="H40" s="1051">
        <f t="shared" si="10"/>
        <v>0.05</v>
      </c>
      <c r="I40" s="1073">
        <f t="shared" ref="I40" si="12">I33</f>
        <v>0</v>
      </c>
      <c r="J40" s="143"/>
      <c r="K40" s="1072">
        <f>I40</f>
        <v>0</v>
      </c>
      <c r="L40" s="1353"/>
      <c r="M40" s="1051"/>
      <c r="N40" s="1051"/>
      <c r="O40" s="1051"/>
      <c r="P40" s="1051"/>
      <c r="Q40" s="1051"/>
      <c r="R40" s="1051"/>
      <c r="S40" s="904">
        <v>3</v>
      </c>
      <c r="T40" s="903" t="s">
        <v>1587</v>
      </c>
      <c r="U40" s="22"/>
      <c r="V40" s="1051"/>
      <c r="W40" s="1051"/>
      <c r="X40" s="22"/>
      <c r="Y40" s="22"/>
      <c r="Z40" s="22"/>
    </row>
    <row r="41" spans="1:31">
      <c r="A41" s="18"/>
      <c r="B41" s="14"/>
      <c r="C41" s="23" t="str">
        <f t="shared" ref="C41" si="13">C34</f>
        <v>2.3</v>
      </c>
      <c r="D41" s="22" t="str">
        <f t="shared" si="11"/>
        <v>Ruimte en natuur</v>
      </c>
      <c r="E41" s="22"/>
      <c r="F41" s="24"/>
      <c r="G41" s="24">
        <f>G34</f>
        <v>200</v>
      </c>
      <c r="H41" s="1051">
        <f t="shared" si="10"/>
        <v>0.1</v>
      </c>
      <c r="I41" s="1073">
        <f t="shared" ref="I41" si="14">I34</f>
        <v>0</v>
      </c>
      <c r="J41" s="143"/>
      <c r="K41" s="1072">
        <f>I41</f>
        <v>0</v>
      </c>
      <c r="L41" s="1353"/>
      <c r="M41" s="1062"/>
      <c r="N41" s="1062"/>
      <c r="O41" s="1062"/>
      <c r="P41" s="1062"/>
      <c r="Q41" s="1062"/>
      <c r="R41" s="1062"/>
      <c r="S41" s="22"/>
      <c r="T41" s="22"/>
      <c r="U41" s="22"/>
      <c r="V41" s="1051"/>
      <c r="W41" s="1062"/>
      <c r="X41" s="22"/>
      <c r="Y41" s="22"/>
      <c r="Z41" s="22"/>
    </row>
    <row r="42" spans="1:31">
      <c r="B42" s="30"/>
      <c r="C42" s="141" t="str">
        <f>"© W/E adviseurs, Utrecht/Eindhoven, versie rekenhulpmiddelen "&amp;TEXT(Wijzigingsblad!$B$3,"d mmmm jjjj")</f>
        <v>© W/E adviseurs, Utrecht/Eindhoven, versie rekenhulpmiddelen 17 april 2024</v>
      </c>
      <c r="F42" s="30"/>
      <c r="H42" s="29"/>
      <c r="J42" s="30"/>
      <c r="K42" s="30"/>
      <c r="AD42" s="141" t="str">
        <f>"© W/E adviseurs, Utrecht/Eindhoven, versie rekenhulpmiddelen "&amp;TEXT(Wijzigingsblad!$B$3,"d mmmm jjjj")</f>
        <v>© W/E adviseurs, Utrecht/Eindhoven, versie rekenhulpmiddelen 17 april 2024</v>
      </c>
      <c r="AE42" s="141" t="str">
        <f>"© W/E adviseurs, Utrecht/Eindhoven, versie rekenhulpmiddelen "&amp;TEXT(Wijzigingsblad!$B$3,"d mmmm jjjj")</f>
        <v>© W/E adviseurs, Utrecht/Eindhoven, versie rekenhulpmiddelen 17 april 2024</v>
      </c>
    </row>
  </sheetData>
  <sheetProtection sheet="1" objects="1" scenarios="1"/>
  <mergeCells count="6">
    <mergeCell ref="B3:D3"/>
    <mergeCell ref="E9:H9"/>
    <mergeCell ref="E10:H10"/>
    <mergeCell ref="E6:H6"/>
    <mergeCell ref="E7:H7"/>
    <mergeCell ref="E8:H8"/>
  </mergeCells>
  <conditionalFormatting sqref="H23:H32">
    <cfRule type="expression" dxfId="3" priority="4">
      <formula>$C23&lt;&gt;$C$18</formula>
    </cfRule>
  </conditionalFormatting>
  <conditionalFormatting sqref="L22 L36:L41">
    <cfRule type="expression" dxfId="2" priority="1">
      <formula>I22=""</formula>
    </cfRule>
    <cfRule type="expression" dxfId="1" priority="629">
      <formula>$B22&lt;&gt;$Y$7</formula>
    </cfRule>
    <cfRule type="expression" dxfId="0" priority="631">
      <formula>AND(L22="Ongelijke score",$B22=$Y$7)</formula>
    </cfRule>
  </conditionalFormatting>
  <dataValidations disablePrompts="1" count="4">
    <dataValidation allowBlank="1" showInputMessage="1" showErrorMessage="1" promptTitle="Startwaarde" prompt="De startwaarde correspondeert met een 6 in GPR Gebouw. Bij een subthema van 700 punten geeft dat 6/10*700=420 punten. Deze worden evenredig verdeeld over de maatregelgroepen. In GPR 4.4 is dat overal 50% voor MPG, 50% voor de overige groepen binnen 2.1." sqref="A23" xr:uid="{F919565B-E78E-463B-94BA-DCB100CCE127}"/>
    <dataValidation allowBlank="1" showInputMessage="1" showErrorMessage="1" promptTitle="Score per thema" prompt="Score per thema is de gewogen score per subthema. " sqref="A22 A17" xr:uid="{4D4B35B7-FAD5-43BE-A3FA-224E90F712DC}"/>
    <dataValidation allowBlank="1" showInputMessage="1" showErrorMessage="1" promptTitle="Weegfactor" prompt="Weegfactor is overgenomen uit de beheeromgeving van de maatregelgroepen. De weegfactor tov de totale weegfactor per subthema bepaalt de relatieve bijdrage van een maatregelgroep." sqref="F14" xr:uid="{AFA77591-77BC-46A2-85B9-D5DDB857620C}"/>
    <dataValidation allowBlank="1" showInputMessage="1" showErrorMessage="1" promptTitle="Oppervlakte" prompt="Voor EP2 en CO2 is dit gebruiksoppervlakte (Ag of GO), voor MPG en DPG is dit bruto vloeroppervlakte (BVO)" sqref="F14" xr:uid="{8AC6C088-FC2E-48E1-991F-F585DD2B461A}"/>
  </dataValidations>
  <hyperlinks>
    <hyperlink ref="A1" location="'Overzicht GPR Hulpmiddelen'!A1" tooltip="naar startscherm" display="&lt;" xr:uid="{07FB790D-819B-4ED4-A515-B8F0CCBAF0D3}"/>
  </hyperlinks>
  <printOptions horizontalCentered="1"/>
  <pageMargins left="0.70866141732283472" right="0.70866141732283472" top="0.74803149606299213" bottom="0.74803149606299213" header="0.31496062992125984" footer="0.31496062992125984"/>
  <pageSetup paperSize="9" scale="21" orientation="portrait" horizontalDpi="4294967293" r:id="rId1"/>
  <headerFooter>
    <oddFooter>&amp;L&amp;Z&amp;F&amp;RDatum afdruk &amp;D &amp;T</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960542223E90E42B1B22DBD48628FFD" ma:contentTypeVersion="15" ma:contentTypeDescription="Een nieuw document maken." ma:contentTypeScope="" ma:versionID="f273118d58fc94a1734acdb06fdc0c27">
  <xsd:schema xmlns:xsd="http://www.w3.org/2001/XMLSchema" xmlns:xs="http://www.w3.org/2001/XMLSchema" xmlns:p="http://schemas.microsoft.com/office/2006/metadata/properties" xmlns:ns2="e8f8675b-59f8-43ff-b8b1-5cc5b139a19a" xmlns:ns3="9592ce27-299f-4636-af1a-83ba1efb1cc2" targetNamespace="http://schemas.microsoft.com/office/2006/metadata/properties" ma:root="true" ma:fieldsID="52df685bf937e9e99e18ce55b51a5ce4" ns2:_="" ns3:_="">
    <xsd:import namespace="e8f8675b-59f8-43ff-b8b1-5cc5b139a19a"/>
    <xsd:import namespace="9592ce27-299f-4636-af1a-83ba1efb1cc2"/>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MediaServiceAutoTags" minOccurs="0"/>
                <xsd:element ref="ns2:MediaServiceGenerationTime" minOccurs="0"/>
                <xsd:element ref="ns2:MediaServiceEventHashCode" minOccurs="0"/>
                <xsd:element ref="ns2:lcf76f155ced4ddcb4097134ff3c332f" minOccurs="0"/>
                <xsd:element ref="ns3:TaxCatchAll" minOccurs="0"/>
                <xsd:element ref="ns2:MediaServiceOCR"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8f8675b-59f8-43ff-b8b1-5cc5b139a19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lcf76f155ced4ddcb4097134ff3c332f" ma:index="18" nillable="true" ma:taxonomy="true" ma:internalName="lcf76f155ced4ddcb4097134ff3c332f" ma:taxonomyFieldName="MediaServiceImageTags" ma:displayName="Afbeeldingtags" ma:readOnly="false" ma:fieldId="{5cf76f15-5ced-4ddc-b409-7134ff3c332f}" ma:taxonomyMulti="true" ma:sspId="761fd13a-52b1-485b-ba5b-ae6febacd0fb"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592ce27-299f-4636-af1a-83ba1efb1cc2" elementFormDefault="qualified">
    <xsd:import namespace="http://schemas.microsoft.com/office/2006/documentManagement/types"/>
    <xsd:import namespace="http://schemas.microsoft.com/office/infopath/2007/PartnerControls"/>
    <xsd:element name="SharedWithUsers" ma:index="12"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Gedeeld met details" ma:internalName="SharedWithDetails" ma:readOnly="true">
      <xsd:simpleType>
        <xsd:restriction base="dms:Note">
          <xsd:maxLength value="255"/>
        </xsd:restriction>
      </xsd:simpleType>
    </xsd:element>
    <xsd:element name="TaxCatchAll" ma:index="19" nillable="true" ma:displayName="Taxonomy Catch All Column" ma:hidden="true" ma:list="{3da1d894-c0f2-4756-b67b-55cd26a6326a}" ma:internalName="TaxCatchAll" ma:showField="CatchAllData" ma:web="9592ce27-299f-4636-af1a-83ba1efb1cc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9592ce27-299f-4636-af1a-83ba1efb1cc2" xsi:nil="true"/>
    <lcf76f155ced4ddcb4097134ff3c332f xmlns="e8f8675b-59f8-43ff-b8b1-5cc5b139a19a">
      <Terms xmlns="http://schemas.microsoft.com/office/infopath/2007/PartnerControls"/>
    </lcf76f155ced4ddcb4097134ff3c332f>
    <SharedWithUsers xmlns="9592ce27-299f-4636-af1a-83ba1efb1cc2">
      <UserInfo>
        <DisplayName>Pieter Nuiten | W/E Adviseurs</DisplayName>
        <AccountId>19</AccountId>
        <AccountType/>
      </UserInfo>
    </SharedWithUsers>
  </documentManagement>
</p:properties>
</file>

<file path=customXml/itemProps1.xml><?xml version="1.0" encoding="utf-8"?>
<ds:datastoreItem xmlns:ds="http://schemas.openxmlformats.org/officeDocument/2006/customXml" ds:itemID="{1F43FA48-5248-49F5-9F11-C7CD8AB3DD6A}">
  <ds:schemaRefs>
    <ds:schemaRef ds:uri="http://schemas.microsoft.com/sharepoint/v3/contenttype/forms"/>
  </ds:schemaRefs>
</ds:datastoreItem>
</file>

<file path=customXml/itemProps2.xml><?xml version="1.0" encoding="utf-8"?>
<ds:datastoreItem xmlns:ds="http://schemas.openxmlformats.org/officeDocument/2006/customXml" ds:itemID="{36AA305C-9C30-4EF6-A9C7-C983F0F7E3B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8f8675b-59f8-43ff-b8b1-5cc5b139a19a"/>
    <ds:schemaRef ds:uri="9592ce27-299f-4636-af1a-83ba1efb1cc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97696E9-84A1-4263-8303-ABB0EA99BB6B}">
  <ds:schemaRefs>
    <ds:schemaRef ds:uri="http://purl.org/dc/elements/1.1/"/>
    <ds:schemaRef ds:uri="http://purl.org/dc/dcmitype/"/>
    <ds:schemaRef ds:uri="http://schemas.microsoft.com/office/2006/documentManagement/types"/>
    <ds:schemaRef ds:uri="http://schemas.microsoft.com/office/2006/metadata/properties"/>
    <ds:schemaRef ds:uri="http://schemas.openxmlformats.org/package/2006/metadata/core-properties"/>
    <ds:schemaRef ds:uri="http://purl.org/dc/terms/"/>
    <ds:schemaRef ds:uri="http://schemas.microsoft.com/office/infopath/2007/PartnerControls"/>
    <ds:schemaRef ds:uri="9592ce27-299f-4636-af1a-83ba1efb1cc2"/>
    <ds:schemaRef ds:uri="e8f8675b-59f8-43ff-b8b1-5cc5b139a19a"/>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175</vt:i4>
      </vt:variant>
    </vt:vector>
  </HeadingPairs>
  <TitlesOfParts>
    <vt:vector size="195" baseType="lpstr">
      <vt:lpstr>Overzicht GPR Hulpmiddelen</vt:lpstr>
      <vt:lpstr>Wijzigingsblad</vt:lpstr>
      <vt:lpstr>ISSO75.3 naar GPR4</vt:lpstr>
      <vt:lpstr>NEN 7120 naar GPR4</vt:lpstr>
      <vt:lpstr>NTA 8800 naar GPR4</vt:lpstr>
      <vt:lpstr>CO2 warmtenetten</vt:lpstr>
      <vt:lpstr>QCI 1.0</vt:lpstr>
      <vt:lpstr>Specifieke gebouwlevensduur</vt:lpstr>
      <vt:lpstr>kruisjeslijst</vt:lpstr>
      <vt:lpstr>Hergebruikspotentie 1.9</vt:lpstr>
      <vt:lpstr>Hergebruikspotentie 2.0</vt:lpstr>
      <vt:lpstr>Circulaire materialen</vt:lpstr>
      <vt:lpstr>BENG_1</vt:lpstr>
      <vt:lpstr>Adaptief vermogen 1.0</vt:lpstr>
      <vt:lpstr>Indicatoren adaptief vermogen</vt:lpstr>
      <vt:lpstr>Combineren GPR scores</vt:lpstr>
      <vt:lpstr>Combineren GPR scores DPG</vt:lpstr>
      <vt:lpstr>CPG 1.8 nieuwbouw</vt:lpstr>
      <vt:lpstr>CPG 1.8 bestaande bouw</vt:lpstr>
      <vt:lpstr>combineren</vt:lpstr>
      <vt:lpstr>BENG1_eis_BENG1_Als_Ag_kleiner_grenswaarde1</vt:lpstr>
      <vt:lpstr>BENG1_eis_C1</vt:lpstr>
      <vt:lpstr>BENG1_eis_C2</vt:lpstr>
      <vt:lpstr>BENG1_eis_C3</vt:lpstr>
      <vt:lpstr>BENG1_eis_C4</vt:lpstr>
      <vt:lpstr>BENG1_eis_C5</vt:lpstr>
      <vt:lpstr>BENG1_eis_C6</vt:lpstr>
      <vt:lpstr>BENG1_eis_gebruiksfuncties</vt:lpstr>
      <vt:lpstr>BENG1_eis_grenswaarde1_Als_Ag</vt:lpstr>
      <vt:lpstr>BENG1_eis_grenswaarde2_Als_Ag</vt:lpstr>
      <vt:lpstr>circulair_materiaalgebruik</vt:lpstr>
      <vt:lpstr>CO2_GPR_score_6</vt:lpstr>
      <vt:lpstr>doorkruisingen_keuzes</vt:lpstr>
      <vt:lpstr>doorkruisingen_scores</vt:lpstr>
      <vt:lpstr>doorkruisingen_toelichting</vt:lpstr>
      <vt:lpstr>DPG_D_GPR_score_10</vt:lpstr>
      <vt:lpstr>DPG_D_GPR_score_6</vt:lpstr>
      <vt:lpstr>DPG_E_GPR_score_10</vt:lpstr>
      <vt:lpstr>DPG_E_GPR_score_6</vt:lpstr>
      <vt:lpstr>DPG_M_GPR_score_10</vt:lpstr>
      <vt:lpstr>DPG_M_GPR_score_6</vt:lpstr>
      <vt:lpstr>Energie_DPG_Score_10</vt:lpstr>
      <vt:lpstr>Energie_DPG_Score_6</vt:lpstr>
      <vt:lpstr>energiedragers_EP_CO2</vt:lpstr>
      <vt:lpstr>energiedragers_EP_CO2_lijst</vt:lpstr>
      <vt:lpstr>energiedragers_EP_CO2_titel</vt:lpstr>
      <vt:lpstr>energiedragers_EP_eenheden</vt:lpstr>
      <vt:lpstr>energiedragers_EP_eenheden_titel</vt:lpstr>
      <vt:lpstr>energiedragers_EP_lijst</vt:lpstr>
      <vt:lpstr>energiedragers_EP_omrekenen</vt:lpstr>
      <vt:lpstr>energiedragers_EP_omrekenen_titel</vt:lpstr>
      <vt:lpstr>energiedragers_EP_PEF</vt:lpstr>
      <vt:lpstr>energiedragers_EP_PEF_titel</vt:lpstr>
      <vt:lpstr>energiedragers_GPR</vt:lpstr>
      <vt:lpstr>energiedragers_GPR_lijst</vt:lpstr>
      <vt:lpstr>energiedragers_GPR_titel</vt:lpstr>
      <vt:lpstr>'EP naar GPR4'!EP_bronmethode</vt:lpstr>
      <vt:lpstr>'ISSO75.3 naar GPR4'!EP_bronmethode</vt:lpstr>
      <vt:lpstr>'NEN 7120 naar GPR4'!EP_bronmethode</vt:lpstr>
      <vt:lpstr>'NTA 8800 naar GPR4'!EP_bronmethode</vt:lpstr>
      <vt:lpstr>'EP naar GPR4'!EP_doelmethode</vt:lpstr>
      <vt:lpstr>'ISSO75.3 naar GPR4'!EP_doelmethode</vt:lpstr>
      <vt:lpstr>'NEN 7120 naar GPR4'!EP_doelmethode</vt:lpstr>
      <vt:lpstr>'NTA 8800 naar GPR4'!EP_doelmethode</vt:lpstr>
      <vt:lpstr>EP_methode</vt:lpstr>
      <vt:lpstr>EP_Methode_BRON_per_GPR_Versie</vt:lpstr>
      <vt:lpstr>EP_Methode_BRON_per_GPR_Versie_Eenheid</vt:lpstr>
      <vt:lpstr>EP_Methode_DOEL_per_GPR_Versie</vt:lpstr>
      <vt:lpstr>EP_Methode_DOEL_per_GPR_Versie_titel</vt:lpstr>
      <vt:lpstr>EP_methode_eenheid</vt:lpstr>
      <vt:lpstr>'ISSO75.3 naar GPR4'!EP_versie_scope_functie</vt:lpstr>
      <vt:lpstr>'NEN 7120 naar GPR4'!EP_versie_scope_functie</vt:lpstr>
      <vt:lpstr>'NTA 8800 naar GPR4'!EP_versie_scope_functie</vt:lpstr>
      <vt:lpstr>EP_versie_scope_functie</vt:lpstr>
      <vt:lpstr>'ISSO75.3 naar GPR4'!EP_versie_scope_functie_methode</vt:lpstr>
      <vt:lpstr>'NEN 7120 naar GPR4'!EP_versie_scope_functie_methode</vt:lpstr>
      <vt:lpstr>'NTA 8800 naar GPR4'!EP_versie_scope_functie_methode</vt:lpstr>
      <vt:lpstr>EP_versie_scope_functie_methode</vt:lpstr>
      <vt:lpstr>Gebruiksfuncties</vt:lpstr>
      <vt:lpstr>Gebruiksfuncties_CPG</vt:lpstr>
      <vt:lpstr>Gebruiksfuncties_CPG_1.7</vt:lpstr>
      <vt:lpstr>DPG_score!GPR_43_EP_methoden</vt:lpstr>
      <vt:lpstr>'EP naar GPR4'!GPR_43_EP_methoden</vt:lpstr>
      <vt:lpstr>'ISSO75.3 naar GPR4'!GPR_43_EP_methoden</vt:lpstr>
      <vt:lpstr>'NEN 7120 naar GPR4'!GPR_43_EP_methoden</vt:lpstr>
      <vt:lpstr>'NTA 8800 naar GPR4'!GPR_43_EP_methoden</vt:lpstr>
      <vt:lpstr>DPG_score!GPR_44_EP_methoden</vt:lpstr>
      <vt:lpstr>'EP naar GPR4'!GPR_44_EP_methoden</vt:lpstr>
      <vt:lpstr>'ISSO75.3 naar GPR4'!GPR_44_EP_methoden</vt:lpstr>
      <vt:lpstr>'NEN 7120 naar GPR4'!GPR_44_EP_methoden</vt:lpstr>
      <vt:lpstr>'NTA 8800 naar GPR4'!GPR_44_EP_methoden</vt:lpstr>
      <vt:lpstr>GPR_scope</vt:lpstr>
      <vt:lpstr>GPR_scope_keuzelijst</vt:lpstr>
      <vt:lpstr>GPR_scope_W_U</vt:lpstr>
      <vt:lpstr>GPR_scope_W_U_keuzelijst</vt:lpstr>
      <vt:lpstr>GPR_versie</vt:lpstr>
      <vt:lpstr>GPR_Versie_En_EP_Methode</vt:lpstr>
      <vt:lpstr>GPR_Versie_en_NMD</vt:lpstr>
      <vt:lpstr>GPR_Versie_EP_methode</vt:lpstr>
      <vt:lpstr>GPR_versie_keuzelijst</vt:lpstr>
      <vt:lpstr>GPR_Versies</vt:lpstr>
      <vt:lpstr>GPR4.3</vt:lpstr>
      <vt:lpstr>GPR4.4</vt:lpstr>
      <vt:lpstr>grenzen_standaard_bouwjaarklassen</vt:lpstr>
      <vt:lpstr>grenzen_standaard_C1</vt:lpstr>
      <vt:lpstr>grenzen_standaard_C2</vt:lpstr>
      <vt:lpstr>grenzen_standaard_gebruiksfuncties_bouwjaarklassen</vt:lpstr>
      <vt:lpstr>grenzen_standaard_grenswaarde</vt:lpstr>
      <vt:lpstr>grenzen_standaard_standaard</vt:lpstr>
      <vt:lpstr>ISSO_75.3</vt:lpstr>
      <vt:lpstr>koudebehoefte_C1</vt:lpstr>
      <vt:lpstr>koudebehoefte_C2</vt:lpstr>
      <vt:lpstr>koudebehoefte_C3</vt:lpstr>
      <vt:lpstr>koudebehoefte_C4</vt:lpstr>
      <vt:lpstr>koudebehoefte_gebruiksfuncties</vt:lpstr>
      <vt:lpstr>koudebehoefte_n1</vt:lpstr>
      <vt:lpstr>koudebehoefte_n2</vt:lpstr>
      <vt:lpstr>koudebehoefte_n3</vt:lpstr>
      <vt:lpstr>koudebehoefte_n4</vt:lpstr>
      <vt:lpstr>koudebehoefte_ondergrens</vt:lpstr>
      <vt:lpstr>koudebehoefte_snijpunt</vt:lpstr>
      <vt:lpstr>kwaliteitsfactor_keuzes</vt:lpstr>
      <vt:lpstr>kwaliteitsfactor_scores</vt:lpstr>
      <vt:lpstr>kwaliteitsfactor_toelichting</vt:lpstr>
      <vt:lpstr>Lagen_van_Brand_keuzes</vt:lpstr>
      <vt:lpstr>Lagen_van_Brand_scores</vt:lpstr>
      <vt:lpstr>Lagen_van_Brand_toelichting</vt:lpstr>
      <vt:lpstr>Lagen_van_Brands_scores</vt:lpstr>
      <vt:lpstr>marktwaarde_keuzes</vt:lpstr>
      <vt:lpstr>marktwaarde_scores</vt:lpstr>
      <vt:lpstr>marktwaarde_toelichting</vt:lpstr>
      <vt:lpstr>MPG_factor_a</vt:lpstr>
      <vt:lpstr>MPG_factor_b</vt:lpstr>
      <vt:lpstr>MPG_punten_10</vt:lpstr>
      <vt:lpstr>MPG_punten_10_titels</vt:lpstr>
      <vt:lpstr>MPG_punten_6</vt:lpstr>
      <vt:lpstr>MPG_punten_6_titels</vt:lpstr>
      <vt:lpstr>MPG_punten_lijst</vt:lpstr>
      <vt:lpstr>NEN_7120</vt:lpstr>
      <vt:lpstr>NTA_8800</vt:lpstr>
      <vt:lpstr>Prim_Energie_GPR_Score_10</vt:lpstr>
      <vt:lpstr>Prim_Energie_GPR_Score_6</vt:lpstr>
      <vt:lpstr>'Circulaire materialen'!Print_Area</vt:lpstr>
      <vt:lpstr>'CirculariteitsPrestatie CPG 1.7'!Print_Area</vt:lpstr>
      <vt:lpstr>'CO2 warmtenetten'!Print_Area</vt:lpstr>
      <vt:lpstr>combineren!Print_Area</vt:lpstr>
      <vt:lpstr>'combineren 4.3'!Print_Area</vt:lpstr>
      <vt:lpstr>'Combineren GPR scores'!Print_Area</vt:lpstr>
      <vt:lpstr>'Combineren GPR scores DPG'!Print_Area</vt:lpstr>
      <vt:lpstr>'CPG 1.8 bestaande bouw'!Print_Area</vt:lpstr>
      <vt:lpstr>'CPG 1.8 nieuwbouw'!Print_Area</vt:lpstr>
      <vt:lpstr>DPG_score!Print_Area</vt:lpstr>
      <vt:lpstr>'EP naar GPR4'!Print_Area</vt:lpstr>
      <vt:lpstr>'Hergebruikspotentie 1.9'!Print_Area</vt:lpstr>
      <vt:lpstr>'ISSO75.3 naar GPR4'!Print_Area</vt:lpstr>
      <vt:lpstr>kruisjeslijst!Print_Area</vt:lpstr>
      <vt:lpstr>'NEN 7120 naar GPR4'!Print_Area</vt:lpstr>
      <vt:lpstr>'NTA 8800 naar GPR4'!Print_Area</vt:lpstr>
      <vt:lpstr>Wijzigingsblad!Print_Area</vt:lpstr>
      <vt:lpstr>randopsluiting_keuzes</vt:lpstr>
      <vt:lpstr>randopsluiting_score</vt:lpstr>
      <vt:lpstr>randopsluiting_scores</vt:lpstr>
      <vt:lpstr>randopsluiting_toelichting</vt:lpstr>
      <vt:lpstr>tabel_CirculariteitsPrestatie_Gebouw_1.7</vt:lpstr>
      <vt:lpstr>tabel_CirculariteitsPrestatie_Gebouw_1.8_BESTAAND</vt:lpstr>
      <vt:lpstr>tabel_CirculariteitsPrestatie_Gebouw_1.8_NIEUW</vt:lpstr>
      <vt:lpstr>tabel_CPG_startkolom_1.7</vt:lpstr>
      <vt:lpstr>tabel_CPG_startkolom_1.8_BESTAAND</vt:lpstr>
      <vt:lpstr>tabel_CPG_startkolom_1.8_NIEUW</vt:lpstr>
      <vt:lpstr>toegankelijkheid_verbinding_keuzes</vt:lpstr>
      <vt:lpstr>toegankelijkheid_verbinding_scores</vt:lpstr>
      <vt:lpstr>toegankelijkheid_verbinding_toelichting</vt:lpstr>
      <vt:lpstr>type_verbinding_keuzes</vt:lpstr>
      <vt:lpstr>type_verbinding_scores</vt:lpstr>
      <vt:lpstr>type_verbinding_toelichting</vt:lpstr>
      <vt:lpstr>ventilatiesystemen</vt:lpstr>
      <vt:lpstr>voorbeeldgebouwen</vt:lpstr>
      <vt:lpstr>voorbeeldgebouwen_Ag</vt:lpstr>
      <vt:lpstr>voorbeeldgebouwen_gebruiksfuncties</vt:lpstr>
      <vt:lpstr>voorbeeldgebouwen_gestapeld</vt:lpstr>
      <vt:lpstr>voorbeeldgebouwen_m2_bg_vloer</vt:lpstr>
      <vt:lpstr>voorbeeldgebouwen_m2_deur</vt:lpstr>
      <vt:lpstr>voorbeeldgebouwen_m2_dichte_gevel</vt:lpstr>
      <vt:lpstr>voorbeeldgebouwen_m2_plat_dak</vt:lpstr>
      <vt:lpstr>voorbeeldgebouwen_m2_raam</vt:lpstr>
      <vt:lpstr>warmtebehoefte_plus_koudebehoefte_ventsysC1_EP1_C</vt:lpstr>
      <vt:lpstr>warmtebehoefte_plus_koudebehoefte_ventsysC1_EP1_gebruiksfuncties</vt:lpstr>
      <vt:lpstr>warmtebehoefte_plus_koudebehoefte_ventsysC1_EP1_n</vt:lpstr>
      <vt:lpstr>warmtebehoefte_plus_koudebehoefte_ventsysC1_EP1_snijpunt</vt:lpstr>
      <vt:lpstr>warmtebehoefte_verwarming_C</vt:lpstr>
      <vt:lpstr>warmtebehoefte_verwarming_gebruiksfuncties</vt:lpstr>
      <vt:lpstr>warmtebehoefte_verwarming_n</vt:lpstr>
      <vt:lpstr>warmtebehoefte_verwarming_ondergrens</vt:lpstr>
      <vt:lpstr>warmtebehoefte_verwarming_snijpunt</vt:lpstr>
      <vt:lpstr>warmtebehoefte_verwarming_woning_utiliteitsgebouw</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Rekenhulpmiddelen GPR Gebouw</dc:title>
  <dc:subject/>
  <dc:creator>Brian van Laar</dc:creator>
  <cp:keywords/>
  <dc:description/>
  <cp:lastModifiedBy>Brian van Laar</cp:lastModifiedBy>
  <cp:revision/>
  <dcterms:created xsi:type="dcterms:W3CDTF">2020-12-21T02:52:14Z</dcterms:created>
  <dcterms:modified xsi:type="dcterms:W3CDTF">2024-05-31T15:08:02Z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0x0101000960542223E90E42B1B22DBD48628FFD</vt:lpwstr>
  </property>
  <property fmtid="{D5CDD505-2E9C-101B-9397-08002B2CF9AE}" pid="3" name="Order">
    <vt:r8>998600</vt:r8>
  </property>
  <property fmtid="{D5CDD505-2E9C-101B-9397-08002B2CF9AE}" pid="4" name="MediaServiceImageTags">
    <vt:lpwstr/>
  </property>
  <property fmtid="{D5CDD505-2E9C-101B-9397-08002B2CF9AE}" pid="5" name="PlanSwiftJobName">
    <vt:lpwstr/>
  </property>
  <property fmtid="{D5CDD505-2E9C-101B-9397-08002B2CF9AE}" pid="6" name="PlanSwiftJobGuid">
    <vt:lpwstr/>
  </property>
  <property fmtid="{D5CDD505-2E9C-101B-9397-08002B2CF9AE}" pid="7" name="LinkedDataId">
    <vt:lpwstr>{293A21C3-A194-4543-81C3-D4485716DF28}</vt:lpwstr>
  </property>
</Properties>
</file>